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1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H99" i="80" l="1"/>
  <c r="AN13" i="3"/>
  <c r="AL13" i="3"/>
  <c r="BQ13" i="3"/>
  <c r="BR13" i="3"/>
  <c r="BL13" i="3"/>
  <c r="AZ13" i="3"/>
  <c r="AZ5" i="3"/>
  <c r="AC13" i="3"/>
  <c r="G13" i="3"/>
  <c r="G5" i="3"/>
  <c r="B3" i="3"/>
  <c r="AY6" i="3"/>
  <c r="D3" i="6"/>
  <c r="M19" i="9"/>
  <c r="C118" i="9"/>
  <c r="C14" i="74"/>
  <c r="E3" i="6"/>
  <c r="M18" i="9"/>
  <c r="B118" i="9"/>
  <c r="B14" i="74"/>
  <c r="AH9" i="1"/>
  <c r="D3" i="36"/>
  <c r="B2" i="1"/>
  <c r="C7" i="36"/>
  <c r="C46" i="36"/>
  <c r="D46" i="36"/>
  <c r="E46" i="36"/>
  <c r="F46" i="36"/>
  <c r="G46" i="36"/>
  <c r="H46" i="36"/>
  <c r="I46" i="36"/>
  <c r="J46" i="36"/>
  <c r="K46" i="36"/>
  <c r="L46" i="36"/>
  <c r="M46" i="36"/>
  <c r="N46" i="36"/>
  <c r="O46" i="36"/>
  <c r="F7" i="36"/>
  <c r="AA7" i="36"/>
  <c r="R36" i="36"/>
  <c r="H7" i="36"/>
  <c r="AB7" i="36"/>
  <c r="T36" i="36"/>
  <c r="J7" i="36"/>
  <c r="AC7" i="36"/>
  <c r="V36" i="36"/>
  <c r="R37" i="36"/>
  <c r="C37" i="36"/>
  <c r="B2" i="36"/>
  <c r="E8" i="12"/>
  <c r="B3" i="36"/>
  <c r="E6" i="12"/>
  <c r="I5" i="35"/>
  <c r="G5" i="35"/>
  <c r="G5" i="36"/>
  <c r="E5" i="36"/>
  <c r="C33" i="33"/>
  <c r="F33" i="33"/>
  <c r="AA33" i="33"/>
  <c r="C7" i="33"/>
  <c r="C58" i="33"/>
  <c r="D58" i="33"/>
  <c r="E58" i="33"/>
  <c r="F58" i="33"/>
  <c r="G58" i="33"/>
  <c r="H58" i="33"/>
  <c r="I58" i="33"/>
  <c r="J58" i="33"/>
  <c r="K58" i="33"/>
  <c r="L58" i="33"/>
  <c r="M58" i="33"/>
  <c r="N58" i="33"/>
  <c r="O58" i="33"/>
  <c r="F7" i="33"/>
  <c r="AA7" i="33"/>
  <c r="R48" i="33"/>
  <c r="H33" i="33"/>
  <c r="AB33" i="33"/>
  <c r="H7" i="33"/>
  <c r="AB7" i="33"/>
  <c r="T48" i="33"/>
  <c r="J33" i="33"/>
  <c r="AC33" i="33"/>
  <c r="J7" i="33"/>
  <c r="AC7" i="33"/>
  <c r="V48" i="33"/>
  <c r="R49" i="33"/>
  <c r="C49" i="33"/>
  <c r="R24" i="31"/>
  <c r="M7" i="12"/>
  <c r="C7" i="34"/>
  <c r="G7" i="34"/>
  <c r="I7" i="34"/>
  <c r="E7" i="34"/>
  <c r="I38" i="39"/>
  <c r="I7" i="39"/>
  <c r="I5" i="39"/>
  <c r="G38" i="39"/>
  <c r="E38" i="39"/>
  <c r="G7" i="39"/>
  <c r="E7" i="39"/>
  <c r="G5" i="39"/>
  <c r="E5" i="39"/>
  <c r="AK8" i="1"/>
  <c r="AL8" i="1"/>
  <c r="AM8" i="1"/>
  <c r="AL7" i="1"/>
  <c r="AM7" i="1"/>
  <c r="AK7" i="1"/>
  <c r="N14" i="1"/>
  <c r="N9" i="1"/>
  <c r="N8" i="1"/>
  <c r="N7" i="1"/>
  <c r="K14" i="3"/>
  <c r="AT13" i="3"/>
  <c r="E95" i="80"/>
  <c r="Q14" i="3"/>
  <c r="E94" i="80"/>
  <c r="O14" i="3"/>
  <c r="K89" i="80"/>
  <c r="L89" i="80"/>
  <c r="B26" i="31"/>
  <c r="K90" i="80"/>
  <c r="L90" i="80"/>
  <c r="B24" i="31"/>
  <c r="K91" i="80"/>
  <c r="L91" i="80"/>
  <c r="B25" i="31"/>
  <c r="K92" i="80"/>
  <c r="L92" i="80"/>
  <c r="J90" i="80"/>
  <c r="J91" i="80"/>
  <c r="J92" i="80"/>
  <c r="J89" i="80"/>
  <c r="E91" i="80"/>
  <c r="M14" i="3"/>
  <c r="E90" i="80"/>
  <c r="F90" i="80"/>
  <c r="K13" i="3"/>
  <c r="F20" i="6"/>
  <c r="E89" i="80"/>
  <c r="I14" i="3"/>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E92" i="80"/>
  <c r="S14" i="3"/>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F95" i="80"/>
  <c r="Q13" i="3"/>
  <c r="G21" i="6"/>
  <c r="F91" i="80"/>
  <c r="M13" i="3"/>
  <c r="G20" i="6"/>
  <c r="F10" i="80"/>
  <c r="D92" i="80"/>
  <c r="F92" i="80"/>
  <c r="S13" i="3"/>
  <c r="G22" i="6"/>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F89" i="80"/>
  <c r="I13" i="3"/>
  <c r="F19" i="6"/>
  <c r="G85" i="80"/>
  <c r="D94" i="80"/>
  <c r="F94" i="80"/>
  <c r="O13" i="3"/>
  <c r="F21" i="6"/>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G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15" i="4"/>
  <c r="F9" i="1"/>
  <c r="G9" i="1"/>
  <c r="F12" i="1"/>
  <c r="G12" i="1"/>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G5" i="3"/>
  <c r="BH13" i="3"/>
  <c r="BI13" i="3"/>
  <c r="BJ13" i="3"/>
  <c r="BK13" i="3"/>
  <c r="BB14" i="3"/>
  <c r="BC14" i="3"/>
  <c r="BD14" i="3"/>
  <c r="BE14" i="3"/>
  <c r="BA14" i="3"/>
  <c r="AZ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E5"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BC5" i="3"/>
  <c r="G17" i="3"/>
  <c r="BA17" i="3"/>
  <c r="AZ350" i="3"/>
  <c r="AZ364" i="3"/>
  <c r="AZ368" i="3"/>
  <c r="BA15" i="3"/>
  <c r="AZ15" i="3"/>
  <c r="BB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A13" i="3"/>
  <c r="BL17" i="3"/>
  <c r="J56" i="9"/>
  <c r="J57" i="9"/>
  <c r="J59" i="9"/>
  <c r="J61" i="9"/>
  <c r="A24" i="51"/>
  <c r="B18" i="72"/>
  <c r="U29" i="34"/>
  <c r="E32" i="6"/>
  <c r="G1" i="68"/>
  <c r="K1" i="12"/>
  <c r="E19" i="69"/>
  <c r="E19" i="68"/>
  <c r="E19" i="11"/>
  <c r="E1" i="73"/>
  <c r="G22" i="69"/>
  <c r="G22" i="68"/>
  <c r="G26" i="12"/>
  <c r="G22" i="11"/>
  <c r="C6" i="43"/>
  <c r="C7" i="39"/>
  <c r="C67" i="39"/>
  <c r="C7" i="35"/>
  <c r="C48" i="35"/>
  <c r="D48" i="35"/>
  <c r="C7" i="21"/>
  <c r="C7" i="40"/>
  <c r="C63" i="40"/>
  <c r="M47" i="9"/>
  <c r="G23" i="43"/>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E6" i="6"/>
  <c r="D10" i="68"/>
  <c r="C10" i="68"/>
  <c r="B29" i="1"/>
  <c r="C8" i="68"/>
  <c r="G16" i="1"/>
  <c r="F10" i="39"/>
  <c r="AA10" i="39"/>
  <c r="F28" i="6"/>
  <c r="F30" i="6"/>
  <c r="F31" i="6"/>
  <c r="D19" i="6"/>
  <c r="D20" i="6"/>
  <c r="D21" i="6"/>
  <c r="D22" i="6"/>
  <c r="D23" i="6"/>
  <c r="D24" i="6"/>
  <c r="D25" i="6"/>
  <c r="D26" i="6"/>
  <c r="D27" i="6"/>
  <c r="E28" i="6"/>
  <c r="D28" i="6"/>
  <c r="D29" i="6"/>
  <c r="D30" i="6"/>
  <c r="D31" i="6"/>
  <c r="I6" i="6"/>
  <c r="C11" i="39"/>
  <c r="F11" i="39"/>
  <c r="AA11" i="39"/>
  <c r="C38" i="39"/>
  <c r="F38" i="39"/>
  <c r="AA38"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P27" i="43"/>
  <c r="B70" i="39"/>
  <c r="F7" i="39"/>
  <c r="AA7" i="39"/>
  <c r="R47" i="39"/>
  <c r="H10" i="39"/>
  <c r="AB10" i="39"/>
  <c r="H11" i="39"/>
  <c r="AB11" i="39"/>
  <c r="H38" i="39"/>
  <c r="AB38" i="39"/>
  <c r="H7" i="39"/>
  <c r="AB7" i="39"/>
  <c r="T47" i="39"/>
  <c r="J10" i="39"/>
  <c r="AC10" i="39"/>
  <c r="J11" i="39"/>
  <c r="AC11" i="39"/>
  <c r="J38" i="39"/>
  <c r="AC38" i="39"/>
  <c r="J7" i="39"/>
  <c r="AC7" i="39"/>
  <c r="V47" i="39"/>
  <c r="R48" i="39"/>
  <c r="C48" i="39"/>
  <c r="B56" i="39"/>
  <c r="F56" i="39"/>
  <c r="B57" i="39"/>
  <c r="F57" i="39"/>
  <c r="B58" i="39"/>
  <c r="F58" i="39"/>
  <c r="B59" i="39"/>
  <c r="F59" i="39"/>
  <c r="B60" i="39"/>
  <c r="F60" i="39"/>
  <c r="B61" i="39"/>
  <c r="F61" i="39"/>
  <c r="B62" i="39"/>
  <c r="F62" i="39"/>
  <c r="B63" i="39"/>
  <c r="F63" i="39"/>
  <c r="B64" i="39"/>
  <c r="F64" i="39"/>
  <c r="F65" i="39"/>
  <c r="B2" i="39"/>
  <c r="C6" i="68"/>
  <c r="C7" i="68"/>
  <c r="C5" i="68"/>
  <c r="C20" i="68"/>
  <c r="K1" i="73"/>
  <c r="D5" i="73"/>
  <c r="G1" i="73"/>
  <c r="B40" i="1"/>
  <c r="F22" i="68"/>
  <c r="M6" i="1"/>
  <c r="K14" i="1"/>
  <c r="M14" i="1"/>
  <c r="M16" i="1"/>
  <c r="N16" i="1"/>
  <c r="B21" i="1"/>
  <c r="B23" i="1"/>
  <c r="C23" i="68"/>
  <c r="C24" i="68"/>
  <c r="C25" i="68"/>
  <c r="C22" i="68"/>
  <c r="Q16" i="1"/>
  <c r="F27" i="68"/>
  <c r="C28" i="68"/>
  <c r="C27" i="68"/>
  <c r="C26" i="68"/>
  <c r="D22" i="68"/>
  <c r="C29" i="68"/>
  <c r="D27" i="68"/>
  <c r="C30" i="68"/>
  <c r="C31" i="68"/>
  <c r="B24" i="1"/>
  <c r="F34" i="68"/>
  <c r="O6" i="1"/>
  <c r="O8" i="1"/>
  <c r="O9" i="1"/>
  <c r="O12" i="1"/>
  <c r="O14" i="1"/>
  <c r="O16" i="1"/>
  <c r="C34" i="68"/>
  <c r="C35" i="68"/>
  <c r="C36" i="68"/>
  <c r="D9" i="68"/>
  <c r="D19" i="68"/>
  <c r="D37" i="68"/>
  <c r="C37" i="68"/>
  <c r="C38" i="68"/>
  <c r="C33" i="68"/>
  <c r="C39" i="68"/>
  <c r="C42" i="68"/>
  <c r="C43" i="68"/>
  <c r="C41" i="68"/>
  <c r="C46" i="68"/>
  <c r="C45" i="68"/>
  <c r="C44" i="68"/>
  <c r="D41" i="68"/>
  <c r="C47" i="68"/>
  <c r="D45" i="68"/>
  <c r="C48" i="68"/>
  <c r="C49" i="68"/>
  <c r="F50"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R26" i="31"/>
  <c r="S26"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BF5" i="3"/>
  <c r="E11" i="6"/>
  <c r="E60" i="39"/>
  <c r="G14" i="3"/>
  <c r="H109" i="9"/>
  <c r="D16" i="53"/>
  <c r="B16" i="53"/>
  <c r="B33" i="72"/>
  <c r="B13" i="53"/>
  <c r="B29" i="72"/>
  <c r="B19" i="53"/>
  <c r="B37" i="72"/>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G30" i="6"/>
  <c r="G31" i="6"/>
  <c r="L19" i="6"/>
  <c r="L27" i="6"/>
  <c r="T13" i="1"/>
  <c r="C58" i="21"/>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F27" i="69"/>
  <c r="E8" i="6"/>
  <c r="F27" i="6"/>
  <c r="E15" i="6"/>
  <c r="E64" i="39"/>
  <c r="H16" i="1"/>
  <c r="P11" i="1"/>
  <c r="D9" i="11"/>
  <c r="C9" i="11"/>
  <c r="D19" i="12"/>
  <c r="C19" i="12"/>
  <c r="P9" i="1"/>
  <c r="P12" i="1"/>
  <c r="P8" i="1"/>
  <c r="H73" i="43"/>
  <c r="H90" i="43"/>
  <c r="C23" i="43"/>
  <c r="O23" i="43"/>
  <c r="I18" i="43"/>
  <c r="E17" i="43"/>
  <c r="C17" i="43"/>
  <c r="C24" i="43"/>
  <c r="A1" i="79"/>
  <c r="H55" i="43"/>
  <c r="H86" i="43"/>
  <c r="H87" i="43"/>
  <c r="H89" i="43"/>
  <c r="H88" i="43"/>
  <c r="H84" i="43"/>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E52" i="37"/>
  <c r="F52" i="37"/>
  <c r="G52" i="37"/>
  <c r="H52" i="37"/>
  <c r="I52" i="37"/>
  <c r="J52" i="37"/>
  <c r="K52" i="37"/>
  <c r="L52" i="37"/>
  <c r="M52" i="37"/>
  <c r="N52" i="37"/>
  <c r="O52" i="37"/>
  <c r="D58" i="21"/>
  <c r="E48" i="35"/>
  <c r="D63" i="40"/>
  <c r="C65" i="40"/>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13" i="6"/>
  <c r="E14" i="6"/>
  <c r="E63" i="39"/>
  <c r="E12" i="6"/>
  <c r="E57" i="40"/>
  <c r="E10" i="6"/>
  <c r="U15" i="34"/>
  <c r="S17" i="34"/>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J7" i="37"/>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E56" i="39"/>
  <c r="H7" i="34"/>
  <c r="AB7" i="34"/>
  <c r="J7" i="34"/>
  <c r="W7" i="34"/>
  <c r="F7" i="34"/>
  <c r="S7" i="34"/>
  <c r="AA26" i="35"/>
  <c r="S26" i="35"/>
  <c r="AC26" i="35"/>
  <c r="W26" i="35"/>
  <c r="AB26" i="35"/>
  <c r="U26" i="35"/>
  <c r="E61" i="39"/>
  <c r="E56" i="40"/>
  <c r="C47" i="69"/>
  <c r="D45" i="69"/>
  <c r="C9" i="69"/>
  <c r="C9" i="68"/>
  <c r="E72" i="43"/>
  <c r="B70" i="43"/>
  <c r="C29" i="69"/>
  <c r="D27" i="69"/>
  <c r="F45" i="69"/>
  <c r="F27" i="11"/>
  <c r="F28" i="12"/>
  <c r="E60" i="40"/>
  <c r="E27" i="6"/>
  <c r="K26" i="6"/>
  <c r="M26" i="6"/>
  <c r="I26" i="6"/>
  <c r="S26" i="6"/>
  <c r="E51" i="40"/>
  <c r="E58" i="40"/>
  <c r="E62" i="39"/>
  <c r="D5" i="43"/>
  <c r="J10" i="40"/>
  <c r="AC10" i="40"/>
  <c r="U10" i="39"/>
  <c r="F10" i="40"/>
  <c r="S10" i="40"/>
  <c r="W10" i="39"/>
  <c r="H10" i="40"/>
  <c r="AB10" i="40"/>
  <c r="C7" i="43"/>
  <c r="C5" i="43"/>
  <c r="D10" i="52"/>
  <c r="D125" i="9"/>
  <c r="D11" i="52"/>
  <c r="B7" i="74"/>
  <c r="C7" i="74"/>
  <c r="H7" i="37"/>
  <c r="AB7" i="37"/>
  <c r="T42" i="37"/>
  <c r="G42" i="37"/>
  <c r="L36" i="43"/>
  <c r="S10" i="39"/>
  <c r="D65" i="40"/>
  <c r="E63" i="40"/>
  <c r="F48" i="35"/>
  <c r="AC7" i="37"/>
  <c r="V42" i="37"/>
  <c r="I42" i="37"/>
  <c r="W7" i="37"/>
  <c r="E58" i="21"/>
  <c r="I36" i="36"/>
  <c r="W7" i="36"/>
  <c r="F7" i="37"/>
  <c r="P28" i="43"/>
  <c r="B66" i="40"/>
  <c r="P25" i="43"/>
  <c r="P29" i="43"/>
  <c r="M11" i="67"/>
  <c r="J10" i="67"/>
  <c r="F11" i="15"/>
  <c r="M11" i="15"/>
  <c r="J10" i="15"/>
  <c r="F11" i="67"/>
  <c r="Q61" i="67"/>
  <c r="Q74" i="67"/>
  <c r="AE11" i="1"/>
  <c r="AE6" i="1"/>
  <c r="AE7" i="1"/>
  <c r="AE8" i="1"/>
  <c r="AE12" i="1"/>
  <c r="AE10" i="1"/>
  <c r="F41" i="67"/>
  <c r="C16" i="67"/>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A10" i="40"/>
  <c r="U10" i="40"/>
  <c r="W10" i="40"/>
  <c r="U7" i="37"/>
  <c r="F58" i="21"/>
  <c r="E36" i="36"/>
  <c r="F63" i="40"/>
  <c r="E65" i="40"/>
  <c r="W7" i="33"/>
  <c r="I48" i="33"/>
  <c r="AA7" i="37"/>
  <c r="R42" i="37"/>
  <c r="S7" i="37"/>
  <c r="I40" i="36"/>
  <c r="J40" i="36"/>
  <c r="S7" i="33"/>
  <c r="G40" i="36"/>
  <c r="H40" i="36"/>
  <c r="G41" i="36"/>
  <c r="H41" i="36"/>
  <c r="G46" i="37"/>
  <c r="H46" i="37"/>
  <c r="G47" i="37"/>
  <c r="H47" i="37"/>
  <c r="I46" i="37"/>
  <c r="J46" i="37"/>
  <c r="G48" i="35"/>
  <c r="U7" i="33"/>
  <c r="G48" i="33"/>
  <c r="C53" i="67"/>
  <c r="C10" i="67"/>
  <c r="C5" i="67"/>
  <c r="C38" i="67"/>
  <c r="C53" i="15"/>
  <c r="C10" i="15"/>
  <c r="C5" i="15"/>
  <c r="C38" i="15"/>
  <c r="F25" i="12"/>
  <c r="F22" i="69"/>
  <c r="F41" i="69"/>
  <c r="F24" i="67"/>
  <c r="C24" i="67"/>
  <c r="F22" i="11"/>
  <c r="F24" i="15"/>
  <c r="C24" i="15"/>
  <c r="M27" i="67"/>
  <c r="M27" i="15"/>
  <c r="F34" i="34"/>
  <c r="H34" i="34"/>
  <c r="J34" i="34"/>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15" i="6"/>
  <c r="B2" i="74"/>
  <c r="D8" i="6"/>
  <c r="D14" i="6"/>
  <c r="D6" i="6"/>
  <c r="D9" i="6"/>
  <c r="D10" i="6"/>
  <c r="L19" i="9"/>
  <c r="H24" i="6"/>
  <c r="C18" i="4"/>
  <c r="D5" i="6"/>
  <c r="D12" i="6"/>
  <c r="D11" i="6"/>
  <c r="D13" i="6"/>
  <c r="E61" i="40"/>
  <c r="H26" i="6"/>
  <c r="P14" i="1"/>
  <c r="P16" i="1"/>
  <c r="C11" i="12"/>
  <c r="L16" i="1"/>
  <c r="G42" i="43"/>
  <c r="I42" i="43"/>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F41" i="68"/>
  <c r="C26" i="69"/>
  <c r="D22" i="69"/>
  <c r="C44" i="69"/>
  <c r="D41" i="69"/>
  <c r="C44" i="11"/>
  <c r="D41" i="11"/>
  <c r="D10" i="69"/>
  <c r="C34" i="69"/>
  <c r="C17" i="15"/>
  <c r="C14" i="67"/>
  <c r="C17" i="67"/>
  <c r="S38" i="39"/>
  <c r="AC34" i="34"/>
  <c r="W34" i="34"/>
  <c r="U38" i="39"/>
  <c r="AB34" i="34"/>
  <c r="U34" i="34"/>
  <c r="W38" i="39"/>
  <c r="AA34" i="34"/>
  <c r="S34" i="34"/>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C10" i="69"/>
  <c r="C8" i="69"/>
  <c r="C5" i="69"/>
  <c r="D19" i="69"/>
  <c r="F50" i="69"/>
  <c r="F50" i="11"/>
  <c r="C4" i="52"/>
  <c r="B45" i="72"/>
  <c r="A10" i="51"/>
  <c r="B9" i="72"/>
  <c r="A7" i="51"/>
  <c r="B7" i="72"/>
  <c r="G65" i="40"/>
  <c r="H63" i="40"/>
  <c r="C43" i="37"/>
  <c r="C42" i="37"/>
  <c r="I48" i="35"/>
  <c r="C48"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C23" i="69"/>
  <c r="E2" i="76"/>
  <c r="B2" i="76"/>
  <c r="I63" i="40"/>
  <c r="H65" i="40"/>
  <c r="I58" i="21"/>
  <c r="J58" i="21"/>
  <c r="K58" i="21"/>
  <c r="L58" i="21"/>
  <c r="M58" i="21"/>
  <c r="N58" i="21"/>
  <c r="O58" i="21"/>
  <c r="H7" i="21"/>
  <c r="F7" i="21"/>
  <c r="J48" i="35"/>
  <c r="L56" i="15"/>
  <c r="Q52" i="15"/>
  <c r="F1" i="15"/>
  <c r="C11" i="34"/>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U7" i="21"/>
  <c r="AB7" i="21"/>
  <c r="T48" i="21"/>
  <c r="G48" i="21"/>
  <c r="S7" i="21"/>
  <c r="AA7" i="21"/>
  <c r="R48" i="21"/>
  <c r="J63" i="40"/>
  <c r="I65" i="40"/>
  <c r="K48" i="35"/>
  <c r="L48" i="35"/>
  <c r="M48" i="35"/>
  <c r="N48" i="35"/>
  <c r="O48" i="35"/>
  <c r="H7" i="35"/>
  <c r="AC7" i="21"/>
  <c r="V48" i="21"/>
  <c r="I48" i="21"/>
  <c r="W7" i="21"/>
  <c r="AE9" i="1"/>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J65" i="40"/>
  <c r="K63" i="40"/>
  <c r="I52" i="21"/>
  <c r="J52" i="21"/>
  <c r="U7" i="35"/>
  <c r="AB7" i="35"/>
  <c r="T38" i="35"/>
  <c r="G38" i="35"/>
  <c r="R49" i="21"/>
  <c r="E48" i="21"/>
  <c r="G52" i="21"/>
  <c r="H52" i="21"/>
  <c r="G53" i="21"/>
  <c r="H53" i="21"/>
  <c r="F7" i="35"/>
  <c r="F41" i="15"/>
  <c r="M21" i="67"/>
  <c r="M21" i="15"/>
  <c r="F35" i="67"/>
  <c r="F35" i="15"/>
  <c r="F69" i="15"/>
  <c r="W7" i="35"/>
  <c r="S11" i="34"/>
  <c r="AA11" i="34"/>
  <c r="R49" i="34"/>
  <c r="S11" i="39"/>
  <c r="U11" i="34"/>
  <c r="AB11" i="34"/>
  <c r="T49" i="34"/>
  <c r="G49" i="34"/>
  <c r="U11" i="39"/>
  <c r="W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S7" i="39"/>
  <c r="O63" i="40"/>
  <c r="O65" i="40"/>
  <c r="N65" i="40"/>
  <c r="D2" i="35"/>
  <c r="D2" i="34"/>
  <c r="L51" i="15"/>
  <c r="D2" i="37"/>
  <c r="D2" i="36"/>
  <c r="M24" i="43"/>
  <c r="Q75" i="67"/>
  <c r="Q62" i="67"/>
  <c r="B3" i="67"/>
  <c r="L57" i="15"/>
  <c r="L60" i="15"/>
  <c r="Q57" i="15"/>
  <c r="Q67" i="15"/>
  <c r="B2" i="35"/>
  <c r="M3" i="35"/>
  <c r="B2" i="37"/>
  <c r="B3" i="37"/>
  <c r="B2" i="34"/>
  <c r="Q47" i="15"/>
  <c r="Q53" i="15"/>
  <c r="C43" i="15"/>
  <c r="Q65" i="15"/>
  <c r="C83" i="15"/>
  <c r="C82" i="15"/>
  <c r="Q56" i="15"/>
  <c r="W7" i="39"/>
  <c r="I47" i="39"/>
  <c r="E47" i="39"/>
  <c r="U7" i="39"/>
  <c r="G47" i="39"/>
  <c r="J7" i="40"/>
  <c r="F7" i="40"/>
  <c r="H7" i="40"/>
  <c r="AO7" i="1"/>
  <c r="AO10" i="1"/>
  <c r="AO12" i="1"/>
  <c r="AO6" i="1"/>
  <c r="AO8" i="1"/>
  <c r="AO11" i="1"/>
  <c r="B3" i="35"/>
  <c r="F6" i="12"/>
  <c r="F8" i="12"/>
  <c r="B3" i="34"/>
  <c r="C6" i="12"/>
  <c r="C8" i="12"/>
  <c r="L46" i="15"/>
  <c r="B2" i="15"/>
  <c r="B3" i="15"/>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I46" i="40"/>
  <c r="J46" i="40"/>
  <c r="R43" i="40"/>
  <c r="E42" i="40"/>
  <c r="G47" i="40"/>
  <c r="H47" i="40"/>
  <c r="G46" i="40"/>
  <c r="H46" i="40"/>
  <c r="C27" i="12"/>
  <c r="C25" i="12"/>
  <c r="C30" i="12"/>
  <c r="C28" i="12"/>
  <c r="C42" i="40"/>
  <c r="C43" i="40"/>
  <c r="E47" i="40"/>
  <c r="F47" i="40"/>
  <c r="E46" i="40"/>
  <c r="F46" i="40"/>
  <c r="I47" i="40"/>
  <c r="J47" i="40"/>
  <c r="B3" i="39"/>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<sst xmlns="http://schemas.openxmlformats.org/spreadsheetml/2006/main" count="8835" uniqueCount="3995">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</sst>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355043</v>
      </c>
    </row>
    <row r="21" spans="1:2" s="1199" customFormat="1">
      <c r="A21" s="1197" t="s">
        <v>537</v>
      </c>
      <c r="B21" s="1198">
        <f ca="1">'预评函-2'!D7</f>
        <v>15651</v>
      </c>
    </row>
    <row r="22" spans="1:2" s="1199" customFormat="1">
      <c r="A22" s="1197" t="s">
        <v>538</v>
      </c>
      <c r="B22" s="1198" t="str">
        <f ca="1">'预评函-2'!D6</f>
        <v>叁拾伍亿伍仟零肆拾叁万元整</v>
      </c>
    </row>
    <row r="23" spans="1:2" s="1199" customFormat="1">
      <c r="A23" s="1197" t="s">
        <v>589</v>
      </c>
      <c r="B23" s="1198" t="str">
        <f>'预评函-2'!B8</f>
        <v>2.估价师知悉的法定优先受偿款</v>
      </c>
    </row>
    <row r="24" spans="1:2" s="1199" customFormat="1">
      <c r="A24" s="1197" t="s">
        <v>595</v>
      </c>
      <c r="B24" s="1198">
        <f>'预评函-2'!D8</f>
        <v>4000</v>
      </c>
    </row>
    <row r="25" spans="1:2" s="1199" customFormat="1">
      <c r="A25" s="1197" t="s">
        <v>539</v>
      </c>
      <c r="B25" s="1198" t="str">
        <f>'预评函-2'!D9</f>
        <v>肆仟万元整</v>
      </c>
    </row>
    <row r="26" spans="1:2" s="1199" customFormat="1">
      <c r="A26" s="1197" t="s">
        <v>540</v>
      </c>
      <c r="B26" s="1198">
        <f>'预评函-2'!D10</f>
        <v>0</v>
      </c>
    </row>
    <row r="27" spans="1:2" s="1199" customFormat="1">
      <c r="A27" s="1197" t="s">
        <v>541</v>
      </c>
      <c r="B27" s="1198">
        <f>'预评函-2'!D11</f>
        <v>4000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351043</v>
      </c>
    </row>
    <row r="31" spans="1:2" s="1199" customFormat="1">
      <c r="A31" s="1197" t="s">
        <v>576</v>
      </c>
      <c r="B31" s="1198">
        <f ca="1">'预评函-2'!D15</f>
        <v>15475</v>
      </c>
    </row>
    <row r="32" spans="1:2" s="1199" customFormat="1">
      <c r="A32" s="1197" t="s">
        <v>543</v>
      </c>
      <c r="B32" s="1198" t="str">
        <f ca="1">'预评函-2'!D14</f>
        <v>叁拾伍亿壹仟零肆拾叁万元整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77754</v>
      </c>
    </row>
    <row r="48" spans="1:2" s="1199" customFormat="1">
      <c r="A48" s="1197" t="s">
        <v>549</v>
      </c>
      <c r="B48" s="1198">
        <f ca="1">'预评函-3'!E4</f>
        <v>3427</v>
      </c>
    </row>
    <row r="49" spans="1:2" s="1199" customFormat="1">
      <c r="A49" s="1197" t="s">
        <v>550</v>
      </c>
      <c r="B49" s="1198" t="str">
        <f ca="1">'预评函-3'!D5</f>
        <v>柒亿柒仟柒佰伍拾肆万元整</v>
      </c>
    </row>
    <row r="50" spans="1:2" s="1199" customFormat="1">
      <c r="A50" s="1197" t="s">
        <v>574</v>
      </c>
      <c r="B50" s="1198" t="str">
        <f>'预评函-3'!F2</f>
        <v>在建建筑物价值</v>
      </c>
    </row>
    <row r="51" spans="1:2" s="1199" customFormat="1">
      <c r="A51" s="1197" t="s">
        <v>551</v>
      </c>
      <c r="B51" s="1198">
        <f ca="1">'预评函-3'!F4</f>
        <v>277289</v>
      </c>
    </row>
    <row r="52" spans="1:2" s="1199" customFormat="1">
      <c r="A52" s="1197" t="s">
        <v>552</v>
      </c>
      <c r="B52" s="1198">
        <f ca="1">'预评函-3'!G4</f>
        <v>12224</v>
      </c>
    </row>
    <row r="53" spans="1:2" s="1199" customFormat="1">
      <c r="A53" s="1197" t="s">
        <v>580</v>
      </c>
      <c r="B53" s="1198" t="str">
        <f ca="1">'预评函-3'!F5</f>
        <v>贰拾柒亿柒仟贰佰捌拾玖万元整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故，本次评估估价师知悉的法定优先受偿款为人民币4000万元整。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0" t="s">
        <v>385</v>
      </c>
      <c r="C54" s="1547" t="s">
        <v>583</v>
      </c>
    </row>
    <row r="55" spans="1:4">
      <c r="A55" s="3548"/>
      <c r="B55" s="1550" t="s">
        <v>386</v>
      </c>
      <c r="C55" s="1547" t="s">
        <v>584</v>
      </c>
    </row>
    <row r="56" spans="1:4">
      <c r="A56" s="3548"/>
      <c r="B56" s="1550" t="s">
        <v>387</v>
      </c>
      <c r="C56" s="1547" t="s">
        <v>588</v>
      </c>
    </row>
    <row r="57" spans="1:4">
      <c r="A57" s="354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9" t="s">
        <v>2582</v>
      </c>
      <c r="J2" s="3549"/>
      <c r="K2" s="3549"/>
      <c r="L2" s="3549"/>
      <c r="M2" s="3549"/>
      <c r="N2" s="3549"/>
      <c r="O2" s="3549"/>
      <c r="P2" s="3549"/>
      <c r="Q2" s="3549"/>
      <c r="R2" s="3549"/>
    </row>
    <row r="3" spans="1:18">
      <c r="A3" s="3016" t="s">
        <v>2503</v>
      </c>
      <c r="B3" s="3017">
        <f>项目基本情况!D3</f>
        <v>45005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D4" sqref="D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0" t="str">
        <f>IF(B10="北京市","北京市",C10)&amp;F10&amp;IF(结果表!G1="在建","出让国有建设用地使用权及在建建筑物",IF(结果表!G1="土地","出让国有建设用地使用权",))&amp;B9&amp;"预评估"</f>
        <v>房地产抵押价值预评估</v>
      </c>
      <c r="C1" s="3551"/>
      <c r="D1" s="3551"/>
      <c r="E1" s="3551"/>
      <c r="F1" s="3551"/>
      <c r="G1" s="3551"/>
      <c r="H1" s="3551"/>
      <c r="I1" s="355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53"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54"/>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28.88</v>
      </c>
      <c r="E15" s="2406">
        <f>IF(A13="出让",IF(E13="","",ROUNDDOWN(MIN((E13-$D$3)/365,E14),2)),E14)</f>
        <v>28.88</v>
      </c>
      <c r="F15" s="2406">
        <f>IF(A13="出让",IF(F13="","",ROUNDDOWN(MIN((F13-$D$3)/365,F14),2)),F14)</f>
        <v>28.88</v>
      </c>
      <c r="G15" s="2406">
        <f>IF(A13="出让",IF(G13="","",ROUNDDOWN(MIN((G13-$D$3)/365,G14),2)),G14)</f>
        <v>28.88</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0"/>
      <c r="C16" s="3561"/>
      <c r="D16" s="3562"/>
      <c r="E16" s="2409" t="s">
        <v>2193</v>
      </c>
      <c r="F16" s="3563"/>
      <c r="G16" s="3564"/>
      <c r="H16" s="3564"/>
      <c r="I16" s="3565"/>
      <c r="J16" s="2435"/>
      <c r="K16" s="2613"/>
      <c r="L16" s="2447"/>
      <c r="M16" s="2447"/>
      <c r="N16" s="2505"/>
      <c r="O16" s="2447"/>
      <c r="P16" s="2505"/>
      <c r="Q16" s="2435"/>
      <c r="R16" s="2435"/>
    </row>
    <row r="17" spans="1:28">
      <c r="A17" s="313" t="s">
        <v>2194</v>
      </c>
      <c r="B17" s="302" t="s">
        <v>2195</v>
      </c>
      <c r="C17" s="8">
        <f>'数据-汇总表'!E3</f>
        <v>226846.22999999989</v>
      </c>
      <c r="D17" s="2318" t="s">
        <v>2196</v>
      </c>
      <c r="E17" s="3566" t="s">
        <v>2197</v>
      </c>
      <c r="F17" s="3567"/>
      <c r="G17" s="3567"/>
      <c r="H17" s="3567"/>
      <c r="I17" s="3568"/>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69" t="s">
        <v>2201</v>
      </c>
      <c r="F18" s="3570"/>
      <c r="G18" s="3570"/>
      <c r="H18" s="3570"/>
      <c r="I18" s="3571"/>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56" t="s">
        <v>2205</v>
      </c>
      <c r="C20" s="3557"/>
      <c r="D20" s="3558" t="s">
        <v>2206</v>
      </c>
      <c r="E20" s="3559"/>
      <c r="F20" s="2643" t="s">
        <v>1056</v>
      </c>
      <c r="G20" s="2660"/>
      <c r="H20" s="2660"/>
      <c r="I20" s="2660"/>
      <c r="J20" s="2435"/>
      <c r="K20" s="355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3"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3"/>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3"/>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4"/>
      <c r="B30" s="302" t="s">
        <v>2217</v>
      </c>
      <c r="C30" s="3575"/>
      <c r="D30" s="3576"/>
      <c r="E30" s="2660"/>
      <c r="F30" s="2660"/>
      <c r="G30" s="2660"/>
      <c r="H30" s="2660"/>
      <c r="I30" s="2660"/>
      <c r="J30" s="2435"/>
      <c r="K30" s="2612"/>
      <c r="L30" s="2609"/>
      <c r="M30" s="2609"/>
      <c r="N30" s="2435"/>
      <c r="O30" s="2446"/>
      <c r="P30" s="2435"/>
      <c r="Q30" s="2435"/>
      <c r="R30" s="2435"/>
      <c r="S30" s="2435"/>
      <c r="T30" s="2435"/>
      <c r="U30" s="2435"/>
      <c r="V30" s="2435"/>
    </row>
    <row r="31" spans="1:28">
      <c r="A31" s="3577"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72" t="s">
        <v>2227</v>
      </c>
      <c r="T34" s="2424" t="str">
        <f>NUMBERSTRING(7-K34,1)&amp;"通"</f>
        <v>七通</v>
      </c>
      <c r="U34" s="2435"/>
      <c r="V34" s="2435"/>
    </row>
    <row r="35" spans="1:30">
      <c r="A35" s="2425"/>
      <c r="B35" s="3579" t="s">
        <v>2228</v>
      </c>
      <c r="C35" s="3579"/>
      <c r="D35" s="3579"/>
      <c r="E35" s="357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2"/>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3" sqref="G13:G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8843.1700000000019</v>
      </c>
      <c r="AD5" s="13">
        <f t="shared" si="0"/>
        <v>0</v>
      </c>
      <c r="AE5" s="13">
        <f t="shared" si="0"/>
        <v>0</v>
      </c>
      <c r="AF5" s="13">
        <f t="shared" si="0"/>
        <v>0</v>
      </c>
      <c r="AG5" s="13">
        <f t="shared" si="0"/>
        <v>0</v>
      </c>
      <c r="AH5" s="13">
        <f t="shared" si="0"/>
        <v>0</v>
      </c>
      <c r="AI5" s="13">
        <f t="shared" si="0"/>
        <v>0</v>
      </c>
      <c r="AJ5" s="13">
        <f t="shared" si="0"/>
        <v>0</v>
      </c>
      <c r="AK5" s="13">
        <f t="shared" si="0"/>
        <v>0</v>
      </c>
      <c r="AL5" s="13">
        <f t="shared" si="0"/>
        <v>7712.7100000000009</v>
      </c>
      <c r="AM5" s="13">
        <f t="shared" si="0"/>
        <v>0</v>
      </c>
      <c r="AN5" s="13">
        <f t="shared" si="0"/>
        <v>1130.46</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8843.1700000000019</v>
      </c>
      <c r="BM5" s="15">
        <f t="shared" si="1"/>
        <v>0</v>
      </c>
      <c r="BN5" s="15">
        <f t="shared" si="1"/>
        <v>0</v>
      </c>
      <c r="BO5" s="15">
        <f t="shared" si="1"/>
        <v>0</v>
      </c>
      <c r="BP5" s="15">
        <f t="shared" si="1"/>
        <v>0</v>
      </c>
      <c r="BQ5" s="15">
        <f t="shared" si="1"/>
        <v>7712.7100000000009</v>
      </c>
      <c r="BR5" s="15">
        <f t="shared" si="1"/>
        <v>1130.46</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531.6</v>
      </c>
      <c r="AM6" s="13">
        <f t="shared" si="3"/>
        <v>0</v>
      </c>
      <c r="AN6" s="13">
        <f t="shared" si="3"/>
        <v>77.92</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531.6</v>
      </c>
      <c r="BR6" s="13">
        <f t="shared" si="5"/>
        <v>77.92</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8843.1700000000019</v>
      </c>
      <c r="AD13" s="1623"/>
      <c r="AE13" s="1623"/>
      <c r="AF13" s="1623"/>
      <c r="AG13" s="1623"/>
      <c r="AH13" s="1623"/>
      <c r="AI13" s="1623"/>
      <c r="AJ13" s="1623"/>
      <c r="AK13" s="1623"/>
      <c r="AL13" s="1623">
        <f>Sheet1!L85</f>
        <v>7712.7100000000009</v>
      </c>
      <c r="AM13" s="1623"/>
      <c r="AN13" s="1623">
        <f>Sheet1!I85+Sheet1!K85</f>
        <v>1130.46</v>
      </c>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8843.1700000000019</v>
      </c>
      <c r="BM13" s="13">
        <f>IF($D13="是",AD13-AE13,0)</f>
        <v>0</v>
      </c>
      <c r="BN13" s="13">
        <f>IF($D13="是",AF13-AG13,0)</f>
        <v>0</v>
      </c>
      <c r="BO13" s="13">
        <f>IF($D13="是",AH13-AI13,0)</f>
        <v>0</v>
      </c>
      <c r="BP13" s="13">
        <f>IF($D13="是",AJ13-AK13,0)</f>
        <v>0</v>
      </c>
      <c r="BQ13" s="13">
        <f>IF($D13="是",AL13-AM13,0)</f>
        <v>7712.7100000000009</v>
      </c>
      <c r="BR13" s="13">
        <f>IF($D13="是",AN13-AO13,0)</f>
        <v>1130.46</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6:L401"/>
  <sheetViews>
    <sheetView topLeftCell="B1" zoomScaleNormal="100" workbookViewId="0">
      <selection activeCell="H61" sqref="H61"/>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8">
      <c r="B97" s="3447"/>
      <c r="C97" s="3452" t="s">
        <v>3471</v>
      </c>
      <c r="D97" s="3452">
        <f>H85</f>
        <v>4064.82</v>
      </c>
    </row>
    <row r="98" spans="2:8">
      <c r="C98" s="3446" t="s">
        <v>3472</v>
      </c>
      <c r="D98" s="3446">
        <f>SUM(D89:D97)</f>
        <v>282075.71999999991</v>
      </c>
      <c r="H98" s="3446">
        <v>289978.21000000002</v>
      </c>
    </row>
    <row r="99" spans="2:8">
      <c r="B99" s="3447"/>
      <c r="H99" s="3446">
        <f>H98-D98</f>
        <v>7902.4900000001071</v>
      </c>
    </row>
    <row r="100" spans="2:8">
      <c r="C100" s="3446" t="s">
        <v>3473</v>
      </c>
      <c r="D100" s="3446">
        <v>282075.71999999997</v>
      </c>
    </row>
    <row r="101" spans="2:8">
      <c r="B101" s="3447"/>
      <c r="C101" s="3451" t="s">
        <v>3474</v>
      </c>
      <c r="D101" s="3451">
        <v>8843.17</v>
      </c>
    </row>
    <row r="102" spans="2:8">
      <c r="C102" s="3452" t="s">
        <v>3475</v>
      </c>
      <c r="D102" s="3452">
        <v>4064.82</v>
      </c>
    </row>
    <row r="108" spans="2:8">
      <c r="B108" s="3582" t="s">
        <v>3480</v>
      </c>
      <c r="C108" s="3582" t="s">
        <v>3481</v>
      </c>
      <c r="D108" s="3582" t="s">
        <v>3482</v>
      </c>
      <c r="E108" s="3584" t="s">
        <v>3483</v>
      </c>
      <c r="F108" s="3580" t="s">
        <v>3484</v>
      </c>
      <c r="G108" s="3580" t="s">
        <v>3781</v>
      </c>
    </row>
    <row r="109" spans="2:8">
      <c r="B109" s="3583"/>
      <c r="C109" s="3583"/>
      <c r="D109" s="3583"/>
      <c r="E109" s="3585"/>
      <c r="F109" s="3581"/>
      <c r="G109" s="3581"/>
    </row>
    <row r="110" spans="2:8" s="3460" customFormat="1" hidden="1">
      <c r="B110" s="3457">
        <v>1</v>
      </c>
      <c r="C110" s="3458" t="s">
        <v>3485</v>
      </c>
      <c r="D110" s="3458" t="s">
        <v>21</v>
      </c>
      <c r="E110" s="3459">
        <v>319.54000000000002</v>
      </c>
      <c r="F110" s="3457">
        <v>6409845</v>
      </c>
      <c r="G110" s="3457">
        <f>F110/E110</f>
        <v>20059.60130187144</v>
      </c>
    </row>
    <row r="111" spans="2:8" s="3460" customFormat="1" hidden="1">
      <c r="B111" s="3457">
        <v>2</v>
      </c>
      <c r="C111" s="3458" t="s">
        <v>3486</v>
      </c>
      <c r="D111" s="3458" t="s">
        <v>21</v>
      </c>
      <c r="E111" s="3459">
        <v>190.78</v>
      </c>
      <c r="F111" s="3457">
        <v>3764204</v>
      </c>
      <c r="G111" s="3457">
        <f t="shared" ref="G111:G174" si="6">F111/E111</f>
        <v>19730.600691896427</v>
      </c>
    </row>
    <row r="112" spans="2:8" s="3460" customFormat="1" hidden="1">
      <c r="B112" s="3457">
        <v>5</v>
      </c>
      <c r="C112" s="3458" t="s">
        <v>3487</v>
      </c>
      <c r="D112" s="3458" t="s">
        <v>21</v>
      </c>
      <c r="E112" s="3459">
        <v>190.78</v>
      </c>
      <c r="F112" s="3457">
        <v>3839924</v>
      </c>
      <c r="G112" s="3457">
        <f t="shared" si="6"/>
        <v>20127.497641262187</v>
      </c>
    </row>
    <row r="113" spans="2:7" s="3470" customFormat="1" hidden="1">
      <c r="B113" s="3467">
        <v>6</v>
      </c>
      <c r="C113" s="3468" t="s">
        <v>3488</v>
      </c>
      <c r="D113" s="3468" t="s">
        <v>3489</v>
      </c>
      <c r="E113" s="3469">
        <v>9.1999999999999993</v>
      </c>
      <c r="F113" s="3467">
        <v>93970</v>
      </c>
      <c r="G113" s="3467">
        <f t="shared" si="6"/>
        <v>10214.13043478261</v>
      </c>
    </row>
    <row r="114" spans="2:7" s="3460" customFormat="1" hidden="1">
      <c r="B114" s="3457">
        <v>7</v>
      </c>
      <c r="C114" s="3458" t="s">
        <v>3490</v>
      </c>
      <c r="D114" s="3458" t="s">
        <v>21</v>
      </c>
      <c r="E114" s="3459">
        <v>190.78</v>
      </c>
      <c r="F114" s="3457">
        <v>3562817</v>
      </c>
      <c r="G114" s="3457">
        <f t="shared" si="6"/>
        <v>18675.002620819792</v>
      </c>
    </row>
    <row r="115" spans="2:7" s="3460" customFormat="1" hidden="1">
      <c r="B115" s="3457">
        <v>8</v>
      </c>
      <c r="C115" s="3458" t="s">
        <v>3491</v>
      </c>
      <c r="D115" s="3458" t="s">
        <v>21</v>
      </c>
      <c r="E115" s="3459">
        <v>319.54000000000002</v>
      </c>
      <c r="F115" s="3457">
        <v>6546224</v>
      </c>
      <c r="G115" s="3457">
        <f t="shared" si="6"/>
        <v>20486.399198848343</v>
      </c>
    </row>
    <row r="116" spans="2:7" s="3460" customFormat="1" hidden="1">
      <c r="B116" s="3457">
        <v>9</v>
      </c>
      <c r="C116" s="3458" t="s">
        <v>3492</v>
      </c>
      <c r="D116" s="3458" t="s">
        <v>21</v>
      </c>
      <c r="E116" s="3461">
        <v>288.73</v>
      </c>
      <c r="F116" s="3462">
        <v>5732330</v>
      </c>
      <c r="G116" s="3457">
        <f t="shared" si="6"/>
        <v>19853.600249367919</v>
      </c>
    </row>
    <row r="117" spans="2:7" s="3460" customFormat="1" hidden="1">
      <c r="B117" s="3457">
        <v>10</v>
      </c>
      <c r="C117" s="3458" t="s">
        <v>3493</v>
      </c>
      <c r="D117" s="3458" t="s">
        <v>21</v>
      </c>
      <c r="E117" s="3459">
        <v>319.54000000000002</v>
      </c>
      <c r="F117" s="3457">
        <v>6423393</v>
      </c>
      <c r="G117" s="3457">
        <f t="shared" si="6"/>
        <v>20101.999749640105</v>
      </c>
    </row>
    <row r="118" spans="2:7" s="3460" customFormat="1" hidden="1">
      <c r="B118" s="3457">
        <v>11</v>
      </c>
      <c r="C118" s="3458" t="s">
        <v>3494</v>
      </c>
      <c r="D118" s="3458" t="s">
        <v>21</v>
      </c>
      <c r="E118" s="3459">
        <v>319.54000000000002</v>
      </c>
      <c r="F118" s="3457">
        <v>6417098</v>
      </c>
      <c r="G118" s="3457">
        <f t="shared" si="6"/>
        <v>20082.299555611189</v>
      </c>
    </row>
    <row r="119" spans="2:7" s="3470" customFormat="1" hidden="1">
      <c r="B119" s="3467">
        <v>12</v>
      </c>
      <c r="C119" s="3468" t="s">
        <v>3495</v>
      </c>
      <c r="D119" s="3468" t="s">
        <v>3489</v>
      </c>
      <c r="E119" s="3469">
        <v>6.08</v>
      </c>
      <c r="F119" s="3467">
        <v>62809</v>
      </c>
      <c r="G119" s="3467">
        <f t="shared" si="6"/>
        <v>10330.427631578947</v>
      </c>
    </row>
    <row r="120" spans="2:7" s="3460" customFormat="1" hidden="1">
      <c r="B120" s="3457">
        <v>13</v>
      </c>
      <c r="C120" s="3458" t="s">
        <v>3496</v>
      </c>
      <c r="D120" s="3458" t="s">
        <v>21</v>
      </c>
      <c r="E120" s="3459">
        <v>190.78</v>
      </c>
      <c r="F120" s="3457">
        <v>3844293</v>
      </c>
      <c r="G120" s="3457">
        <f t="shared" si="6"/>
        <v>20150.398364608449</v>
      </c>
    </row>
    <row r="121" spans="2:7" s="3470" customFormat="1" hidden="1">
      <c r="B121" s="3467">
        <v>14</v>
      </c>
      <c r="C121" s="3468" t="s">
        <v>3497</v>
      </c>
      <c r="D121" s="3468" t="s">
        <v>3489</v>
      </c>
      <c r="E121" s="3469">
        <v>9.1999999999999993</v>
      </c>
      <c r="F121" s="3467">
        <v>95041</v>
      </c>
      <c r="G121" s="3467">
        <f t="shared" si="6"/>
        <v>10330.54347826087</v>
      </c>
    </row>
    <row r="122" spans="2:7" s="3460" customFormat="1" hidden="1">
      <c r="B122" s="3457">
        <v>15</v>
      </c>
      <c r="C122" s="3458" t="s">
        <v>3498</v>
      </c>
      <c r="D122" s="3458" t="s">
        <v>21</v>
      </c>
      <c r="E122" s="3459">
        <v>319.54000000000002</v>
      </c>
      <c r="F122" s="3457">
        <v>6412976</v>
      </c>
      <c r="G122" s="3457">
        <f t="shared" si="6"/>
        <v>20069.3997621581</v>
      </c>
    </row>
    <row r="123" spans="2:7" s="3460" customFormat="1" hidden="1">
      <c r="B123" s="3457">
        <v>16</v>
      </c>
      <c r="C123" s="3458" t="s">
        <v>3499</v>
      </c>
      <c r="D123" s="3458" t="s">
        <v>21</v>
      </c>
      <c r="E123" s="3459">
        <v>319.54000000000002</v>
      </c>
      <c r="F123" s="3457">
        <v>6478035</v>
      </c>
      <c r="G123" s="3457">
        <f t="shared" si="6"/>
        <v>20273.001815109219</v>
      </c>
    </row>
    <row r="124" spans="2:7" s="3460" customFormat="1" hidden="1">
      <c r="B124" s="3457">
        <v>17</v>
      </c>
      <c r="C124" s="3458" t="s">
        <v>3500</v>
      </c>
      <c r="D124" s="3458" t="s">
        <v>21</v>
      </c>
      <c r="E124" s="3459">
        <v>288.73</v>
      </c>
      <c r="F124" s="3457">
        <v>5853424</v>
      </c>
      <c r="G124" s="3457">
        <f t="shared" si="6"/>
        <v>20273.002459044779</v>
      </c>
    </row>
    <row r="125" spans="2:7" s="3460" customFormat="1" hidden="1">
      <c r="B125" s="3457">
        <v>18</v>
      </c>
      <c r="C125" s="3458" t="s">
        <v>3501</v>
      </c>
      <c r="D125" s="3458" t="s">
        <v>21</v>
      </c>
      <c r="E125" s="3459">
        <v>190.78</v>
      </c>
      <c r="F125" s="3457">
        <v>3510000</v>
      </c>
      <c r="G125" s="3457">
        <f t="shared" si="6"/>
        <v>18398.154942866127</v>
      </c>
    </row>
    <row r="126" spans="2:7" s="3460" customFormat="1" hidden="1">
      <c r="B126" s="3457">
        <v>19</v>
      </c>
      <c r="C126" s="3458" t="s">
        <v>3502</v>
      </c>
      <c r="D126" s="3458" t="s">
        <v>21</v>
      </c>
      <c r="E126" s="3459">
        <v>319.54000000000002</v>
      </c>
      <c r="F126" s="3457">
        <v>5326866</v>
      </c>
      <c r="G126" s="3457">
        <f t="shared" si="6"/>
        <v>16670.419978719408</v>
      </c>
    </row>
    <row r="127" spans="2:7" s="3460" customFormat="1" hidden="1">
      <c r="B127" s="3457">
        <v>20</v>
      </c>
      <c r="C127" s="3458" t="s">
        <v>3503</v>
      </c>
      <c r="D127" s="3458" t="s">
        <v>21</v>
      </c>
      <c r="E127" s="3459">
        <v>190.78</v>
      </c>
      <c r="F127" s="3457">
        <v>3124866</v>
      </c>
      <c r="G127" s="3457">
        <f t="shared" si="6"/>
        <v>16379.421322989831</v>
      </c>
    </row>
    <row r="128" spans="2:7" s="3460" customFormat="1" hidden="1">
      <c r="B128" s="3457">
        <v>21</v>
      </c>
      <c r="C128" s="3458" t="s">
        <v>3504</v>
      </c>
      <c r="D128" s="3458" t="s">
        <v>21</v>
      </c>
      <c r="E128" s="3459">
        <v>190.78</v>
      </c>
      <c r="F128" s="3457">
        <v>3192894</v>
      </c>
      <c r="G128" s="3457">
        <f t="shared" si="6"/>
        <v>16735.999580668835</v>
      </c>
    </row>
    <row r="129" spans="2:7" s="3460" customFormat="1" hidden="1">
      <c r="B129" s="3457">
        <v>22</v>
      </c>
      <c r="C129" s="3458" t="s">
        <v>3505</v>
      </c>
      <c r="D129" s="3458" t="s">
        <v>21</v>
      </c>
      <c r="E129" s="3459">
        <v>319.54000000000002</v>
      </c>
      <c r="F129" s="3457">
        <v>5507591</v>
      </c>
      <c r="G129" s="3457">
        <f t="shared" si="6"/>
        <v>17235.99862302059</v>
      </c>
    </row>
    <row r="130" spans="2:7" s="3470" customFormat="1" ht="11.25" hidden="1" customHeight="1">
      <c r="B130" s="3467">
        <v>23</v>
      </c>
      <c r="C130" s="3468" t="s">
        <v>3506</v>
      </c>
      <c r="D130" s="3468" t="s">
        <v>3489</v>
      </c>
      <c r="E130" s="3469">
        <v>6.08</v>
      </c>
      <c r="F130" s="3467">
        <v>51680</v>
      </c>
      <c r="G130" s="3467">
        <f t="shared" si="6"/>
        <v>8500</v>
      </c>
    </row>
    <row r="131" spans="2:7" s="3460" customFormat="1" hidden="1">
      <c r="B131" s="3457">
        <v>24</v>
      </c>
      <c r="C131" s="3458" t="s">
        <v>3507</v>
      </c>
      <c r="D131" s="3458" t="s">
        <v>21</v>
      </c>
      <c r="E131" s="3459">
        <v>319.54000000000002</v>
      </c>
      <c r="F131" s="3457">
        <v>5555522</v>
      </c>
      <c r="G131" s="3457">
        <f t="shared" si="6"/>
        <v>17385.99862302059</v>
      </c>
    </row>
    <row r="132" spans="2:7" s="3460" customFormat="1" hidden="1">
      <c r="B132" s="3457">
        <v>25</v>
      </c>
      <c r="C132" s="3458" t="s">
        <v>3508</v>
      </c>
      <c r="D132" s="3458" t="s">
        <v>21</v>
      </c>
      <c r="E132" s="3459">
        <v>288.73</v>
      </c>
      <c r="F132" s="3457">
        <v>5019860</v>
      </c>
      <c r="G132" s="3457">
        <f t="shared" si="6"/>
        <v>17386.000761957537</v>
      </c>
    </row>
    <row r="133" spans="2:7" s="3460" customFormat="1" hidden="1">
      <c r="B133" s="3457">
        <v>26</v>
      </c>
      <c r="C133" s="3458" t="s">
        <v>3509</v>
      </c>
      <c r="D133" s="3458" t="s">
        <v>21</v>
      </c>
      <c r="E133" s="3459">
        <v>319.54000000000002</v>
      </c>
      <c r="F133" s="3457">
        <v>5555522</v>
      </c>
      <c r="G133" s="3457">
        <f t="shared" si="6"/>
        <v>17385.99862302059</v>
      </c>
    </row>
    <row r="134" spans="2:7" s="3470" customFormat="1" hidden="1">
      <c r="B134" s="3467">
        <v>27</v>
      </c>
      <c r="C134" s="3468" t="s">
        <v>3510</v>
      </c>
      <c r="D134" s="3468" t="s">
        <v>3489</v>
      </c>
      <c r="E134" s="3469">
        <v>6.08</v>
      </c>
      <c r="F134" s="3467">
        <v>52136</v>
      </c>
      <c r="G134" s="3467">
        <f t="shared" si="6"/>
        <v>8575</v>
      </c>
    </row>
    <row r="135" spans="2:7" s="3460" customFormat="1" hidden="1">
      <c r="B135" s="3457">
        <v>28</v>
      </c>
      <c r="C135" s="3458" t="s">
        <v>3511</v>
      </c>
      <c r="D135" s="3458" t="s">
        <v>21</v>
      </c>
      <c r="E135" s="3459">
        <v>288.73</v>
      </c>
      <c r="F135" s="3457">
        <v>4962114</v>
      </c>
      <c r="G135" s="3457">
        <f t="shared" si="6"/>
        <v>17186.000761957537</v>
      </c>
    </row>
    <row r="136" spans="2:7" s="3460" customFormat="1" hidden="1">
      <c r="B136" s="3457">
        <v>29</v>
      </c>
      <c r="C136" s="3458" t="s">
        <v>3512</v>
      </c>
      <c r="D136" s="3458" t="s">
        <v>21</v>
      </c>
      <c r="E136" s="3459">
        <v>286.88</v>
      </c>
      <c r="F136" s="3457">
        <v>5722338</v>
      </c>
      <c r="G136" s="3457">
        <f t="shared" si="6"/>
        <v>19946.800055772448</v>
      </c>
    </row>
    <row r="137" spans="2:7" s="3460" customFormat="1" hidden="1">
      <c r="B137" s="3457">
        <v>30</v>
      </c>
      <c r="C137" s="3458" t="s">
        <v>3513</v>
      </c>
      <c r="D137" s="3458" t="s">
        <v>21</v>
      </c>
      <c r="E137" s="3459">
        <v>322.74</v>
      </c>
      <c r="F137" s="3457">
        <v>6616622</v>
      </c>
      <c r="G137" s="3457">
        <f t="shared" si="6"/>
        <v>20501.400508148974</v>
      </c>
    </row>
    <row r="138" spans="2:7" s="3460" customFormat="1" hidden="1">
      <c r="B138" s="3457">
        <v>31</v>
      </c>
      <c r="C138" s="3458" t="s">
        <v>3514</v>
      </c>
      <c r="D138" s="3458" t="s">
        <v>21</v>
      </c>
      <c r="E138" s="3459">
        <v>291.63</v>
      </c>
      <c r="F138" s="3457">
        <v>5978823</v>
      </c>
      <c r="G138" s="3457">
        <f t="shared" si="6"/>
        <v>20501.399033021295</v>
      </c>
    </row>
    <row r="139" spans="2:7" s="3470" customFormat="1" hidden="1">
      <c r="B139" s="3467">
        <v>32</v>
      </c>
      <c r="C139" s="3468" t="s">
        <v>3515</v>
      </c>
      <c r="D139" s="3468" t="s">
        <v>3489</v>
      </c>
      <c r="E139" s="3469">
        <v>5.79</v>
      </c>
      <c r="F139" s="3467">
        <v>58617</v>
      </c>
      <c r="G139" s="3467">
        <f t="shared" si="6"/>
        <v>10123.834196891192</v>
      </c>
    </row>
    <row r="140" spans="2:7" s="3470" customFormat="1" hidden="1">
      <c r="B140" s="3467">
        <v>33</v>
      </c>
      <c r="C140" s="3468" t="s">
        <v>3516</v>
      </c>
      <c r="D140" s="3468" t="s">
        <v>3489</v>
      </c>
      <c r="E140" s="3469">
        <v>63.29</v>
      </c>
      <c r="F140" s="3467">
        <v>640735</v>
      </c>
      <c r="G140" s="3467">
        <f t="shared" si="6"/>
        <v>10123.795228314109</v>
      </c>
    </row>
    <row r="141" spans="2:7" s="3460" customFormat="1" hidden="1">
      <c r="B141" s="3457">
        <v>34</v>
      </c>
      <c r="C141" s="3458" t="s">
        <v>3517</v>
      </c>
      <c r="D141" s="3458" t="s">
        <v>21</v>
      </c>
      <c r="E141" s="3459">
        <v>288.73</v>
      </c>
      <c r="F141" s="3457">
        <v>4918804</v>
      </c>
      <c r="G141" s="3457">
        <f t="shared" si="6"/>
        <v>17035.99903023586</v>
      </c>
    </row>
    <row r="142" spans="2:7" s="3460" customFormat="1" hidden="1">
      <c r="B142" s="3457">
        <v>35</v>
      </c>
      <c r="C142" s="3458" t="s">
        <v>3518</v>
      </c>
      <c r="D142" s="3458" t="s">
        <v>21</v>
      </c>
      <c r="E142" s="3459">
        <v>319.54000000000002</v>
      </c>
      <c r="F142" s="3457">
        <v>6491008</v>
      </c>
      <c r="G142" s="3457">
        <f t="shared" si="6"/>
        <v>20313.600801151653</v>
      </c>
    </row>
    <row r="143" spans="2:7" s="3470" customFormat="1" hidden="1">
      <c r="B143" s="3467">
        <v>36</v>
      </c>
      <c r="C143" s="3468" t="s">
        <v>3519</v>
      </c>
      <c r="D143" s="3468" t="s">
        <v>3489</v>
      </c>
      <c r="E143" s="3469">
        <v>6.08</v>
      </c>
      <c r="F143" s="3467">
        <v>60995</v>
      </c>
      <c r="G143" s="3467">
        <f t="shared" si="6"/>
        <v>10032.072368421053</v>
      </c>
    </row>
    <row r="144" spans="2:7" s="3460" customFormat="1" hidden="1">
      <c r="B144" s="3457">
        <v>37</v>
      </c>
      <c r="C144" s="3458" t="s">
        <v>3520</v>
      </c>
      <c r="D144" s="3458" t="s">
        <v>21</v>
      </c>
      <c r="E144" s="3459">
        <v>193.86</v>
      </c>
      <c r="F144" s="3457">
        <v>4402639</v>
      </c>
      <c r="G144" s="3457">
        <f t="shared" si="6"/>
        <v>22710.404415557616</v>
      </c>
    </row>
    <row r="145" spans="2:7" s="3460" customFormat="1" hidden="1">
      <c r="B145" s="3457">
        <v>38</v>
      </c>
      <c r="C145" s="3458" t="s">
        <v>3521</v>
      </c>
      <c r="D145" s="3458" t="s">
        <v>21</v>
      </c>
      <c r="E145" s="3459">
        <v>193.86</v>
      </c>
      <c r="F145" s="3457">
        <v>4215292</v>
      </c>
      <c r="G145" s="3457">
        <f t="shared" si="6"/>
        <v>21744.000825337873</v>
      </c>
    </row>
    <row r="146" spans="2:7" s="3460" customFormat="1" hidden="1">
      <c r="B146" s="3457">
        <v>39</v>
      </c>
      <c r="C146" s="3458" t="s">
        <v>3522</v>
      </c>
      <c r="D146" s="3458" t="s">
        <v>21</v>
      </c>
      <c r="E146" s="3459">
        <v>291</v>
      </c>
      <c r="F146" s="3457">
        <v>6327504</v>
      </c>
      <c r="G146" s="3457">
        <f t="shared" si="6"/>
        <v>21744</v>
      </c>
    </row>
    <row r="147" spans="2:7" s="3460" customFormat="1" hidden="1">
      <c r="B147" s="3457">
        <v>40</v>
      </c>
      <c r="C147" s="3458" t="s">
        <v>3523</v>
      </c>
      <c r="D147" s="3458" t="s">
        <v>21</v>
      </c>
      <c r="E147" s="3459">
        <v>327.37</v>
      </c>
      <c r="F147" s="3457">
        <v>7291647</v>
      </c>
      <c r="G147" s="3457">
        <f t="shared" si="6"/>
        <v>22273.412346885787</v>
      </c>
    </row>
    <row r="148" spans="2:7" s="3460" customFormat="1" hidden="1">
      <c r="B148" s="3457">
        <v>41</v>
      </c>
      <c r="C148" s="3458" t="s">
        <v>3524</v>
      </c>
      <c r="D148" s="3458" t="s">
        <v>21</v>
      </c>
      <c r="E148" s="3459">
        <v>295.81</v>
      </c>
      <c r="F148" s="3457">
        <v>6588698</v>
      </c>
      <c r="G148" s="3457">
        <f t="shared" si="6"/>
        <v>22273.411987424359</v>
      </c>
    </row>
    <row r="149" spans="2:7" s="3470" customFormat="1" hidden="1">
      <c r="B149" s="3467">
        <v>42</v>
      </c>
      <c r="C149" s="3468" t="s">
        <v>3525</v>
      </c>
      <c r="D149" s="3468" t="s">
        <v>3489</v>
      </c>
      <c r="E149" s="3469">
        <v>5.87</v>
      </c>
      <c r="F149" s="3467">
        <v>64639</v>
      </c>
      <c r="G149" s="3467">
        <f t="shared" si="6"/>
        <v>11011.754684838161</v>
      </c>
    </row>
    <row r="150" spans="2:7" s="3470" customFormat="1" hidden="1">
      <c r="B150" s="3467">
        <v>43</v>
      </c>
      <c r="C150" s="3468" t="s">
        <v>3526</v>
      </c>
      <c r="D150" s="3468" t="s">
        <v>3527</v>
      </c>
      <c r="E150" s="3469">
        <v>59.44</v>
      </c>
      <c r="F150" s="3467">
        <v>785447</v>
      </c>
      <c r="G150" s="3467">
        <f t="shared" si="6"/>
        <v>13214.115074024226</v>
      </c>
    </row>
    <row r="151" spans="2:7" s="3470" customFormat="1" hidden="1">
      <c r="B151" s="3467">
        <v>44</v>
      </c>
      <c r="C151" s="3468" t="s">
        <v>3528</v>
      </c>
      <c r="D151" s="3468" t="s">
        <v>3489</v>
      </c>
      <c r="E151" s="3469">
        <v>64.2</v>
      </c>
      <c r="F151" s="3467">
        <v>706955</v>
      </c>
      <c r="G151" s="3467">
        <f t="shared" si="6"/>
        <v>11011.760124610591</v>
      </c>
    </row>
    <row r="152" spans="2:7" s="3460" customFormat="1" hidden="1">
      <c r="B152" s="3457">
        <v>45</v>
      </c>
      <c r="C152" s="3458" t="s">
        <v>3529</v>
      </c>
      <c r="D152" s="3458" t="s">
        <v>21</v>
      </c>
      <c r="E152" s="3459">
        <v>322.74</v>
      </c>
      <c r="F152" s="3457">
        <v>6335063</v>
      </c>
      <c r="G152" s="3457">
        <f t="shared" si="6"/>
        <v>19628.998574704096</v>
      </c>
    </row>
    <row r="153" spans="2:7" s="3470" customFormat="1" hidden="1">
      <c r="B153" s="3467">
        <v>46</v>
      </c>
      <c r="C153" s="3468" t="s">
        <v>3530</v>
      </c>
      <c r="D153" s="3468" t="s">
        <v>3489</v>
      </c>
      <c r="E153" s="3469">
        <v>8.84</v>
      </c>
      <c r="F153" s="3467">
        <v>85686</v>
      </c>
      <c r="G153" s="3467">
        <f t="shared" si="6"/>
        <v>9692.9864253393662</v>
      </c>
    </row>
    <row r="154" spans="2:7" s="3460" customFormat="1" hidden="1">
      <c r="B154" s="3457">
        <v>47</v>
      </c>
      <c r="C154" s="3458" t="s">
        <v>3531</v>
      </c>
      <c r="D154" s="3458" t="s">
        <v>21</v>
      </c>
      <c r="E154" s="3459">
        <v>327.37</v>
      </c>
      <c r="F154" s="3457">
        <v>7623562</v>
      </c>
      <c r="G154" s="3457">
        <f t="shared" si="6"/>
        <v>23287.295720438648</v>
      </c>
    </row>
    <row r="155" spans="2:7" s="3460" customFormat="1" hidden="1">
      <c r="B155" s="3457">
        <v>48</v>
      </c>
      <c r="C155" s="3458" t="s">
        <v>3532</v>
      </c>
      <c r="D155" s="3458" t="s">
        <v>21</v>
      </c>
      <c r="E155" s="3459">
        <v>319.54000000000002</v>
      </c>
      <c r="F155" s="3457">
        <v>6152934</v>
      </c>
      <c r="G155" s="3457">
        <f t="shared" si="6"/>
        <v>19255.598673092569</v>
      </c>
    </row>
    <row r="156" spans="2:7" s="3470" customFormat="1" hidden="1">
      <c r="B156" s="3467">
        <v>49</v>
      </c>
      <c r="C156" s="3468" t="s">
        <v>3533</v>
      </c>
      <c r="D156" s="3468" t="s">
        <v>3489</v>
      </c>
      <c r="E156" s="3469">
        <v>9.1999999999999993</v>
      </c>
      <c r="F156" s="3467">
        <v>90372</v>
      </c>
      <c r="G156" s="3467">
        <f t="shared" si="6"/>
        <v>9823.04347826087</v>
      </c>
    </row>
    <row r="157" spans="2:7" s="3460" customFormat="1" hidden="1">
      <c r="B157" s="3457">
        <v>50</v>
      </c>
      <c r="C157" s="3458" t="s">
        <v>3534</v>
      </c>
      <c r="D157" s="3458" t="s">
        <v>21</v>
      </c>
      <c r="E157" s="3459">
        <v>285.58</v>
      </c>
      <c r="F157" s="3457">
        <v>4961908</v>
      </c>
      <c r="G157" s="3457">
        <f t="shared" si="6"/>
        <v>17374.844176763079</v>
      </c>
    </row>
    <row r="158" spans="2:7" s="3460" customFormat="1" hidden="1">
      <c r="B158" s="3457">
        <v>51</v>
      </c>
      <c r="C158" s="3458" t="s">
        <v>3535</v>
      </c>
      <c r="D158" s="3458" t="s">
        <v>21</v>
      </c>
      <c r="E158" s="3459">
        <v>288.73</v>
      </c>
      <c r="F158" s="3457">
        <v>5620765</v>
      </c>
      <c r="G158" s="3457">
        <f t="shared" si="6"/>
        <v>19467.201191424512</v>
      </c>
    </row>
    <row r="159" spans="2:7" s="3460" customFormat="1" hidden="1">
      <c r="B159" s="3457">
        <v>52</v>
      </c>
      <c r="C159" s="3458" t="s">
        <v>3536</v>
      </c>
      <c r="D159" s="3458" t="s">
        <v>21</v>
      </c>
      <c r="E159" s="3459">
        <v>319.54000000000002</v>
      </c>
      <c r="F159" s="3457">
        <v>5486055</v>
      </c>
      <c r="G159" s="3457">
        <f t="shared" si="6"/>
        <v>17168.60174000125</v>
      </c>
    </row>
    <row r="160" spans="2:7" s="3460" customFormat="1" hidden="1">
      <c r="B160" s="3457">
        <v>53</v>
      </c>
      <c r="C160" s="3458" t="s">
        <v>3537</v>
      </c>
      <c r="D160" s="3458" t="s">
        <v>21</v>
      </c>
      <c r="E160" s="3459">
        <v>288.73</v>
      </c>
      <c r="F160" s="3457">
        <v>5109609</v>
      </c>
      <c r="G160" s="3457">
        <f t="shared" si="6"/>
        <v>17696.841339659888</v>
      </c>
    </row>
    <row r="161" spans="2:7" s="3460" customFormat="1" hidden="1">
      <c r="B161" s="3457">
        <v>54</v>
      </c>
      <c r="C161" s="3458" t="s">
        <v>3538</v>
      </c>
      <c r="D161" s="3458" t="s">
        <v>21</v>
      </c>
      <c r="E161" s="3459">
        <v>319.54000000000002</v>
      </c>
      <c r="F161" s="3457">
        <v>5593383</v>
      </c>
      <c r="G161" s="3457">
        <f t="shared" si="6"/>
        <v>17504.484571571633</v>
      </c>
    </row>
    <row r="162" spans="2:7" s="3470" customFormat="1" hidden="1">
      <c r="B162" s="3467">
        <v>55</v>
      </c>
      <c r="C162" s="3468" t="s">
        <v>3539</v>
      </c>
      <c r="D162" s="3468" t="s">
        <v>3489</v>
      </c>
      <c r="E162" s="3469">
        <v>9.1999999999999993</v>
      </c>
      <c r="F162" s="3467">
        <v>79534</v>
      </c>
      <c r="G162" s="3467">
        <f t="shared" si="6"/>
        <v>8645</v>
      </c>
    </row>
    <row r="163" spans="2:7" s="3460" customFormat="1" hidden="1">
      <c r="B163" s="3457">
        <v>56</v>
      </c>
      <c r="C163" s="3458" t="s">
        <v>3540</v>
      </c>
      <c r="D163" s="3458" t="s">
        <v>21</v>
      </c>
      <c r="E163" s="3459">
        <v>319.54000000000002</v>
      </c>
      <c r="F163" s="3457">
        <v>6241655</v>
      </c>
      <c r="G163" s="3457">
        <f t="shared" si="6"/>
        <v>19533.2509232021</v>
      </c>
    </row>
    <row r="164" spans="2:7" s="3470" customFormat="1" hidden="1">
      <c r="B164" s="3467">
        <v>57</v>
      </c>
      <c r="C164" s="3468" t="s">
        <v>3541</v>
      </c>
      <c r="D164" s="3468" t="s">
        <v>3489</v>
      </c>
      <c r="E164" s="3469">
        <v>6.08</v>
      </c>
      <c r="F164" s="3467">
        <v>59541</v>
      </c>
      <c r="G164" s="3467">
        <f t="shared" si="6"/>
        <v>9792.9276315789466</v>
      </c>
    </row>
    <row r="165" spans="2:7" s="3460" customFormat="1" hidden="1">
      <c r="B165" s="3457">
        <v>58</v>
      </c>
      <c r="C165" s="3458" t="s">
        <v>3542</v>
      </c>
      <c r="D165" s="3458" t="s">
        <v>21</v>
      </c>
      <c r="E165" s="3459">
        <v>190.78</v>
      </c>
      <c r="F165" s="3457">
        <v>3314773</v>
      </c>
      <c r="G165" s="3457">
        <f t="shared" si="6"/>
        <v>17374.845371632247</v>
      </c>
    </row>
    <row r="166" spans="2:7" s="3460" customFormat="1" hidden="1">
      <c r="B166" s="3457">
        <v>59</v>
      </c>
      <c r="C166" s="3458" t="s">
        <v>3543</v>
      </c>
      <c r="D166" s="3458" t="s">
        <v>21</v>
      </c>
      <c r="E166" s="3459">
        <v>322.74</v>
      </c>
      <c r="F166" s="3457">
        <v>6407551</v>
      </c>
      <c r="G166" s="3457">
        <f t="shared" si="6"/>
        <v>19853.600421391831</v>
      </c>
    </row>
    <row r="167" spans="2:7" s="3470" customFormat="1" hidden="1">
      <c r="B167" s="3467">
        <v>60</v>
      </c>
      <c r="C167" s="3468" t="s">
        <v>3544</v>
      </c>
      <c r="D167" s="3468" t="s">
        <v>3489</v>
      </c>
      <c r="E167" s="3469">
        <v>63.29</v>
      </c>
      <c r="F167" s="3467">
        <v>776821</v>
      </c>
      <c r="G167" s="3467">
        <f t="shared" si="6"/>
        <v>12273.992731869173</v>
      </c>
    </row>
    <row r="168" spans="2:7" s="3460" customFormat="1" hidden="1">
      <c r="B168" s="3457">
        <v>61</v>
      </c>
      <c r="C168" s="3458" t="s">
        <v>3545</v>
      </c>
      <c r="D168" s="3458" t="s">
        <v>21</v>
      </c>
      <c r="E168" s="3459">
        <v>319.54000000000002</v>
      </c>
      <c r="F168" s="3457">
        <v>6205850</v>
      </c>
      <c r="G168" s="3457">
        <f t="shared" si="6"/>
        <v>19421.199223884334</v>
      </c>
    </row>
    <row r="169" spans="2:7" s="3460" customFormat="1" hidden="1">
      <c r="B169" s="3457">
        <v>62</v>
      </c>
      <c r="C169" s="3458" t="s">
        <v>3546</v>
      </c>
      <c r="D169" s="3458" t="s">
        <v>21</v>
      </c>
      <c r="E169" s="3459">
        <v>191.12</v>
      </c>
      <c r="F169" s="3457">
        <v>3262962</v>
      </c>
      <c r="G169" s="3457">
        <f t="shared" si="6"/>
        <v>17072.844286312265</v>
      </c>
    </row>
    <row r="170" spans="2:7" s="3460" customFormat="1" hidden="1">
      <c r="B170" s="3457">
        <v>63</v>
      </c>
      <c r="C170" s="3458" t="s">
        <v>3547</v>
      </c>
      <c r="D170" s="3458" t="s">
        <v>21</v>
      </c>
      <c r="E170" s="3459">
        <v>286.88</v>
      </c>
      <c r="F170" s="3457">
        <v>4897857</v>
      </c>
      <c r="G170" s="3457">
        <f t="shared" si="6"/>
        <v>17072.842303402118</v>
      </c>
    </row>
    <row r="171" spans="2:7" s="3460" customFormat="1" hidden="1">
      <c r="B171" s="3457">
        <v>64</v>
      </c>
      <c r="C171" s="3458" t="s">
        <v>3548</v>
      </c>
      <c r="D171" s="3458" t="s">
        <v>21</v>
      </c>
      <c r="E171" s="3459">
        <v>322.74</v>
      </c>
      <c r="F171" s="3457">
        <v>5647254</v>
      </c>
      <c r="G171" s="3457">
        <f t="shared" si="6"/>
        <v>17497.843465328126</v>
      </c>
    </row>
    <row r="172" spans="2:7" s="3460" customFormat="1" hidden="1">
      <c r="B172" s="3457">
        <v>65</v>
      </c>
      <c r="C172" s="3458" t="s">
        <v>3549</v>
      </c>
      <c r="D172" s="3458" t="s">
        <v>21</v>
      </c>
      <c r="E172" s="3459">
        <v>291.63</v>
      </c>
      <c r="F172" s="3457">
        <v>5102896</v>
      </c>
      <c r="G172" s="3457">
        <f t="shared" si="6"/>
        <v>17497.843157425505</v>
      </c>
    </row>
    <row r="173" spans="2:7" s="3470" customFormat="1" hidden="1">
      <c r="B173" s="3467">
        <v>66</v>
      </c>
      <c r="C173" s="3468" t="s">
        <v>3550</v>
      </c>
      <c r="D173" s="3468" t="s">
        <v>3489</v>
      </c>
      <c r="E173" s="3469">
        <v>5.79</v>
      </c>
      <c r="F173" s="3467">
        <v>50076</v>
      </c>
      <c r="G173" s="3467">
        <f t="shared" si="6"/>
        <v>8648.7046632124348</v>
      </c>
    </row>
    <row r="174" spans="2:7" s="3460" customFormat="1" hidden="1">
      <c r="B174" s="3457">
        <v>67</v>
      </c>
      <c r="C174" s="3458" t="s">
        <v>3551</v>
      </c>
      <c r="D174" s="3458" t="s">
        <v>21</v>
      </c>
      <c r="E174" s="3459">
        <v>288.73</v>
      </c>
      <c r="F174" s="3463">
        <v>5129848</v>
      </c>
      <c r="G174" s="3457">
        <f t="shared" si="6"/>
        <v>17766.937969729504</v>
      </c>
    </row>
    <row r="175" spans="2:7" s="3460" customFormat="1" hidden="1">
      <c r="B175" s="3457">
        <v>68</v>
      </c>
      <c r="C175" s="3458" t="s">
        <v>3552</v>
      </c>
      <c r="D175" s="3458" t="s">
        <v>21</v>
      </c>
      <c r="E175" s="3459">
        <v>191.12</v>
      </c>
      <c r="F175" s="3463">
        <v>3600000</v>
      </c>
      <c r="G175" s="3457">
        <f t="shared" ref="G175:G238" si="7">F175/E175</f>
        <v>18836.333193804938</v>
      </c>
    </row>
    <row r="176" spans="2:7" s="3460" customFormat="1" hidden="1">
      <c r="B176" s="3457">
        <v>69</v>
      </c>
      <c r="C176" s="3458" t="s">
        <v>3553</v>
      </c>
      <c r="D176" s="3458" t="s">
        <v>21</v>
      </c>
      <c r="E176" s="3459">
        <v>190.78</v>
      </c>
      <c r="F176" s="3463">
        <v>3158789</v>
      </c>
      <c r="G176" s="3457">
        <f t="shared" si="7"/>
        <v>16557.233462627111</v>
      </c>
    </row>
    <row r="177" spans="2:7" s="3460" customFormat="1" hidden="1">
      <c r="B177" s="3457">
        <v>70</v>
      </c>
      <c r="C177" s="3458" t="s">
        <v>3554</v>
      </c>
      <c r="D177" s="3458" t="s">
        <v>21</v>
      </c>
      <c r="E177" s="3459">
        <v>285.58</v>
      </c>
      <c r="F177" s="3463">
        <v>5095176</v>
      </c>
      <c r="G177" s="3457">
        <f t="shared" si="7"/>
        <v>17841.501505707685</v>
      </c>
    </row>
    <row r="178" spans="2:7" s="3470" customFormat="1" hidden="1">
      <c r="B178" s="3467">
        <v>71</v>
      </c>
      <c r="C178" s="3468" t="s">
        <v>3555</v>
      </c>
      <c r="D178" s="3468" t="s">
        <v>3489</v>
      </c>
      <c r="E178" s="3469">
        <v>6.08</v>
      </c>
      <c r="F178" s="3471">
        <v>61514</v>
      </c>
      <c r="G178" s="3467">
        <f t="shared" si="7"/>
        <v>10117.434210526315</v>
      </c>
    </row>
    <row r="179" spans="2:7" s="3460" customFormat="1" hidden="1">
      <c r="B179" s="3457">
        <v>72</v>
      </c>
      <c r="C179" s="3458" t="s">
        <v>3556</v>
      </c>
      <c r="D179" s="3458" t="s">
        <v>21</v>
      </c>
      <c r="E179" s="3459">
        <v>286.88</v>
      </c>
      <c r="F179" s="3463">
        <v>5224696</v>
      </c>
      <c r="G179" s="3457">
        <f t="shared" si="7"/>
        <v>18212.13050752928</v>
      </c>
    </row>
    <row r="180" spans="2:7" s="3460" customFormat="1" hidden="1">
      <c r="B180" s="3457">
        <v>73</v>
      </c>
      <c r="C180" s="3458" t="s">
        <v>3557</v>
      </c>
      <c r="D180" s="3458" t="s">
        <v>21</v>
      </c>
      <c r="E180" s="3459">
        <v>322.74</v>
      </c>
      <c r="F180" s="3463">
        <v>6023015</v>
      </c>
      <c r="G180" s="3457">
        <f t="shared" si="7"/>
        <v>18662.127409059925</v>
      </c>
    </row>
    <row r="181" spans="2:7" s="3470" customFormat="1" hidden="1">
      <c r="B181" s="3467">
        <v>74</v>
      </c>
      <c r="C181" s="3468" t="s">
        <v>3558</v>
      </c>
      <c r="D181" s="3468" t="s">
        <v>3489</v>
      </c>
      <c r="E181" s="3469">
        <v>63.29</v>
      </c>
      <c r="F181" s="3471">
        <v>739544</v>
      </c>
      <c r="G181" s="3467">
        <f t="shared" si="7"/>
        <v>11685.005530099543</v>
      </c>
    </row>
    <row r="182" spans="2:7" s="3460" customFormat="1" hidden="1">
      <c r="B182" s="3457">
        <v>75</v>
      </c>
      <c r="C182" s="3458" t="s">
        <v>3559</v>
      </c>
      <c r="D182" s="3458" t="s">
        <v>21</v>
      </c>
      <c r="E182" s="3459">
        <v>285.58</v>
      </c>
      <c r="F182" s="3463">
        <v>5008253</v>
      </c>
      <c r="G182" s="3457">
        <f t="shared" si="7"/>
        <v>17537.127950136564</v>
      </c>
    </row>
    <row r="183" spans="2:7" s="3460" customFormat="1" hidden="1">
      <c r="B183" s="3457">
        <v>76</v>
      </c>
      <c r="C183" s="3458" t="s">
        <v>3560</v>
      </c>
      <c r="D183" s="3458" t="s">
        <v>21</v>
      </c>
      <c r="E183" s="3459">
        <v>322.74</v>
      </c>
      <c r="F183" s="3463">
        <v>5759217</v>
      </c>
      <c r="G183" s="3457">
        <f t="shared" si="7"/>
        <v>17844.757389849416</v>
      </c>
    </row>
    <row r="184" spans="2:7" s="3460" customFormat="1" hidden="1">
      <c r="B184" s="3457">
        <v>77</v>
      </c>
      <c r="C184" s="3458" t="s">
        <v>3561</v>
      </c>
      <c r="D184" s="3458" t="s">
        <v>21</v>
      </c>
      <c r="E184" s="3459">
        <v>288.73</v>
      </c>
      <c r="F184" s="3463">
        <v>5121431</v>
      </c>
      <c r="G184" s="3457">
        <f t="shared" si="7"/>
        <v>17737.786167007238</v>
      </c>
    </row>
    <row r="185" spans="2:7" s="3460" customFormat="1" hidden="1">
      <c r="B185" s="3457">
        <v>78</v>
      </c>
      <c r="C185" s="3464" t="s">
        <v>3562</v>
      </c>
      <c r="D185" s="3458" t="s">
        <v>21</v>
      </c>
      <c r="E185" s="3459">
        <v>288.73</v>
      </c>
      <c r="F185" s="3463">
        <v>4941453</v>
      </c>
      <c r="G185" s="3457">
        <f t="shared" si="7"/>
        <v>17114.44255879195</v>
      </c>
    </row>
    <row r="186" spans="2:7" s="3470" customFormat="1" hidden="1">
      <c r="B186" s="3467">
        <v>79</v>
      </c>
      <c r="C186" s="3468" t="s">
        <v>3563</v>
      </c>
      <c r="D186" s="3468" t="s">
        <v>3489</v>
      </c>
      <c r="E186" s="3469">
        <v>6.08</v>
      </c>
      <c r="F186" s="3471">
        <v>60359</v>
      </c>
      <c r="G186" s="3467">
        <f t="shared" si="7"/>
        <v>9927.4671052631584</v>
      </c>
    </row>
    <row r="187" spans="2:7" s="3460" customFormat="1" hidden="1">
      <c r="B187" s="3457">
        <v>80</v>
      </c>
      <c r="C187" s="3458" t="s">
        <v>3564</v>
      </c>
      <c r="D187" s="3458" t="s">
        <v>21</v>
      </c>
      <c r="E187" s="3459">
        <v>291.63</v>
      </c>
      <c r="F187" s="3463">
        <v>5350573</v>
      </c>
      <c r="G187" s="3457">
        <f t="shared" si="7"/>
        <v>18347.128210403593</v>
      </c>
    </row>
    <row r="188" spans="2:7" s="3460" customFormat="1" hidden="1">
      <c r="B188" s="3457">
        <v>81</v>
      </c>
      <c r="C188" s="3458" t="s">
        <v>3565</v>
      </c>
      <c r="D188" s="3458" t="s">
        <v>21</v>
      </c>
      <c r="E188" s="3459">
        <v>193.86</v>
      </c>
      <c r="F188" s="3463">
        <v>3677006</v>
      </c>
      <c r="G188" s="3457">
        <f t="shared" si="7"/>
        <v>18967.326936964819</v>
      </c>
    </row>
    <row r="189" spans="2:7" s="3460" customFormat="1" hidden="1">
      <c r="B189" s="3457">
        <v>82</v>
      </c>
      <c r="C189" s="3458" t="s">
        <v>3566</v>
      </c>
      <c r="D189" s="3458" t="s">
        <v>21</v>
      </c>
      <c r="E189" s="3459">
        <v>327.37</v>
      </c>
      <c r="F189" s="3463">
        <v>7213271</v>
      </c>
      <c r="G189" s="3457">
        <f t="shared" si="7"/>
        <v>22034.001282952013</v>
      </c>
    </row>
    <row r="190" spans="2:7" s="3470" customFormat="1" hidden="1">
      <c r="B190" s="3467">
        <v>83</v>
      </c>
      <c r="C190" s="3468" t="s">
        <v>3567</v>
      </c>
      <c r="D190" s="3468" t="s">
        <v>3489</v>
      </c>
      <c r="E190" s="3469">
        <v>5.87</v>
      </c>
      <c r="F190" s="3471">
        <v>69266</v>
      </c>
      <c r="G190" s="3467">
        <f t="shared" si="7"/>
        <v>11800</v>
      </c>
    </row>
    <row r="191" spans="2:7" s="3470" customFormat="1" hidden="1">
      <c r="B191" s="3467">
        <v>84</v>
      </c>
      <c r="C191" s="3468" t="s">
        <v>3568</v>
      </c>
      <c r="D191" s="3468" t="s">
        <v>3489</v>
      </c>
      <c r="E191" s="3469">
        <v>64.2</v>
      </c>
      <c r="F191" s="3471">
        <v>905220</v>
      </c>
      <c r="G191" s="3467">
        <f t="shared" si="7"/>
        <v>14100</v>
      </c>
    </row>
    <row r="192" spans="2:7" s="3460" customFormat="1" hidden="1">
      <c r="B192" s="3457">
        <v>85</v>
      </c>
      <c r="C192" s="3458" t="s">
        <v>3569</v>
      </c>
      <c r="D192" s="3458" t="s">
        <v>21</v>
      </c>
      <c r="E192" s="3459">
        <v>190.78</v>
      </c>
      <c r="F192" s="3463">
        <v>3382529</v>
      </c>
      <c r="G192" s="3457">
        <f t="shared" si="7"/>
        <v>17729.997903344167</v>
      </c>
    </row>
    <row r="193" spans="2:7" s="3460" customFormat="1" hidden="1">
      <c r="B193" s="3457">
        <v>86</v>
      </c>
      <c r="C193" s="3458" t="s">
        <v>3570</v>
      </c>
      <c r="D193" s="3458" t="s">
        <v>21</v>
      </c>
      <c r="E193" s="3459">
        <v>193.86</v>
      </c>
      <c r="F193" s="3463">
        <v>3847152</v>
      </c>
      <c r="G193" s="3457">
        <f t="shared" si="7"/>
        <v>19845.001547508509</v>
      </c>
    </row>
    <row r="194" spans="2:7" s="3460" customFormat="1" hidden="1">
      <c r="B194" s="3457">
        <v>87</v>
      </c>
      <c r="C194" s="3458" t="s">
        <v>3571</v>
      </c>
      <c r="D194" s="3458" t="s">
        <v>21</v>
      </c>
      <c r="E194" s="3459">
        <v>193.86</v>
      </c>
      <c r="F194" s="3463">
        <v>4091415</v>
      </c>
      <c r="G194" s="3457">
        <f t="shared" si="7"/>
        <v>21104.998452491487</v>
      </c>
    </row>
    <row r="195" spans="2:7" s="3460" customFormat="1" hidden="1">
      <c r="B195" s="3457">
        <v>88</v>
      </c>
      <c r="C195" s="3458" t="s">
        <v>3572</v>
      </c>
      <c r="D195" s="3458" t="s">
        <v>21</v>
      </c>
      <c r="E195" s="3459">
        <v>193.86</v>
      </c>
      <c r="F195" s="3463">
        <v>4091415</v>
      </c>
      <c r="G195" s="3457">
        <f t="shared" si="7"/>
        <v>21104.998452491487</v>
      </c>
    </row>
    <row r="196" spans="2:7" s="3470" customFormat="1" hidden="1">
      <c r="B196" s="3467">
        <v>89</v>
      </c>
      <c r="C196" s="3468" t="s">
        <v>3573</v>
      </c>
      <c r="D196" s="3468" t="s">
        <v>3489</v>
      </c>
      <c r="E196" s="3469">
        <v>5.79</v>
      </c>
      <c r="F196" s="3471">
        <v>60506</v>
      </c>
      <c r="G196" s="3467">
        <f t="shared" si="7"/>
        <v>10450.086355785837</v>
      </c>
    </row>
    <row r="197" spans="2:7" s="3460" customFormat="1" hidden="1">
      <c r="B197" s="3457">
        <v>90</v>
      </c>
      <c r="C197" s="3458" t="s">
        <v>3574</v>
      </c>
      <c r="D197" s="3458" t="s">
        <v>21</v>
      </c>
      <c r="E197" s="3459">
        <v>291.63</v>
      </c>
      <c r="F197" s="3463">
        <v>5589818</v>
      </c>
      <c r="G197" s="3457">
        <f t="shared" si="7"/>
        <v>19167.499914274937</v>
      </c>
    </row>
    <row r="198" spans="2:7" s="3460" customFormat="1" hidden="1">
      <c r="B198" s="3457">
        <v>91</v>
      </c>
      <c r="C198" s="3458" t="s">
        <v>3575</v>
      </c>
      <c r="D198" s="3458" t="s">
        <v>21</v>
      </c>
      <c r="E198" s="3459">
        <v>322.74</v>
      </c>
      <c r="F198" s="3463">
        <v>5647950</v>
      </c>
      <c r="G198" s="3457">
        <f t="shared" si="7"/>
        <v>17500</v>
      </c>
    </row>
    <row r="199" spans="2:7" s="3460" customFormat="1" hidden="1">
      <c r="B199" s="3457">
        <v>92</v>
      </c>
      <c r="C199" s="3458" t="s">
        <v>3576</v>
      </c>
      <c r="D199" s="3458" t="s">
        <v>21</v>
      </c>
      <c r="E199" s="3459">
        <v>327.37</v>
      </c>
      <c r="F199" s="3457">
        <v>6141461</v>
      </c>
      <c r="G199" s="3457">
        <f t="shared" si="7"/>
        <v>18759.999389070472</v>
      </c>
    </row>
    <row r="200" spans="2:7" s="3460" customFormat="1" hidden="1">
      <c r="B200" s="3457">
        <v>93</v>
      </c>
      <c r="C200" s="3458" t="s">
        <v>3577</v>
      </c>
      <c r="D200" s="3458" t="s">
        <v>21</v>
      </c>
      <c r="E200" s="3459">
        <v>193.86</v>
      </c>
      <c r="F200" s="3457">
        <v>3582533</v>
      </c>
      <c r="G200" s="3457">
        <f t="shared" si="7"/>
        <v>18480.001031672338</v>
      </c>
    </row>
    <row r="201" spans="2:7" s="3460" customFormat="1" hidden="1">
      <c r="B201" s="3457">
        <v>94</v>
      </c>
      <c r="C201" s="3458" t="s">
        <v>3578</v>
      </c>
      <c r="D201" s="3458" t="s">
        <v>21</v>
      </c>
      <c r="E201" s="3459">
        <v>291</v>
      </c>
      <c r="F201" s="3457">
        <v>5377680</v>
      </c>
      <c r="G201" s="3457">
        <f t="shared" si="7"/>
        <v>18480</v>
      </c>
    </row>
    <row r="202" spans="2:7" s="3460" customFormat="1" hidden="1">
      <c r="B202" s="3457">
        <v>95</v>
      </c>
      <c r="C202" s="3458" t="s">
        <v>3579</v>
      </c>
      <c r="D202" s="3458" t="s">
        <v>21</v>
      </c>
      <c r="E202" s="3459">
        <v>327.37</v>
      </c>
      <c r="F202" s="3457">
        <v>6141461</v>
      </c>
      <c r="G202" s="3457">
        <f t="shared" si="7"/>
        <v>18759.999389070472</v>
      </c>
    </row>
    <row r="203" spans="2:7" s="3460" customFormat="1" hidden="1">
      <c r="B203" s="3457">
        <v>96</v>
      </c>
      <c r="C203" s="3458" t="s">
        <v>3580</v>
      </c>
      <c r="D203" s="3458" t="s">
        <v>21</v>
      </c>
      <c r="E203" s="3459">
        <v>295.81</v>
      </c>
      <c r="F203" s="3457">
        <v>5549396</v>
      </c>
      <c r="G203" s="3457">
        <f t="shared" si="7"/>
        <v>18760.001352219329</v>
      </c>
    </row>
    <row r="204" spans="2:7" s="3470" customFormat="1" hidden="1">
      <c r="B204" s="3467">
        <v>97</v>
      </c>
      <c r="C204" s="3468" t="s">
        <v>3581</v>
      </c>
      <c r="D204" s="3468" t="s">
        <v>3489</v>
      </c>
      <c r="E204" s="3469">
        <v>5.87</v>
      </c>
      <c r="F204" s="3467">
        <v>65803</v>
      </c>
      <c r="G204" s="3467">
        <f t="shared" si="7"/>
        <v>11210.051107325384</v>
      </c>
    </row>
    <row r="205" spans="2:7" s="3470" customFormat="1" hidden="1">
      <c r="B205" s="3467">
        <v>98</v>
      </c>
      <c r="C205" s="3468" t="s">
        <v>3582</v>
      </c>
      <c r="D205" s="3468" t="s">
        <v>3489</v>
      </c>
      <c r="E205" s="3469">
        <v>64.2</v>
      </c>
      <c r="F205" s="3467">
        <v>859959</v>
      </c>
      <c r="G205" s="3467">
        <f t="shared" si="7"/>
        <v>13395</v>
      </c>
    </row>
    <row r="206" spans="2:7" s="3460" customFormat="1" hidden="1">
      <c r="B206" s="3457">
        <v>99</v>
      </c>
      <c r="C206" s="3458" t="s">
        <v>3583</v>
      </c>
      <c r="D206" s="3458" t="s">
        <v>21</v>
      </c>
      <c r="E206" s="3459">
        <v>322.74</v>
      </c>
      <c r="F206" s="3457">
        <v>5648507</v>
      </c>
      <c r="G206" s="3457">
        <f t="shared" si="7"/>
        <v>17501.725847431368</v>
      </c>
    </row>
    <row r="207" spans="2:7" s="3470" customFormat="1" hidden="1">
      <c r="B207" s="3467">
        <v>100</v>
      </c>
      <c r="C207" s="3468" t="s">
        <v>3584</v>
      </c>
      <c r="D207" s="3468" t="s">
        <v>3489</v>
      </c>
      <c r="E207" s="3469">
        <v>8.84</v>
      </c>
      <c r="F207" s="3467">
        <v>91538</v>
      </c>
      <c r="G207" s="3467">
        <f t="shared" si="7"/>
        <v>10354.977375565612</v>
      </c>
    </row>
    <row r="208" spans="2:7" s="3470" customFormat="1" hidden="1">
      <c r="B208" s="3467">
        <v>101</v>
      </c>
      <c r="C208" s="3468" t="s">
        <v>3585</v>
      </c>
      <c r="D208" s="3468" t="s">
        <v>3489</v>
      </c>
      <c r="E208" s="3469">
        <v>5.79</v>
      </c>
      <c r="F208" s="3467">
        <v>59955</v>
      </c>
      <c r="G208" s="3467">
        <f t="shared" si="7"/>
        <v>10354.922279792747</v>
      </c>
    </row>
    <row r="209" spans="2:7" s="3460" customFormat="1" hidden="1">
      <c r="B209" s="3457">
        <v>102</v>
      </c>
      <c r="C209" s="3458" t="s">
        <v>3586</v>
      </c>
      <c r="D209" s="3458" t="s">
        <v>21</v>
      </c>
      <c r="E209" s="3459">
        <v>191.12</v>
      </c>
      <c r="F209" s="3457">
        <v>3401936</v>
      </c>
      <c r="G209" s="3457">
        <f t="shared" si="7"/>
        <v>17800</v>
      </c>
    </row>
    <row r="210" spans="2:7" s="3460" customFormat="1" hidden="1">
      <c r="B210" s="3457">
        <v>103</v>
      </c>
      <c r="C210" s="3458" t="s">
        <v>3587</v>
      </c>
      <c r="D210" s="3458" t="s">
        <v>21</v>
      </c>
      <c r="E210" s="3459">
        <v>286.88</v>
      </c>
      <c r="F210" s="3457">
        <v>5106464</v>
      </c>
      <c r="G210" s="3457">
        <f t="shared" si="7"/>
        <v>17800</v>
      </c>
    </row>
    <row r="211" spans="2:7" s="3470" customFormat="1" hidden="1">
      <c r="B211" s="3467">
        <v>104</v>
      </c>
      <c r="C211" s="3468" t="s">
        <v>3588</v>
      </c>
      <c r="D211" s="3468" t="s">
        <v>3489</v>
      </c>
      <c r="E211" s="3469">
        <v>8.84</v>
      </c>
      <c r="F211" s="3467">
        <v>92378</v>
      </c>
      <c r="G211" s="3467">
        <f t="shared" si="7"/>
        <v>10450</v>
      </c>
    </row>
    <row r="212" spans="2:7" s="3460" customFormat="1" hidden="1">
      <c r="B212" s="3457">
        <v>105</v>
      </c>
      <c r="C212" s="3458" t="s">
        <v>3589</v>
      </c>
      <c r="D212" s="3458" t="s">
        <v>21</v>
      </c>
      <c r="E212" s="3459">
        <v>322.74</v>
      </c>
      <c r="F212" s="3457">
        <v>5345046</v>
      </c>
      <c r="G212" s="3457">
        <f t="shared" si="7"/>
        <v>16561.461238148353</v>
      </c>
    </row>
    <row r="213" spans="2:7" s="3460" customFormat="1" hidden="1">
      <c r="B213" s="3457">
        <v>106</v>
      </c>
      <c r="C213" s="3458" t="s">
        <v>3590</v>
      </c>
      <c r="D213" s="3458" t="s">
        <v>21</v>
      </c>
      <c r="E213" s="3459">
        <v>327.37</v>
      </c>
      <c r="F213" s="3457">
        <v>7108512</v>
      </c>
      <c r="G213" s="3457">
        <f t="shared" si="7"/>
        <v>21713.999450163425</v>
      </c>
    </row>
    <row r="214" spans="2:7" s="3460" customFormat="1" hidden="1">
      <c r="B214" s="3457">
        <v>107</v>
      </c>
      <c r="C214" s="3458" t="s">
        <v>3591</v>
      </c>
      <c r="D214" s="3458" t="s">
        <v>21</v>
      </c>
      <c r="E214" s="3459">
        <v>295.81</v>
      </c>
      <c r="F214" s="3457">
        <v>6423218</v>
      </c>
      <c r="G214" s="3457">
        <f t="shared" si="7"/>
        <v>21713.998850613571</v>
      </c>
    </row>
    <row r="215" spans="2:7" s="3470" customFormat="1" hidden="1">
      <c r="B215" s="3467">
        <v>108</v>
      </c>
      <c r="C215" s="3468" t="s">
        <v>3592</v>
      </c>
      <c r="D215" s="3468" t="s">
        <v>3489</v>
      </c>
      <c r="E215" s="3469">
        <v>5.87</v>
      </c>
      <c r="F215" s="3467">
        <v>64297</v>
      </c>
      <c r="G215" s="3467">
        <f t="shared" si="7"/>
        <v>10953.492333901193</v>
      </c>
    </row>
    <row r="216" spans="2:7" s="3460" customFormat="1" hidden="1">
      <c r="B216" s="3457">
        <v>109</v>
      </c>
      <c r="C216" s="3458" t="s">
        <v>3593</v>
      </c>
      <c r="D216" s="3458" t="s">
        <v>21</v>
      </c>
      <c r="E216" s="3459">
        <v>286.88</v>
      </c>
      <c r="F216" s="3457">
        <v>4863764</v>
      </c>
      <c r="G216" s="3457">
        <f t="shared" si="7"/>
        <v>16954.001673173454</v>
      </c>
    </row>
    <row r="217" spans="2:7" s="3460" customFormat="1" hidden="1">
      <c r="B217" s="3457">
        <v>110</v>
      </c>
      <c r="C217" s="3458" t="s">
        <v>3594</v>
      </c>
      <c r="D217" s="3458" t="s">
        <v>21</v>
      </c>
      <c r="E217" s="3459">
        <v>319.54000000000002</v>
      </c>
      <c r="F217" s="3457">
        <v>4810000</v>
      </c>
      <c r="G217" s="3457">
        <f t="shared" si="7"/>
        <v>15052.888527257932</v>
      </c>
    </row>
    <row r="218" spans="2:7" s="3470" customFormat="1" hidden="1">
      <c r="B218" s="3467">
        <v>111</v>
      </c>
      <c r="C218" s="3468" t="s">
        <v>3595</v>
      </c>
      <c r="D218" s="3468" t="s">
        <v>3489</v>
      </c>
      <c r="E218" s="3469">
        <v>6.08</v>
      </c>
      <c r="F218" s="3467">
        <v>57760</v>
      </c>
      <c r="G218" s="3467">
        <f t="shared" si="7"/>
        <v>9500</v>
      </c>
    </row>
    <row r="219" spans="2:7" s="3460" customFormat="1" hidden="1">
      <c r="B219" s="3457">
        <v>112</v>
      </c>
      <c r="C219" s="3458" t="s">
        <v>3596</v>
      </c>
      <c r="D219" s="3458" t="s">
        <v>21</v>
      </c>
      <c r="E219" s="3459">
        <v>191.12</v>
      </c>
      <c r="F219" s="3457">
        <v>3330000</v>
      </c>
      <c r="G219" s="3457">
        <f t="shared" si="7"/>
        <v>17423.608204269567</v>
      </c>
    </row>
    <row r="220" spans="2:7" s="3460" customFormat="1" hidden="1">
      <c r="B220" s="3457">
        <v>113</v>
      </c>
      <c r="C220" s="3458" t="s">
        <v>3597</v>
      </c>
      <c r="D220" s="3458" t="s">
        <v>21</v>
      </c>
      <c r="E220" s="3459">
        <v>327.37</v>
      </c>
      <c r="F220" s="3457">
        <v>5289823</v>
      </c>
      <c r="G220" s="3457">
        <f t="shared" si="7"/>
        <v>16158.545376790787</v>
      </c>
    </row>
    <row r="221" spans="2:7" s="3460" customFormat="1" hidden="1">
      <c r="B221" s="3457">
        <v>114</v>
      </c>
      <c r="C221" s="3458" t="s">
        <v>3598</v>
      </c>
      <c r="D221" s="3458" t="s">
        <v>21</v>
      </c>
      <c r="E221" s="3459">
        <v>327.37</v>
      </c>
      <c r="F221" s="3457">
        <v>5866470</v>
      </c>
      <c r="G221" s="3457">
        <f t="shared" si="7"/>
        <v>17919.99877814094</v>
      </c>
    </row>
    <row r="222" spans="2:7" s="3460" customFormat="1" hidden="1">
      <c r="B222" s="3457">
        <v>115</v>
      </c>
      <c r="C222" s="3458" t="s">
        <v>3599</v>
      </c>
      <c r="D222" s="3458" t="s">
        <v>21</v>
      </c>
      <c r="E222" s="3459">
        <v>295.81</v>
      </c>
      <c r="F222" s="3457">
        <v>5027562</v>
      </c>
      <c r="G222" s="3457">
        <f t="shared" si="7"/>
        <v>16995.916297623473</v>
      </c>
    </row>
    <row r="223" spans="2:7" s="3460" customFormat="1" hidden="1">
      <c r="B223" s="3457">
        <v>116</v>
      </c>
      <c r="C223" s="3458" t="s">
        <v>3600</v>
      </c>
      <c r="D223" s="3458" t="s">
        <v>21</v>
      </c>
      <c r="E223" s="3459">
        <v>327.37</v>
      </c>
      <c r="F223" s="3457">
        <v>6899651</v>
      </c>
      <c r="G223" s="3457">
        <f t="shared" si="7"/>
        <v>21076.002688089928</v>
      </c>
    </row>
    <row r="224" spans="2:7" s="3470" customFormat="1" hidden="1">
      <c r="B224" s="3467">
        <v>117</v>
      </c>
      <c r="C224" s="3468" t="s">
        <v>3601</v>
      </c>
      <c r="D224" s="3468" t="s">
        <v>3527</v>
      </c>
      <c r="E224" s="3469">
        <v>59.44</v>
      </c>
      <c r="F224" s="3467">
        <v>796199</v>
      </c>
      <c r="G224" s="3467">
        <f t="shared" si="7"/>
        <v>13395.003364737551</v>
      </c>
    </row>
    <row r="225" spans="2:7" s="3460" customFormat="1" hidden="1">
      <c r="B225" s="3457">
        <v>118</v>
      </c>
      <c r="C225" s="3458" t="s">
        <v>3602</v>
      </c>
      <c r="D225" s="3458" t="s">
        <v>21</v>
      </c>
      <c r="E225" s="3459">
        <v>430.19</v>
      </c>
      <c r="F225" s="3457">
        <v>10688880</v>
      </c>
      <c r="G225" s="3457">
        <f t="shared" si="7"/>
        <v>24846.881610451197</v>
      </c>
    </row>
    <row r="226" spans="2:7" s="3460" customFormat="1" hidden="1">
      <c r="B226" s="3457">
        <v>119</v>
      </c>
      <c r="C226" s="3458" t="s">
        <v>3603</v>
      </c>
      <c r="D226" s="3458" t="s">
        <v>21</v>
      </c>
      <c r="E226" s="3459">
        <v>301.49</v>
      </c>
      <c r="F226" s="3457">
        <v>7404257</v>
      </c>
      <c r="G226" s="3457">
        <f t="shared" si="7"/>
        <v>24558.880891571858</v>
      </c>
    </row>
    <row r="227" spans="2:7" s="3460" customFormat="1" hidden="1">
      <c r="B227" s="3457">
        <v>120</v>
      </c>
      <c r="C227" s="3458" t="s">
        <v>3604</v>
      </c>
      <c r="D227" s="3458" t="s">
        <v>21</v>
      </c>
      <c r="E227" s="3459">
        <v>430.19</v>
      </c>
      <c r="F227" s="3457">
        <v>10771476</v>
      </c>
      <c r="G227" s="3457">
        <f t="shared" si="7"/>
        <v>25038.880494665147</v>
      </c>
    </row>
    <row r="228" spans="2:7" s="3460" customFormat="1" hidden="1">
      <c r="B228" s="3457">
        <v>121</v>
      </c>
      <c r="C228" s="3458" t="s">
        <v>3605</v>
      </c>
      <c r="D228" s="3458" t="s">
        <v>21</v>
      </c>
      <c r="E228" s="3459">
        <v>305.82</v>
      </c>
      <c r="F228" s="3457">
        <v>7657390</v>
      </c>
      <c r="G228" s="3457">
        <f t="shared" si="7"/>
        <v>25038.879079196915</v>
      </c>
    </row>
    <row r="229" spans="2:7" s="3460" customFormat="1" hidden="1">
      <c r="B229" s="3457">
        <v>122</v>
      </c>
      <c r="C229" s="3458" t="s">
        <v>3606</v>
      </c>
      <c r="D229" s="3458" t="s">
        <v>21</v>
      </c>
      <c r="E229" s="3459">
        <v>430.19</v>
      </c>
      <c r="F229" s="3457">
        <v>10771476</v>
      </c>
      <c r="G229" s="3457">
        <f t="shared" si="7"/>
        <v>25038.880494665147</v>
      </c>
    </row>
    <row r="230" spans="2:7" s="3460" customFormat="1" hidden="1">
      <c r="B230" s="3457">
        <v>123</v>
      </c>
      <c r="C230" s="3458" t="s">
        <v>3607</v>
      </c>
      <c r="D230" s="3458" t="s">
        <v>21</v>
      </c>
      <c r="E230" s="3459">
        <v>301.49</v>
      </c>
      <c r="F230" s="3457">
        <v>7404257</v>
      </c>
      <c r="G230" s="3457">
        <f t="shared" si="7"/>
        <v>24558.880891571858</v>
      </c>
    </row>
    <row r="231" spans="2:7" s="3460" customFormat="1" hidden="1">
      <c r="B231" s="3457">
        <v>124</v>
      </c>
      <c r="C231" s="3458" t="s">
        <v>3608</v>
      </c>
      <c r="D231" s="3458" t="s">
        <v>21</v>
      </c>
      <c r="E231" s="3459">
        <v>430.19</v>
      </c>
      <c r="F231" s="3457">
        <v>10688880</v>
      </c>
      <c r="G231" s="3457">
        <f t="shared" si="7"/>
        <v>24846.881610451197</v>
      </c>
    </row>
    <row r="232" spans="2:7" s="3460" customFormat="1" hidden="1">
      <c r="B232" s="3457">
        <v>125</v>
      </c>
      <c r="C232" s="3458" t="s">
        <v>3609</v>
      </c>
      <c r="D232" s="3458" t="s">
        <v>21</v>
      </c>
      <c r="E232" s="3459">
        <v>305.82</v>
      </c>
      <c r="F232" s="3457">
        <v>7598673</v>
      </c>
      <c r="G232" s="3457">
        <f t="shared" si="7"/>
        <v>24846.880517951737</v>
      </c>
    </row>
    <row r="233" spans="2:7" s="3470" customFormat="1" hidden="1">
      <c r="B233" s="3467">
        <v>126</v>
      </c>
      <c r="C233" s="3468" t="s">
        <v>3610</v>
      </c>
      <c r="D233" s="3468" t="s">
        <v>3489</v>
      </c>
      <c r="E233" s="3469">
        <v>4.34</v>
      </c>
      <c r="F233" s="3467">
        <v>53955</v>
      </c>
      <c r="G233" s="3467">
        <f t="shared" si="7"/>
        <v>12432.027649769585</v>
      </c>
    </row>
    <row r="234" spans="2:7" s="3470" customFormat="1" hidden="1">
      <c r="B234" s="3467">
        <v>127</v>
      </c>
      <c r="C234" s="3468" t="s">
        <v>3611</v>
      </c>
      <c r="D234" s="3468" t="s">
        <v>3527</v>
      </c>
      <c r="E234" s="3469">
        <v>166.56</v>
      </c>
      <c r="F234" s="3467">
        <v>2484809</v>
      </c>
      <c r="G234" s="3467">
        <f t="shared" si="7"/>
        <v>14918.401777137367</v>
      </c>
    </row>
    <row r="235" spans="2:7" s="3470" customFormat="1" hidden="1">
      <c r="B235" s="3467">
        <v>128</v>
      </c>
      <c r="C235" s="3468" t="s">
        <v>3612</v>
      </c>
      <c r="D235" s="3468" t="s">
        <v>3489</v>
      </c>
      <c r="E235" s="3469">
        <v>4.34</v>
      </c>
      <c r="F235" s="3467">
        <v>53955</v>
      </c>
      <c r="G235" s="3467">
        <f t="shared" si="7"/>
        <v>12432.027649769585</v>
      </c>
    </row>
    <row r="236" spans="2:7" s="3470" customFormat="1" hidden="1">
      <c r="B236" s="3467">
        <v>129</v>
      </c>
      <c r="C236" s="3468" t="s">
        <v>3613</v>
      </c>
      <c r="D236" s="3468" t="s">
        <v>3489</v>
      </c>
      <c r="E236" s="3469">
        <v>3.74</v>
      </c>
      <c r="F236" s="3467">
        <v>46496</v>
      </c>
      <c r="G236" s="3467">
        <f t="shared" si="7"/>
        <v>12432.085561497326</v>
      </c>
    </row>
    <row r="237" spans="2:7" s="3470" customFormat="1" hidden="1">
      <c r="B237" s="3467">
        <v>130</v>
      </c>
      <c r="C237" s="3468" t="s">
        <v>3614</v>
      </c>
      <c r="D237" s="3468" t="s">
        <v>3489</v>
      </c>
      <c r="E237" s="3469">
        <v>15.79</v>
      </c>
      <c r="F237" s="3467">
        <v>196301</v>
      </c>
      <c r="G237" s="3467">
        <f t="shared" si="7"/>
        <v>12431.982267257759</v>
      </c>
    </row>
    <row r="238" spans="2:7" s="3470" customFormat="1" hidden="1">
      <c r="B238" s="3467">
        <v>131</v>
      </c>
      <c r="C238" s="3468" t="s">
        <v>3615</v>
      </c>
      <c r="D238" s="3468" t="s">
        <v>3489</v>
      </c>
      <c r="E238" s="3469">
        <v>13.93</v>
      </c>
      <c r="F238" s="3467">
        <v>173178</v>
      </c>
      <c r="G238" s="3467">
        <f t="shared" si="7"/>
        <v>12432.017229002155</v>
      </c>
    </row>
    <row r="239" spans="2:7" s="3470" customFormat="1" hidden="1">
      <c r="B239" s="3467">
        <v>132</v>
      </c>
      <c r="C239" s="3468" t="s">
        <v>3616</v>
      </c>
      <c r="D239" s="3468" t="s">
        <v>3489</v>
      </c>
      <c r="E239" s="3469">
        <v>13.93</v>
      </c>
      <c r="F239" s="3467">
        <v>173178</v>
      </c>
      <c r="G239" s="3467">
        <f t="shared" ref="G239:G302" si="8">F239/E239</f>
        <v>12432.017229002155</v>
      </c>
    </row>
    <row r="240" spans="2:7" s="3470" customFormat="1" hidden="1">
      <c r="B240" s="3467">
        <v>133</v>
      </c>
      <c r="C240" s="3468" t="s">
        <v>3617</v>
      </c>
      <c r="D240" s="3468" t="s">
        <v>3489</v>
      </c>
      <c r="E240" s="3469">
        <v>13.93</v>
      </c>
      <c r="F240" s="3467">
        <v>173178</v>
      </c>
      <c r="G240" s="3467">
        <f t="shared" si="8"/>
        <v>12432.017229002155</v>
      </c>
    </row>
    <row r="241" spans="2:7" s="3470" customFormat="1" hidden="1">
      <c r="B241" s="3467">
        <v>134</v>
      </c>
      <c r="C241" s="3468" t="s">
        <v>3618</v>
      </c>
      <c r="D241" s="3468" t="s">
        <v>3489</v>
      </c>
      <c r="E241" s="3469">
        <v>64.069999999999993</v>
      </c>
      <c r="F241" s="3467">
        <v>955822</v>
      </c>
      <c r="G241" s="3467">
        <f t="shared" si="8"/>
        <v>14918.40174808803</v>
      </c>
    </row>
    <row r="242" spans="2:7" s="3470" customFormat="1" hidden="1">
      <c r="B242" s="3467">
        <v>135</v>
      </c>
      <c r="C242" s="3468" t="s">
        <v>3619</v>
      </c>
      <c r="D242" s="3468" t="s">
        <v>3489</v>
      </c>
      <c r="E242" s="3469">
        <v>64.069999999999993</v>
      </c>
      <c r="F242" s="3467">
        <v>955822</v>
      </c>
      <c r="G242" s="3467">
        <f t="shared" si="8"/>
        <v>14918.40174808803</v>
      </c>
    </row>
    <row r="243" spans="2:7" s="3460" customFormat="1" hidden="1">
      <c r="B243" s="3457">
        <v>136</v>
      </c>
      <c r="C243" s="3458" t="s">
        <v>3620</v>
      </c>
      <c r="D243" s="3458" t="s">
        <v>21</v>
      </c>
      <c r="E243" s="3459">
        <v>319.54000000000002</v>
      </c>
      <c r="F243" s="3457">
        <v>5012410</v>
      </c>
      <c r="G243" s="3457">
        <f t="shared" si="8"/>
        <v>15686.330349877948</v>
      </c>
    </row>
    <row r="244" spans="2:7" s="3470" customFormat="1" hidden="1">
      <c r="B244" s="3467">
        <v>137</v>
      </c>
      <c r="C244" s="3468" t="s">
        <v>3621</v>
      </c>
      <c r="D244" s="3468" t="s">
        <v>3489</v>
      </c>
      <c r="E244" s="3469">
        <v>6.08</v>
      </c>
      <c r="F244" s="3467">
        <v>58338</v>
      </c>
      <c r="G244" s="3467">
        <f t="shared" si="8"/>
        <v>9595.0657894736833</v>
      </c>
    </row>
    <row r="245" spans="2:7" s="3477" customFormat="1" hidden="1">
      <c r="B245" s="3474">
        <v>138</v>
      </c>
      <c r="C245" s="3475" t="s">
        <v>3622</v>
      </c>
      <c r="D245" s="3475" t="s">
        <v>673</v>
      </c>
      <c r="E245" s="3476">
        <v>1876.37</v>
      </c>
      <c r="F245" s="3474">
        <v>38216716</v>
      </c>
      <c r="G245" s="3474">
        <f t="shared" si="8"/>
        <v>20367.366777341358</v>
      </c>
    </row>
    <row r="246" spans="2:7" s="3477" customFormat="1" hidden="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hidden="1">
      <c r="B257" s="3457">
        <v>150</v>
      </c>
      <c r="C257" s="3458" t="s">
        <v>3635</v>
      </c>
      <c r="D257" s="3458" t="s">
        <v>21</v>
      </c>
      <c r="E257" s="3459">
        <v>285.58</v>
      </c>
      <c r="F257" s="3457">
        <v>4671374</v>
      </c>
      <c r="G257" s="3457">
        <f t="shared" si="8"/>
        <v>16357.497023601094</v>
      </c>
    </row>
    <row r="258" spans="2:7" s="3460" customFormat="1" hidden="1">
      <c r="B258" s="3457">
        <v>151</v>
      </c>
      <c r="C258" s="3458" t="s">
        <v>3636</v>
      </c>
      <c r="D258" s="3458" t="s">
        <v>21</v>
      </c>
      <c r="E258" s="3459">
        <v>319.54000000000002</v>
      </c>
      <c r="F258" s="3457">
        <v>4975169</v>
      </c>
      <c r="G258" s="3457">
        <f t="shared" si="8"/>
        <v>15569.784690492583</v>
      </c>
    </row>
    <row r="259" spans="2:7" s="3470" customFormat="1" hidden="1">
      <c r="B259" s="3467">
        <v>152</v>
      </c>
      <c r="C259" s="3468" t="s">
        <v>3637</v>
      </c>
      <c r="D259" s="3468" t="s">
        <v>3489</v>
      </c>
      <c r="E259" s="3469">
        <v>63.29</v>
      </c>
      <c r="F259" s="3467">
        <v>683532</v>
      </c>
      <c r="G259" s="3467">
        <f t="shared" si="8"/>
        <v>10800</v>
      </c>
    </row>
    <row r="260" spans="2:7" s="3460" customFormat="1" hidden="1">
      <c r="B260" s="3457">
        <v>153</v>
      </c>
      <c r="C260" s="3458" t="s">
        <v>3638</v>
      </c>
      <c r="D260" s="3458" t="s">
        <v>21</v>
      </c>
      <c r="E260" s="3459">
        <v>741.35</v>
      </c>
      <c r="F260" s="3457">
        <v>13929913</v>
      </c>
      <c r="G260" s="3457">
        <f t="shared" si="8"/>
        <v>18789.92783435624</v>
      </c>
    </row>
    <row r="261" spans="2:7" s="3460" customFormat="1" hidden="1">
      <c r="B261" s="3457">
        <v>154</v>
      </c>
      <c r="C261" s="3458" t="s">
        <v>3639</v>
      </c>
      <c r="D261" s="3458" t="s">
        <v>21</v>
      </c>
      <c r="E261" s="3459">
        <v>748.74</v>
      </c>
      <c r="F261" s="3457">
        <v>14172657</v>
      </c>
      <c r="G261" s="3457">
        <f t="shared" si="8"/>
        <v>18928.676175975637</v>
      </c>
    </row>
    <row r="262" spans="2:7" s="3460" customFormat="1" hidden="1">
      <c r="B262" s="3457">
        <v>155</v>
      </c>
      <c r="C262" s="3458" t="s">
        <v>3640</v>
      </c>
      <c r="D262" s="3458" t="s">
        <v>21</v>
      </c>
      <c r="E262" s="3459">
        <v>741.35</v>
      </c>
      <c r="F262" s="3457">
        <v>13929913</v>
      </c>
      <c r="G262" s="3457">
        <f t="shared" si="8"/>
        <v>18789.92783435624</v>
      </c>
    </row>
    <row r="263" spans="2:7" s="3460" customFormat="1" hidden="1">
      <c r="B263" s="3457">
        <v>156</v>
      </c>
      <c r="C263" s="3458" t="s">
        <v>3641</v>
      </c>
      <c r="D263" s="3458" t="s">
        <v>21</v>
      </c>
      <c r="E263" s="3459">
        <v>748.74</v>
      </c>
      <c r="F263" s="3457">
        <v>14120714</v>
      </c>
      <c r="G263" s="3457">
        <f t="shared" si="8"/>
        <v>18859.302294521462</v>
      </c>
    </row>
    <row r="264" spans="2:7" s="3470" customFormat="1" hidden="1">
      <c r="B264" s="3467">
        <v>157</v>
      </c>
      <c r="C264" s="3468" t="s">
        <v>3642</v>
      </c>
      <c r="D264" s="3468" t="s">
        <v>3489</v>
      </c>
      <c r="E264" s="3469">
        <v>4.7300000000000004</v>
      </c>
      <c r="F264" s="3467">
        <v>44588</v>
      </c>
      <c r="G264" s="3467">
        <f t="shared" si="8"/>
        <v>9426.6384778012671</v>
      </c>
    </row>
    <row r="265" spans="2:7" s="3470" customFormat="1" hidden="1">
      <c r="B265" s="3467">
        <v>158</v>
      </c>
      <c r="C265" s="3468" t="s">
        <v>3643</v>
      </c>
      <c r="D265" s="3468" t="s">
        <v>3527</v>
      </c>
      <c r="E265" s="3469">
        <v>66.55</v>
      </c>
      <c r="F265" s="3467">
        <v>752815</v>
      </c>
      <c r="G265" s="3467">
        <f t="shared" si="8"/>
        <v>11312.021036814425</v>
      </c>
    </row>
    <row r="266" spans="2:7" s="3470" customFormat="1" hidden="1">
      <c r="B266" s="3467">
        <v>159</v>
      </c>
      <c r="C266" s="3468" t="s">
        <v>3644</v>
      </c>
      <c r="D266" s="3468" t="s">
        <v>3489</v>
      </c>
      <c r="E266" s="3469">
        <v>4.7300000000000004</v>
      </c>
      <c r="F266" s="3467">
        <v>44588</v>
      </c>
      <c r="G266" s="3467">
        <f t="shared" si="8"/>
        <v>9426.6384778012671</v>
      </c>
    </row>
    <row r="267" spans="2:7" s="3470" customFormat="1" hidden="1">
      <c r="B267" s="3467">
        <v>160</v>
      </c>
      <c r="C267" s="3468" t="s">
        <v>3645</v>
      </c>
      <c r="D267" s="3468" t="s">
        <v>3489</v>
      </c>
      <c r="E267" s="3469">
        <v>16.68</v>
      </c>
      <c r="F267" s="3467">
        <v>157238</v>
      </c>
      <c r="G267" s="3467">
        <f t="shared" si="8"/>
        <v>9426.73860911271</v>
      </c>
    </row>
    <row r="268" spans="2:7" s="3460" customFormat="1" hidden="1">
      <c r="B268" s="3457">
        <v>161</v>
      </c>
      <c r="C268" s="3458" t="s">
        <v>3646</v>
      </c>
      <c r="D268" s="3458" t="s">
        <v>21</v>
      </c>
      <c r="E268" s="3459">
        <v>322.74</v>
      </c>
      <c r="F268" s="3457">
        <v>5723015</v>
      </c>
      <c r="G268" s="3457">
        <f t="shared" si="8"/>
        <v>17732.586602218504</v>
      </c>
    </row>
    <row r="269" spans="2:7" s="3460" customFormat="1" hidden="1">
      <c r="B269" s="3457">
        <v>162</v>
      </c>
      <c r="C269" s="3458" t="s">
        <v>3647</v>
      </c>
      <c r="D269" s="3458" t="s">
        <v>21</v>
      </c>
      <c r="E269" s="3459">
        <v>285.58</v>
      </c>
      <c r="F269" s="3457">
        <v>4854860</v>
      </c>
      <c r="G269" s="3457">
        <f t="shared" si="8"/>
        <v>17000</v>
      </c>
    </row>
    <row r="270" spans="2:7" s="3460" customFormat="1" hidden="1">
      <c r="B270" s="3457">
        <v>163</v>
      </c>
      <c r="C270" s="3458" t="s">
        <v>3648</v>
      </c>
      <c r="D270" s="3458" t="s">
        <v>21</v>
      </c>
      <c r="E270" s="3459">
        <v>330.63</v>
      </c>
      <c r="F270" s="3457">
        <v>6381556</v>
      </c>
      <c r="G270" s="3457">
        <f t="shared" si="8"/>
        <v>19301.200737985058</v>
      </c>
    </row>
    <row r="271" spans="2:7" s="3460" customFormat="1" hidden="1">
      <c r="B271" s="3457">
        <v>164</v>
      </c>
      <c r="C271" s="3458" t="s">
        <v>3649</v>
      </c>
      <c r="D271" s="3458" t="s">
        <v>21</v>
      </c>
      <c r="E271" s="3459">
        <v>194.19</v>
      </c>
      <c r="F271" s="3457">
        <v>3599590</v>
      </c>
      <c r="G271" s="3457">
        <f t="shared" si="8"/>
        <v>18536.433389978887</v>
      </c>
    </row>
    <row r="272" spans="2:7" s="3460" customFormat="1" hidden="1">
      <c r="B272" s="3457">
        <v>165</v>
      </c>
      <c r="C272" s="3458" t="s">
        <v>3650</v>
      </c>
      <c r="D272" s="3458" t="s">
        <v>21</v>
      </c>
      <c r="E272" s="3459">
        <v>292.3</v>
      </c>
      <c r="F272" s="3457">
        <v>5764402</v>
      </c>
      <c r="G272" s="3457">
        <f t="shared" si="8"/>
        <v>19720.841601094766</v>
      </c>
    </row>
    <row r="273" spans="2:7" s="3460" customFormat="1" hidden="1">
      <c r="B273" s="3457">
        <v>166</v>
      </c>
      <c r="C273" s="3458" t="s">
        <v>3651</v>
      </c>
      <c r="D273" s="3458" t="s">
        <v>21</v>
      </c>
      <c r="E273" s="3459">
        <v>330.63</v>
      </c>
      <c r="F273" s="3457">
        <v>6672392</v>
      </c>
      <c r="G273" s="3457">
        <f t="shared" si="8"/>
        <v>20180.842633759792</v>
      </c>
    </row>
    <row r="274" spans="2:7" s="3460" customFormat="1" hidden="1">
      <c r="B274" s="3457">
        <v>167</v>
      </c>
      <c r="C274" s="3458" t="s">
        <v>3652</v>
      </c>
      <c r="D274" s="3458" t="s">
        <v>21</v>
      </c>
      <c r="E274" s="3459">
        <v>298.74</v>
      </c>
      <c r="F274" s="3457">
        <v>6028825</v>
      </c>
      <c r="G274" s="3457">
        <f t="shared" si="8"/>
        <v>20180.84287340162</v>
      </c>
    </row>
    <row r="275" spans="2:7" s="3460" customFormat="1" hidden="1">
      <c r="B275" s="3457">
        <v>168</v>
      </c>
      <c r="C275" s="3458" t="s">
        <v>3653</v>
      </c>
      <c r="D275" s="3458" t="s">
        <v>21</v>
      </c>
      <c r="E275" s="3459">
        <v>330.63</v>
      </c>
      <c r="F275" s="3457">
        <v>6672392</v>
      </c>
      <c r="G275" s="3457">
        <f t="shared" si="8"/>
        <v>20180.842633759792</v>
      </c>
    </row>
    <row r="276" spans="2:7" s="3460" customFormat="1" hidden="1">
      <c r="B276" s="3457">
        <v>169</v>
      </c>
      <c r="C276" s="3458" t="s">
        <v>3654</v>
      </c>
      <c r="D276" s="3458" t="s">
        <v>21</v>
      </c>
      <c r="E276" s="3459">
        <v>194.19</v>
      </c>
      <c r="F276" s="3457">
        <v>3829590</v>
      </c>
      <c r="G276" s="3457">
        <f t="shared" si="8"/>
        <v>19720.840414027498</v>
      </c>
    </row>
    <row r="277" spans="2:7" s="3460" customFormat="1" hidden="1">
      <c r="B277" s="3457">
        <v>170</v>
      </c>
      <c r="C277" s="3458" t="s">
        <v>3655</v>
      </c>
      <c r="D277" s="3458" t="s">
        <v>21</v>
      </c>
      <c r="E277" s="3459">
        <v>292.3</v>
      </c>
      <c r="F277" s="3457">
        <v>5764402</v>
      </c>
      <c r="G277" s="3457">
        <f t="shared" si="8"/>
        <v>19720.841601094766</v>
      </c>
    </row>
    <row r="278" spans="2:7" s="3460" customFormat="1" hidden="1">
      <c r="B278" s="3457">
        <v>171</v>
      </c>
      <c r="C278" s="3458" t="s">
        <v>3656</v>
      </c>
      <c r="D278" s="3458" t="s">
        <v>21</v>
      </c>
      <c r="E278" s="3459">
        <v>330.63</v>
      </c>
      <c r="F278" s="3457">
        <v>6611556</v>
      </c>
      <c r="G278" s="3457">
        <f t="shared" si="8"/>
        <v>19996.842391797476</v>
      </c>
    </row>
    <row r="279" spans="2:7" s="3460" customFormat="1" hidden="1">
      <c r="B279" s="3457">
        <v>172</v>
      </c>
      <c r="C279" s="3458" t="s">
        <v>3657</v>
      </c>
      <c r="D279" s="3458" t="s">
        <v>21</v>
      </c>
      <c r="E279" s="3459">
        <v>298.74</v>
      </c>
      <c r="F279" s="3457">
        <v>5973857</v>
      </c>
      <c r="G279" s="3457">
        <f t="shared" si="8"/>
        <v>19996.843408984401</v>
      </c>
    </row>
    <row r="280" spans="2:7" s="3470" customFormat="1" hidden="1">
      <c r="B280" s="3467">
        <v>173</v>
      </c>
      <c r="C280" s="3468" t="s">
        <v>3658</v>
      </c>
      <c r="D280" s="3468" t="s">
        <v>3489</v>
      </c>
      <c r="E280" s="3469">
        <v>5.58</v>
      </c>
      <c r="F280" s="3467">
        <v>57516</v>
      </c>
      <c r="G280" s="3467">
        <f t="shared" si="8"/>
        <v>10307.526881720431</v>
      </c>
    </row>
    <row r="281" spans="2:7" s="3470" customFormat="1" hidden="1">
      <c r="B281" s="3467">
        <v>174</v>
      </c>
      <c r="C281" s="3468" t="s">
        <v>3659</v>
      </c>
      <c r="D281" s="3468" t="s">
        <v>3489</v>
      </c>
      <c r="E281" s="3469">
        <v>8.61</v>
      </c>
      <c r="F281" s="3467">
        <v>88748</v>
      </c>
      <c r="G281" s="3467">
        <f t="shared" si="8"/>
        <v>10307.549361207899</v>
      </c>
    </row>
    <row r="282" spans="2:7" s="3470" customFormat="1" hidden="1">
      <c r="B282" s="3467">
        <v>175</v>
      </c>
      <c r="C282" s="3468" t="s">
        <v>3660</v>
      </c>
      <c r="D282" s="3468" t="s">
        <v>3489</v>
      </c>
      <c r="E282" s="3469">
        <v>5.58</v>
      </c>
      <c r="F282" s="3467">
        <v>57516</v>
      </c>
      <c r="G282" s="3467">
        <f t="shared" si="8"/>
        <v>10307.526881720431</v>
      </c>
    </row>
    <row r="283" spans="2:7" s="3470" customFormat="1" hidden="1">
      <c r="B283" s="3467">
        <v>176</v>
      </c>
      <c r="C283" s="3468" t="s">
        <v>3661</v>
      </c>
      <c r="D283" s="3468" t="s">
        <v>3527</v>
      </c>
      <c r="E283" s="3469">
        <v>16.52</v>
      </c>
      <c r="F283" s="3467">
        <v>204336</v>
      </c>
      <c r="G283" s="3467">
        <f t="shared" si="8"/>
        <v>12369.007263922518</v>
      </c>
    </row>
    <row r="284" spans="2:7" s="3470" customFormat="1" hidden="1">
      <c r="B284" s="3467">
        <v>177</v>
      </c>
      <c r="C284" s="3468" t="s">
        <v>3662</v>
      </c>
      <c r="D284" s="3468" t="s">
        <v>3527</v>
      </c>
      <c r="E284" s="3469">
        <v>72.260000000000005</v>
      </c>
      <c r="F284" s="3467">
        <v>893784</v>
      </c>
      <c r="G284" s="3467">
        <f t="shared" si="8"/>
        <v>12369.0008303349</v>
      </c>
    </row>
    <row r="285" spans="2:7" s="3460" customFormat="1" hidden="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hidden="1">
      <c r="B329" s="3457">
        <v>225</v>
      </c>
      <c r="C329" s="3458" t="s">
        <v>3707</v>
      </c>
      <c r="D329" s="3458" t="s">
        <v>21</v>
      </c>
      <c r="E329" s="3459">
        <v>291</v>
      </c>
      <c r="F329" s="3457">
        <v>5698607</v>
      </c>
      <c r="G329" s="3457">
        <f t="shared" si="9"/>
        <v>19582.841924398625</v>
      </c>
    </row>
    <row r="330" spans="2:7" s="3470" customFormat="1" hidden="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hidden="1">
      <c r="B333" s="3467">
        <v>229</v>
      </c>
      <c r="C333" s="3468" t="s">
        <v>3711</v>
      </c>
      <c r="D333" s="3468" t="s">
        <v>3489</v>
      </c>
      <c r="E333" s="3469">
        <v>64.2</v>
      </c>
      <c r="F333" s="3467">
        <v>788601</v>
      </c>
      <c r="G333" s="3467">
        <f t="shared" si="9"/>
        <v>12283.504672897196</v>
      </c>
    </row>
    <row r="334" spans="2:7" s="3460" customFormat="1" hidden="1">
      <c r="B334" s="3457">
        <v>230</v>
      </c>
      <c r="C334" s="3458" t="s">
        <v>3712</v>
      </c>
      <c r="D334" s="3458" t="s">
        <v>21</v>
      </c>
      <c r="E334" s="3459">
        <v>327.37</v>
      </c>
      <c r="F334" s="3457">
        <v>6416452</v>
      </c>
      <c r="G334" s="3457">
        <f t="shared" si="9"/>
        <v>19600</v>
      </c>
    </row>
    <row r="335" spans="2:7" s="3460" customFormat="1" hidden="1">
      <c r="B335" s="3457">
        <v>231</v>
      </c>
      <c r="C335" s="3458" t="s">
        <v>3713</v>
      </c>
      <c r="D335" s="3458" t="s">
        <v>21</v>
      </c>
      <c r="E335" s="3459">
        <v>193.86</v>
      </c>
      <c r="F335" s="3457">
        <v>3505183</v>
      </c>
      <c r="G335" s="3457">
        <f t="shared" si="9"/>
        <v>18081.001753842978</v>
      </c>
    </row>
    <row r="336" spans="2:7" s="3470" customFormat="1" hidden="1">
      <c r="B336" s="3467">
        <v>232</v>
      </c>
      <c r="C336" s="3468" t="s">
        <v>3714</v>
      </c>
      <c r="D336" s="3468" t="s">
        <v>3527</v>
      </c>
      <c r="E336" s="3469">
        <v>59.44</v>
      </c>
      <c r="F336" s="3467">
        <v>782082</v>
      </c>
      <c r="G336" s="3467">
        <f t="shared" si="9"/>
        <v>13157.503364737551</v>
      </c>
    </row>
    <row r="337" spans="2:7" s="3460" customFormat="1" hidden="1">
      <c r="B337" s="3457">
        <v>233</v>
      </c>
      <c r="C337" s="3458" t="s">
        <v>3715</v>
      </c>
      <c r="D337" s="3458" t="s">
        <v>21</v>
      </c>
      <c r="E337" s="3459">
        <v>327.37</v>
      </c>
      <c r="F337" s="3457">
        <v>7032562</v>
      </c>
      <c r="G337" s="3457">
        <f t="shared" si="9"/>
        <v>21481.998961419798</v>
      </c>
    </row>
    <row r="338" spans="2:7" s="3460" customFormat="1" hidden="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hidden="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hidden="1">
      <c r="B350" s="3457">
        <v>246</v>
      </c>
      <c r="C350" s="3458" t="s">
        <v>3728</v>
      </c>
      <c r="D350" s="3458" t="s">
        <v>21</v>
      </c>
      <c r="E350" s="3459">
        <v>291</v>
      </c>
      <c r="F350" s="3457">
        <v>5529000</v>
      </c>
      <c r="G350" s="3457">
        <f t="shared" si="9"/>
        <v>19000</v>
      </c>
    </row>
    <row r="351" spans="2:7" s="3460" customFormat="1" hidden="1">
      <c r="B351" s="3457">
        <v>247</v>
      </c>
      <c r="C351" s="3458" t="s">
        <v>3729</v>
      </c>
      <c r="D351" s="3458" t="s">
        <v>21</v>
      </c>
      <c r="E351" s="3459">
        <v>327.37</v>
      </c>
      <c r="F351" s="3457">
        <v>6637518</v>
      </c>
      <c r="G351" s="3457">
        <f t="shared" si="9"/>
        <v>20275.278736597735</v>
      </c>
    </row>
    <row r="352" spans="2:7" s="3460" customFormat="1" hidden="1">
      <c r="B352" s="3457">
        <v>248</v>
      </c>
      <c r="C352" s="3458" t="s">
        <v>3730</v>
      </c>
      <c r="D352" s="3458" t="s">
        <v>21</v>
      </c>
      <c r="E352" s="3459">
        <v>295.81</v>
      </c>
      <c r="F352" s="3457">
        <v>5997632</v>
      </c>
      <c r="G352" s="3457">
        <f t="shared" si="9"/>
        <v>20275.284811196376</v>
      </c>
    </row>
    <row r="353" spans="2:7" s="3470" customFormat="1" hidden="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hidden="1">
      <c r="B357" s="3467">
        <v>253</v>
      </c>
      <c r="C357" s="3468" t="s">
        <v>3735</v>
      </c>
      <c r="D357" s="3468" t="s">
        <v>3489</v>
      </c>
      <c r="E357" s="3469">
        <v>8.9700000000000006</v>
      </c>
      <c r="F357" s="3467">
        <v>71000</v>
      </c>
      <c r="G357" s="3467">
        <f t="shared" si="9"/>
        <v>7915.2731326644362</v>
      </c>
    </row>
    <row r="358" spans="2:7" s="3460" customFormat="1" hidden="1">
      <c r="B358" s="3457">
        <v>254</v>
      </c>
      <c r="C358" s="3458" t="s">
        <v>3736</v>
      </c>
      <c r="D358" s="3458" t="s">
        <v>21</v>
      </c>
      <c r="E358" s="3459">
        <v>191.12</v>
      </c>
      <c r="F358" s="3457">
        <v>3582353</v>
      </c>
      <c r="G358" s="3457">
        <f t="shared" si="9"/>
        <v>18743.998534951861</v>
      </c>
    </row>
    <row r="359" spans="2:7" s="3460" customFormat="1" hidden="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hidden="1">
      <c r="B361" s="3457">
        <v>257</v>
      </c>
      <c r="C361" s="3458" t="s">
        <v>3739</v>
      </c>
      <c r="D361" s="3458" t="s">
        <v>21</v>
      </c>
      <c r="E361" s="3459">
        <v>327.37</v>
      </c>
      <c r="F361" s="3457">
        <v>6879681</v>
      </c>
      <c r="G361" s="3457">
        <f t="shared" si="9"/>
        <v>21015.00137459144</v>
      </c>
    </row>
    <row r="362" spans="2:7" s="3470" customFormat="1" hidden="1">
      <c r="B362" s="3467">
        <v>258</v>
      </c>
      <c r="C362" s="3468" t="s">
        <v>3740</v>
      </c>
      <c r="D362" s="3468" t="s">
        <v>3527</v>
      </c>
      <c r="E362" s="3469">
        <v>59.44</v>
      </c>
      <c r="F362" s="3467">
        <v>740920</v>
      </c>
      <c r="G362" s="3467">
        <f t="shared" si="9"/>
        <v>12465.006729475101</v>
      </c>
    </row>
    <row r="363" spans="2:7" s="3460" customFormat="1" hidden="1">
      <c r="B363" s="3457">
        <v>259</v>
      </c>
      <c r="C363" s="3458" t="s">
        <v>3741</v>
      </c>
      <c r="D363" s="3458" t="s">
        <v>21</v>
      </c>
      <c r="E363" s="3459">
        <v>295.81</v>
      </c>
      <c r="F363" s="3457">
        <v>6216448</v>
      </c>
      <c r="G363" s="3457">
        <f t="shared" si="9"/>
        <v>21015.002873466077</v>
      </c>
    </row>
    <row r="364" spans="2:7" s="3470" customFormat="1" hidden="1">
      <c r="B364" s="3467">
        <v>260</v>
      </c>
      <c r="C364" s="3468" t="s">
        <v>3742</v>
      </c>
      <c r="D364" s="3468" t="s">
        <v>3489</v>
      </c>
      <c r="E364" s="3469">
        <v>5.87</v>
      </c>
      <c r="F364" s="3467">
        <v>60913</v>
      </c>
      <c r="G364" s="3467">
        <f t="shared" si="9"/>
        <v>10377.001703577513</v>
      </c>
    </row>
    <row r="365" spans="2:7" s="3460" customFormat="1" hidden="1">
      <c r="B365" s="3457">
        <v>261</v>
      </c>
      <c r="C365" s="3458" t="s">
        <v>3743</v>
      </c>
      <c r="D365" s="3458" t="s">
        <v>21</v>
      </c>
      <c r="E365" s="3459">
        <v>193.86</v>
      </c>
      <c r="F365" s="3457">
        <v>3836974</v>
      </c>
      <c r="G365" s="3457">
        <f t="shared" si="9"/>
        <v>19792.499742081913</v>
      </c>
    </row>
    <row r="366" spans="2:7" s="3460" customFormat="1" hidden="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hidden="1">
      <c r="B373" s="3467">
        <v>269</v>
      </c>
      <c r="C373" s="3468" t="s">
        <v>3751</v>
      </c>
      <c r="D373" s="3468" t="s">
        <v>3489</v>
      </c>
      <c r="E373" s="3469">
        <v>5.79</v>
      </c>
      <c r="F373" s="3467">
        <v>40935</v>
      </c>
      <c r="G373" s="3467">
        <f t="shared" si="10"/>
        <v>7069.948186528497</v>
      </c>
    </row>
    <row r="374" spans="2:7" s="3460" customFormat="1" hidden="1">
      <c r="B374" s="3457">
        <v>270</v>
      </c>
      <c r="C374" s="3458" t="s">
        <v>3752</v>
      </c>
      <c r="D374" s="3458" t="s">
        <v>21</v>
      </c>
      <c r="E374" s="3459">
        <v>322.74</v>
      </c>
      <c r="F374" s="3457">
        <v>5812474</v>
      </c>
      <c r="G374" s="3457">
        <f t="shared" si="10"/>
        <v>18009.772572349259</v>
      </c>
    </row>
    <row r="375" spans="2:7" s="3460" customFormat="1" hidden="1">
      <c r="B375" s="3457">
        <v>271</v>
      </c>
      <c r="C375" s="3458" t="s">
        <v>3753</v>
      </c>
      <c r="D375" s="3458" t="s">
        <v>21</v>
      </c>
      <c r="E375" s="3459">
        <v>291.63</v>
      </c>
      <c r="F375" s="3457">
        <v>5252190</v>
      </c>
      <c r="G375" s="3457">
        <f t="shared" si="10"/>
        <v>18009.772657134039</v>
      </c>
    </row>
    <row r="376" spans="2:7" s="3460" customFormat="1" hidden="1">
      <c r="B376" s="3457">
        <v>272</v>
      </c>
      <c r="C376" s="3458" t="s">
        <v>3754</v>
      </c>
      <c r="D376" s="3458" t="s">
        <v>21</v>
      </c>
      <c r="E376" s="3459">
        <v>291.63</v>
      </c>
      <c r="F376" s="3457">
        <v>5482639</v>
      </c>
      <c r="G376" s="3457">
        <f t="shared" si="10"/>
        <v>18799.982854987484</v>
      </c>
    </row>
    <row r="377" spans="2:7" s="3477" customFormat="1" hidden="1">
      <c r="B377" s="3474">
        <v>273</v>
      </c>
      <c r="C377" s="3475" t="s">
        <v>3755</v>
      </c>
      <c r="D377" s="3475" t="s">
        <v>673</v>
      </c>
      <c r="E377" s="3476">
        <v>85.26</v>
      </c>
      <c r="F377" s="3474">
        <v>3836700</v>
      </c>
      <c r="G377" s="3474">
        <f t="shared" si="10"/>
        <v>45000</v>
      </c>
    </row>
    <row r="378" spans="2:7" s="3477" customFormat="1" hidden="1">
      <c r="B378" s="3474">
        <v>274</v>
      </c>
      <c r="C378" s="3475" t="s">
        <v>3756</v>
      </c>
      <c r="D378" s="3475" t="s">
        <v>673</v>
      </c>
      <c r="E378" s="3476">
        <v>168.09</v>
      </c>
      <c r="F378" s="3474">
        <v>7564050</v>
      </c>
      <c r="G378" s="3474">
        <f t="shared" si="10"/>
        <v>45000</v>
      </c>
    </row>
    <row r="379" spans="2:7" s="3477" customFormat="1" hidden="1">
      <c r="B379" s="3474">
        <v>275</v>
      </c>
      <c r="C379" s="3475" t="s">
        <v>3757</v>
      </c>
      <c r="D379" s="3475" t="s">
        <v>673</v>
      </c>
      <c r="E379" s="3476">
        <v>311.07</v>
      </c>
      <c r="F379" s="3474">
        <v>13998150</v>
      </c>
      <c r="G379" s="3474">
        <f t="shared" si="10"/>
        <v>45000</v>
      </c>
    </row>
    <row r="380" spans="2:7" s="3477" customFormat="1" hidden="1">
      <c r="B380" s="3474">
        <v>276</v>
      </c>
      <c r="C380" s="3475" t="s">
        <v>3758</v>
      </c>
      <c r="D380" s="3475" t="s">
        <v>673</v>
      </c>
      <c r="E380" s="3476">
        <v>124.93</v>
      </c>
      <c r="F380" s="3474">
        <v>5621850</v>
      </c>
      <c r="G380" s="3474">
        <f t="shared" si="10"/>
        <v>45000</v>
      </c>
    </row>
    <row r="381" spans="2:7" s="3477" customFormat="1" hidden="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hidden="1">
      <c r="B384" s="3457">
        <v>280</v>
      </c>
      <c r="C384" s="3465" t="s">
        <v>3762</v>
      </c>
      <c r="D384" s="3458" t="s">
        <v>21</v>
      </c>
      <c r="E384" s="3459">
        <v>327.37</v>
      </c>
      <c r="F384" s="3457">
        <v>7159582</v>
      </c>
      <c r="G384" s="3457">
        <f t="shared" si="10"/>
        <v>21870.000305464764</v>
      </c>
    </row>
    <row r="385" spans="2:7" s="3470" customFormat="1" hidden="1">
      <c r="B385" s="3467">
        <v>281</v>
      </c>
      <c r="C385" s="3472" t="s">
        <v>3763</v>
      </c>
      <c r="D385" s="3468" t="s">
        <v>3489</v>
      </c>
      <c r="E385" s="3469">
        <v>5.87</v>
      </c>
      <c r="F385" s="3467">
        <v>65000</v>
      </c>
      <c r="G385" s="3467">
        <f t="shared" si="10"/>
        <v>11073.253833049404</v>
      </c>
    </row>
    <row r="386" spans="2:7" s="3470" customFormat="1" hidden="1">
      <c r="B386" s="3467">
        <v>282</v>
      </c>
      <c r="C386" s="3472" t="s">
        <v>3764</v>
      </c>
      <c r="D386" s="3468" t="s">
        <v>3765</v>
      </c>
      <c r="E386" s="3469">
        <v>24.01</v>
      </c>
      <c r="F386" s="3467">
        <v>156065</v>
      </c>
      <c r="G386" s="3467">
        <f t="shared" si="10"/>
        <v>6500</v>
      </c>
    </row>
    <row r="387" spans="2:7" s="3470" customFormat="1" hidden="1">
      <c r="B387" s="3467">
        <v>283</v>
      </c>
      <c r="C387" s="3472" t="s">
        <v>3766</v>
      </c>
      <c r="D387" s="3468" t="s">
        <v>3765</v>
      </c>
      <c r="E387" s="3469">
        <v>198.59</v>
      </c>
      <c r="F387" s="3467">
        <v>1290835</v>
      </c>
      <c r="G387" s="3467">
        <f t="shared" si="10"/>
        <v>6500</v>
      </c>
    </row>
    <row r="388" spans="2:7" s="3460" customFormat="1" hidden="1">
      <c r="B388" s="3457">
        <v>284</v>
      </c>
      <c r="C388" s="3465" t="s">
        <v>3767</v>
      </c>
      <c r="D388" s="3458" t="s">
        <v>21</v>
      </c>
      <c r="E388" s="3459">
        <v>295.81</v>
      </c>
      <c r="F388" s="3457">
        <v>5000000</v>
      </c>
      <c r="G388" s="3457">
        <f t="shared" si="10"/>
        <v>16902.741624691524</v>
      </c>
    </row>
    <row r="389" spans="2:7" s="3460" customFormat="1" hidden="1">
      <c r="B389" s="3457">
        <v>285</v>
      </c>
      <c r="C389" s="3466" t="s">
        <v>3768</v>
      </c>
      <c r="D389" s="3458" t="s">
        <v>21</v>
      </c>
      <c r="E389" s="3459">
        <v>295.81</v>
      </c>
      <c r="F389" s="3457">
        <v>5502066</v>
      </c>
      <c r="G389" s="3457">
        <f t="shared" si="10"/>
        <v>18600</v>
      </c>
    </row>
    <row r="390" spans="2:7" s="3460" customFormat="1" hidden="1">
      <c r="B390" s="3457">
        <v>286</v>
      </c>
      <c r="C390" s="3466" t="s">
        <v>3769</v>
      </c>
      <c r="D390" s="3458" t="s">
        <v>21</v>
      </c>
      <c r="E390" s="3459">
        <v>327.37</v>
      </c>
      <c r="F390" s="3457">
        <v>6089082</v>
      </c>
      <c r="G390" s="3457">
        <f t="shared" si="10"/>
        <v>18600</v>
      </c>
    </row>
    <row r="391" spans="2:7" s="3477" customFormat="1" hidden="1">
      <c r="B391" s="3474">
        <v>287</v>
      </c>
      <c r="C391" s="3478" t="s">
        <v>3770</v>
      </c>
      <c r="D391" s="3475" t="s">
        <v>673</v>
      </c>
      <c r="E391" s="3476">
        <v>557</v>
      </c>
      <c r="F391" s="3474">
        <v>10026000</v>
      </c>
      <c r="G391" s="3474">
        <f t="shared" si="10"/>
        <v>18000</v>
      </c>
    </row>
    <row r="392" spans="2:7" s="3477" customFormat="1" hidden="1">
      <c r="B392" s="3474">
        <v>288</v>
      </c>
      <c r="C392" s="3478" t="s">
        <v>3771</v>
      </c>
      <c r="D392" s="3475" t="s">
        <v>673</v>
      </c>
      <c r="E392" s="3476">
        <v>63.36</v>
      </c>
      <c r="F392" s="3474">
        <v>1140480</v>
      </c>
      <c r="G392" s="3474">
        <f t="shared" si="10"/>
        <v>18000</v>
      </c>
    </row>
    <row r="393" spans="2:7" s="3477" customFormat="1" hidden="1">
      <c r="B393" s="3474">
        <v>289</v>
      </c>
      <c r="C393" s="3478" t="s">
        <v>3772</v>
      </c>
      <c r="D393" s="3475" t="s">
        <v>673</v>
      </c>
      <c r="E393" s="3476">
        <v>738.77</v>
      </c>
      <c r="F393" s="3474">
        <v>13297860</v>
      </c>
      <c r="G393" s="3474">
        <f t="shared" si="10"/>
        <v>18000</v>
      </c>
    </row>
    <row r="394" spans="2:7" s="3477" customFormat="1" hidden="1">
      <c r="B394" s="3474">
        <v>290</v>
      </c>
      <c r="C394" s="3478" t="s">
        <v>3773</v>
      </c>
      <c r="D394" s="3475" t="s">
        <v>673</v>
      </c>
      <c r="E394" s="3476">
        <v>106.62</v>
      </c>
      <c r="F394" s="3474">
        <v>1919160</v>
      </c>
      <c r="G394" s="3474">
        <f t="shared" si="10"/>
        <v>18000</v>
      </c>
    </row>
    <row r="395" spans="2:7" s="3477" customFormat="1" hidden="1">
      <c r="B395" s="3474">
        <v>291</v>
      </c>
      <c r="C395" s="3478" t="s">
        <v>3774</v>
      </c>
      <c r="D395" s="3475" t="s">
        <v>673</v>
      </c>
      <c r="E395" s="3476">
        <v>136.08000000000001</v>
      </c>
      <c r="F395" s="3474">
        <v>2449440</v>
      </c>
      <c r="G395" s="3474">
        <f t="shared" si="10"/>
        <v>18000</v>
      </c>
    </row>
    <row r="396" spans="2:7" s="3460" customFormat="1" hidden="1">
      <c r="B396" s="3457">
        <v>292</v>
      </c>
      <c r="C396" s="3466" t="s">
        <v>3775</v>
      </c>
      <c r="D396" s="3458" t="s">
        <v>21</v>
      </c>
      <c r="E396" s="3459">
        <v>295.81</v>
      </c>
      <c r="F396" s="3457">
        <v>5959093</v>
      </c>
      <c r="G396" s="3457">
        <f t="shared" si="10"/>
        <v>20145.001859301577</v>
      </c>
    </row>
    <row r="397" spans="2:7" s="3460" customFormat="1" hidden="1">
      <c r="B397" s="3457">
        <v>293</v>
      </c>
      <c r="C397" s="3466" t="s">
        <v>3776</v>
      </c>
      <c r="D397" s="3458" t="s">
        <v>21</v>
      </c>
      <c r="E397" s="3459">
        <v>327.37</v>
      </c>
      <c r="F397" s="3457">
        <v>6121819</v>
      </c>
      <c r="G397" s="3457">
        <f t="shared" si="10"/>
        <v>18700</v>
      </c>
    </row>
    <row r="398" spans="2:7" s="3470" customFormat="1" hidden="1">
      <c r="B398" s="3467">
        <v>294</v>
      </c>
      <c r="C398" s="3473" t="s">
        <v>3777</v>
      </c>
      <c r="D398" s="3468" t="s">
        <v>3489</v>
      </c>
      <c r="E398" s="3469">
        <v>5.87</v>
      </c>
      <c r="F398" s="3467">
        <v>64981</v>
      </c>
      <c r="G398" s="3467">
        <f t="shared" si="10"/>
        <v>11070.017035775127</v>
      </c>
    </row>
    <row r="399" spans="2:7" s="3460" customFormat="1" hidden="1">
      <c r="B399" s="3457">
        <v>295</v>
      </c>
      <c r="C399" s="3466" t="s">
        <v>3778</v>
      </c>
      <c r="D399" s="3458" t="s">
        <v>21</v>
      </c>
      <c r="E399" s="3459">
        <v>327.37</v>
      </c>
      <c r="F399" s="3457">
        <v>6246000</v>
      </c>
      <c r="G399" s="3457">
        <f t="shared" si="10"/>
        <v>19079.329199376851</v>
      </c>
    </row>
    <row r="400" spans="2:7" s="3460" customFormat="1" hidden="1">
      <c r="B400" s="3457">
        <v>296</v>
      </c>
      <c r="C400" s="3466" t="s">
        <v>3779</v>
      </c>
      <c r="D400" s="3458" t="s">
        <v>21</v>
      </c>
      <c r="E400" s="3459">
        <v>193.86</v>
      </c>
      <c r="F400" s="3457">
        <v>3604000</v>
      </c>
      <c r="G400" s="3457">
        <f t="shared" si="10"/>
        <v>18590.735582379035</v>
      </c>
    </row>
    <row r="401" spans="2:7" s="3460" customFormat="1" hidden="1">
      <c r="B401" s="3457">
        <v>297</v>
      </c>
      <c r="C401" s="3466" t="s">
        <v>3780</v>
      </c>
      <c r="D401" s="3458" t="s">
        <v>21</v>
      </c>
      <c r="E401" s="3459">
        <v>193.86</v>
      </c>
      <c r="F401" s="3457">
        <v>3500000</v>
      </c>
      <c r="G401" s="3457">
        <f t="shared" si="10"/>
        <v>18054.265965129474</v>
      </c>
    </row>
  </sheetData>
  <autoFilter ref="B109:L401">
    <filterColumn colId="2">
      <filters>
        <filter val="车位"/>
      </filters>
    </filterColumn>
  </autoFilter>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G38" sqref="G3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5" t="s">
        <v>1131</v>
      </c>
      <c r="B2" s="3595"/>
      <c r="C2" s="3595"/>
      <c r="D2" s="793" t="s">
        <v>1107</v>
      </c>
      <c r="E2" s="1635" t="s">
        <v>1108</v>
      </c>
      <c r="F2" s="2655"/>
      <c r="G2" s="2646"/>
      <c r="H2" s="2647"/>
      <c r="I2" s="2321" t="s">
        <v>1132</v>
      </c>
      <c r="J2" s="2655"/>
      <c r="K2" s="2655"/>
      <c r="L2" s="2655"/>
      <c r="M2" s="2655"/>
      <c r="N2" s="2657"/>
      <c r="O2" s="2655"/>
      <c r="P2" s="2655"/>
    </row>
    <row r="3" spans="1:16" ht="15.75" thickBot="1">
      <c r="A3" s="3596" t="s">
        <v>1105</v>
      </c>
      <c r="B3" s="3596"/>
      <c r="C3" s="3596"/>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7"/>
      <c r="B4" s="3598"/>
      <c r="C4" s="3599"/>
      <c r="D4" s="1637" t="s">
        <v>1107</v>
      </c>
      <c r="E4" s="1638" t="s">
        <v>1108</v>
      </c>
      <c r="F4" s="2655"/>
      <c r="G4" s="2648" t="s">
        <v>1133</v>
      </c>
      <c r="H4" s="1023" t="s">
        <v>1113</v>
      </c>
      <c r="I4" s="852">
        <f>ROUND(SUMIF('数据-基础表'!I9:AS9,"地上",'数据-基础表'!I5:AS5)/'数据-基础表'!A3,2)</f>
        <v>11.58</v>
      </c>
      <c r="J4" s="2655"/>
      <c r="K4" s="2655"/>
      <c r="L4" s="2655"/>
      <c r="M4" s="2655"/>
      <c r="N4" s="2657"/>
      <c r="O4" s="2655"/>
      <c r="P4" s="2655"/>
    </row>
    <row r="5" spans="1:16">
      <c r="A5" s="44" t="s">
        <v>1109</v>
      </c>
      <c r="B5" s="3600" t="s">
        <v>1110</v>
      </c>
      <c r="C5" s="3600"/>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600" t="s">
        <v>1111</v>
      </c>
      <c r="C6" s="3600"/>
      <c r="D6" s="45">
        <f>ROUND($D$3*E6/$E$3,2)</f>
        <v>15635.46</v>
      </c>
      <c r="E6" s="46">
        <f>E3-E5</f>
        <v>226846.22999999989</v>
      </c>
      <c r="F6" s="2655"/>
      <c r="G6" s="2649" t="s">
        <v>1112</v>
      </c>
      <c r="H6" s="1143" t="s">
        <v>1113</v>
      </c>
      <c r="I6" s="2650">
        <f>ROUND(F31/D31,2)</f>
        <v>11.11</v>
      </c>
      <c r="J6" s="2655"/>
      <c r="K6" s="2655"/>
      <c r="L6" s="2655"/>
      <c r="M6" s="2655"/>
      <c r="N6" s="2655"/>
      <c r="O6" s="2655"/>
      <c r="P6" s="2655"/>
    </row>
    <row r="7" spans="1:16" ht="15.75" thickBot="1">
      <c r="A7" s="3592"/>
      <c r="B7" s="3593"/>
      <c r="C7" s="3594"/>
      <c r="D7" s="1637" t="s">
        <v>1107</v>
      </c>
      <c r="E7" s="1641" t="s">
        <v>1114</v>
      </c>
      <c r="F7" s="2655"/>
      <c r="G7" s="2651" t="s">
        <v>1115</v>
      </c>
      <c r="H7" s="2652"/>
      <c r="I7" s="2653">
        <v>11</v>
      </c>
      <c r="J7" s="2655"/>
      <c r="K7" s="2655"/>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9" t="s">
        <v>1135</v>
      </c>
      <c r="L16" s="3590"/>
      <c r="M16" s="3590"/>
      <c r="N16" s="3590"/>
      <c r="O16" s="3590"/>
      <c r="P16" s="3591"/>
    </row>
    <row r="17" spans="1:19" ht="15">
      <c r="A17" s="1646" t="s">
        <v>1136</v>
      </c>
      <c r="B17" s="1647" t="s">
        <v>1137</v>
      </c>
      <c r="C17" s="1648" t="s">
        <v>1138</v>
      </c>
      <c r="D17" s="1649" t="s">
        <v>1126</v>
      </c>
      <c r="E17" s="1650" t="s">
        <v>1127</v>
      </c>
      <c r="F17" s="1651"/>
      <c r="G17" s="1652"/>
      <c r="H17" s="1653" t="s">
        <v>1139</v>
      </c>
      <c r="I17" s="1654" t="s">
        <v>1124</v>
      </c>
      <c r="J17" s="1136"/>
      <c r="K17" s="3586" t="s">
        <v>1140</v>
      </c>
      <c r="L17" s="3587"/>
      <c r="M17" s="3588"/>
      <c r="N17" s="3586" t="s">
        <v>1141</v>
      </c>
      <c r="O17" s="3587"/>
      <c r="P17" s="358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8843.1700000000019</v>
      </c>
      <c r="F28" s="56">
        <f>'数据-基础表'!BQ5+'数据-基础表'!BS5</f>
        <v>7712.7100000000009</v>
      </c>
      <c r="G28" s="57">
        <f>'数据-基础表'!BR5+'数据-基础表'!BT5</f>
        <v>1130.46</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8843.1700000000019</v>
      </c>
      <c r="F30" s="1137">
        <f>SUM(F28:F29)</f>
        <v>7712.7100000000009</v>
      </c>
      <c r="G30" s="1139">
        <f>SUM(G28:G29)</f>
        <v>1130.46</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173638.29999999987</v>
      </c>
      <c r="G31" s="678">
        <f>G27+G30</f>
        <v>53207.930000000008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45005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28.88</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28.88</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10000</v>
      </c>
      <c r="M7" s="67">
        <f t="shared" si="0"/>
        <v>4660</v>
      </c>
      <c r="N7" s="731">
        <f>N6</f>
        <v>0.95</v>
      </c>
      <c r="O7" s="67">
        <f t="shared" ref="O7:O14" si="3">IF($N$5="成新度","——",ROUND(M7*N7,0))</f>
        <v>4427</v>
      </c>
      <c r="P7" s="68">
        <f t="shared" ref="P7:P14" si="4">IF($N$5="成新度","——",M7-O7)</f>
        <v>233</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28.88</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28.88</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28.729999999999997</v>
      </c>
      <c r="AF9" s="1344"/>
      <c r="AG9" s="138">
        <f t="shared" si="7"/>
        <v>0</v>
      </c>
      <c r="AH9" s="74">
        <f>1053-77</f>
        <v>976</v>
      </c>
      <c r="AI9" s="76">
        <v>12</v>
      </c>
      <c r="AJ9" s="77"/>
      <c r="AK9" s="78">
        <v>0.01</v>
      </c>
      <c r="AL9" s="78">
        <v>1E-3</v>
      </c>
      <c r="AM9" s="78">
        <v>0.01</v>
      </c>
      <c r="AN9" s="1711" t="s">
        <v>3956</v>
      </c>
      <c r="AO9" s="52">
        <f t="shared" ca="1" si="9"/>
        <v>-9175</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8843.1700000000019</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9162</v>
      </c>
      <c r="M16" s="93">
        <f>SUM(M6:M14)</f>
        <v>207832</v>
      </c>
      <c r="N16" s="94">
        <f>ROUND(SUMPRODUCT(M6:M14,N6:N14)/M16,3)</f>
        <v>0.95</v>
      </c>
      <c r="O16" s="93">
        <f>SUM(O6:O14)</f>
        <v>197442</v>
      </c>
      <c r="P16" s="93">
        <f>SUM(P6:P14)</f>
        <v>10390</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355043</v>
      </c>
      <c r="C5" s="2508">
        <f ca="1">IF(B5=D14,结果表!H102,ROUND(B5*10000/$B$1,0))</f>
        <v>15651</v>
      </c>
      <c r="D5" s="2508">
        <f ca="1">ROUND(B5*10000/$B$2,0)</f>
        <v>227076</v>
      </c>
      <c r="E5" s="2682"/>
      <c r="F5" s="2683"/>
      <c r="G5" s="2683"/>
      <c r="H5" s="2684"/>
      <c r="I5" s="2684"/>
      <c r="J5" s="2684"/>
      <c r="K5" s="2684"/>
    </row>
    <row r="6" spans="1:11" ht="16.5">
      <c r="A6" s="2508" t="s">
        <v>656</v>
      </c>
      <c r="B6" s="2508">
        <f>SUM(G14:G23)</f>
        <v>0</v>
      </c>
      <c r="C6" s="2508">
        <f ca="1">IF(B6=G14,结果表!H108,ROUND(B6*10000/$B$1,0))</f>
        <v>15475</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355043</v>
      </c>
      <c r="E14" s="2514">
        <f ca="1">ROUND(D14*10000/B14,0)</f>
        <v>15651</v>
      </c>
      <c r="F14" s="2514">
        <f ca="1">ROUND(D14*10000/C14,0)</f>
        <v>227076</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3" zoomScale="80" zoomScaleNormal="100" zoomScaleSheetLayoutView="80" zoomScalePageLayoutView="80" workbookViewId="0">
      <selection activeCell="D107" sqref="D107"/>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70" t="str">
        <f>项目基本情况!S2</f>
        <v>房地产</v>
      </c>
      <c r="B2" s="3671"/>
      <c r="C2" s="3671"/>
      <c r="D2" s="3671"/>
      <c r="E2" s="3671"/>
      <c r="F2" s="3671"/>
      <c r="G2" s="3671"/>
      <c r="H2" s="3671"/>
      <c r="I2" s="3672"/>
    </row>
    <row r="3" spans="1:12" ht="12.75">
      <c r="A3" s="3674" t="s">
        <v>1264</v>
      </c>
      <c r="B3" s="3675"/>
      <c r="C3" s="3675"/>
      <c r="D3" s="3675"/>
      <c r="E3" s="3675"/>
      <c r="F3" s="3675"/>
      <c r="G3" s="3675"/>
      <c r="H3" s="3675"/>
      <c r="I3" s="3675"/>
    </row>
    <row r="4" spans="1:12" ht="14.25">
      <c r="A4" s="1750" t="s">
        <v>1265</v>
      </c>
      <c r="B4" s="1751" t="s">
        <v>1266</v>
      </c>
      <c r="C4" s="1752" t="s">
        <v>3959</v>
      </c>
      <c r="D4" s="1752" t="s">
        <v>3960</v>
      </c>
      <c r="E4" s="3679" t="s">
        <v>1267</v>
      </c>
      <c r="F4" s="3680"/>
      <c r="G4" s="3680"/>
      <c r="H4" s="3680"/>
      <c r="I4" s="36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8" t="s">
        <v>1268</v>
      </c>
      <c r="B5" s="3673">
        <v>25</v>
      </c>
      <c r="C5" s="3676"/>
      <c r="D5" s="3664"/>
      <c r="E5" s="131" t="s">
        <v>1269</v>
      </c>
      <c r="F5" s="1753"/>
      <c r="G5" s="1753"/>
      <c r="H5" s="1753"/>
      <c r="I5" s="1369"/>
    </row>
    <row r="6" spans="1:12" ht="12.75">
      <c r="A6" s="3618"/>
      <c r="B6" s="3673"/>
      <c r="C6" s="3678"/>
      <c r="D6" s="3664"/>
      <c r="E6" s="131" t="s">
        <v>1270</v>
      </c>
      <c r="F6" s="1753"/>
      <c r="G6" s="1753"/>
      <c r="H6" s="1753"/>
      <c r="I6" s="1369"/>
    </row>
    <row r="7" spans="1:12" ht="12.75">
      <c r="A7" s="3618"/>
      <c r="B7" s="3673"/>
      <c r="C7" s="3677"/>
      <c r="D7" s="3664"/>
      <c r="E7" s="131" t="s">
        <v>1271</v>
      </c>
      <c r="F7" s="1753"/>
      <c r="G7" s="1753"/>
      <c r="H7" s="1753"/>
      <c r="I7" s="1369"/>
    </row>
    <row r="8" spans="1:12" ht="12.75">
      <c r="A8" s="3618" t="s">
        <v>1272</v>
      </c>
      <c r="B8" s="3673">
        <v>15</v>
      </c>
      <c r="C8" s="3676"/>
      <c r="D8" s="3664"/>
      <c r="E8" s="131" t="s">
        <v>1273</v>
      </c>
      <c r="F8" s="1753"/>
      <c r="G8" s="1753"/>
      <c r="H8" s="1753"/>
      <c r="I8" s="1369"/>
    </row>
    <row r="9" spans="1:12" ht="12.75">
      <c r="A9" s="3618"/>
      <c r="B9" s="3673"/>
      <c r="C9" s="3677"/>
      <c r="D9" s="3664"/>
      <c r="E9" s="131" t="s">
        <v>1274</v>
      </c>
      <c r="F9" s="1753"/>
      <c r="G9" s="1753"/>
      <c r="H9" s="1753"/>
      <c r="I9" s="1369"/>
    </row>
    <row r="10" spans="1:12" ht="12.75">
      <c r="A10" s="3618" t="s">
        <v>1275</v>
      </c>
      <c r="B10" s="3673">
        <v>15</v>
      </c>
      <c r="C10" s="3676"/>
      <c r="D10" s="3664"/>
      <c r="E10" s="131" t="s">
        <v>1276</v>
      </c>
      <c r="F10" s="1753"/>
      <c r="G10" s="1753"/>
      <c r="H10" s="1753"/>
      <c r="I10" s="1369"/>
    </row>
    <row r="11" spans="1:12" ht="12.75">
      <c r="A11" s="3618"/>
      <c r="B11" s="3673"/>
      <c r="C11" s="3677"/>
      <c r="D11" s="3664"/>
      <c r="E11" s="131" t="s">
        <v>1277</v>
      </c>
      <c r="F11" s="1753"/>
      <c r="G11" s="1753"/>
      <c r="H11" s="1753"/>
      <c r="I11" s="1369"/>
    </row>
    <row r="12" spans="1:12" ht="12.75">
      <c r="A12" s="3618" t="s">
        <v>1278</v>
      </c>
      <c r="B12" s="3673">
        <v>15</v>
      </c>
      <c r="C12" s="3676"/>
      <c r="D12" s="3664"/>
      <c r="E12" s="131" t="s">
        <v>1279</v>
      </c>
      <c r="F12" s="1753"/>
      <c r="G12" s="1753"/>
      <c r="H12" s="1753"/>
      <c r="I12" s="1369"/>
    </row>
    <row r="13" spans="1:12" ht="12.75">
      <c r="A13" s="3618"/>
      <c r="B13" s="3673"/>
      <c r="C13" s="3677"/>
      <c r="D13" s="3664"/>
      <c r="E13" s="131" t="s">
        <v>1280</v>
      </c>
      <c r="F13" s="1753"/>
      <c r="G13" s="1753"/>
      <c r="H13" s="1753"/>
      <c r="I13" s="1369"/>
    </row>
    <row r="14" spans="1:12" ht="12.75">
      <c r="A14" s="3618" t="s">
        <v>1281</v>
      </c>
      <c r="B14" s="3673">
        <v>30</v>
      </c>
      <c r="C14" s="3676">
        <v>5</v>
      </c>
      <c r="D14" s="3664">
        <v>5</v>
      </c>
      <c r="E14" s="131" t="s">
        <v>1282</v>
      </c>
      <c r="F14" s="1753"/>
      <c r="G14" s="1753"/>
      <c r="H14" s="1753"/>
      <c r="I14" s="1369"/>
    </row>
    <row r="15" spans="1:12" ht="12.75">
      <c r="A15" s="3618"/>
      <c r="B15" s="3673"/>
      <c r="C15" s="3678"/>
      <c r="D15" s="3664"/>
      <c r="E15" s="131" t="s">
        <v>1283</v>
      </c>
      <c r="F15" s="1753"/>
      <c r="G15" s="1753"/>
      <c r="H15" s="1753"/>
      <c r="I15" s="1369"/>
    </row>
    <row r="16" spans="1:12" ht="12.75">
      <c r="A16" s="3618"/>
      <c r="B16" s="3673"/>
      <c r="C16" s="3677"/>
      <c r="D16" s="3664"/>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95" t="s">
        <v>2130</v>
      </c>
      <c r="F18" s="3696"/>
      <c r="G18" s="3696"/>
      <c r="H18" s="3696"/>
      <c r="I18" s="3696"/>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363698</v>
      </c>
      <c r="D19" s="135">
        <f ca="1">SUMIF(INDIRECT("'"&amp;D4&amp;"'"&amp;"!A:A"),结果表!B19,INDIRECT("'"&amp;D4&amp;"'"&amp;"!B:B"))</f>
        <v>346387</v>
      </c>
      <c r="E19" s="1757" t="s">
        <v>1292</v>
      </c>
      <c r="F19" s="1758" t="s">
        <v>1291</v>
      </c>
      <c r="G19" s="136">
        <f ca="1">ROUND(C19*$C$18+D19*$D$18,0)</f>
        <v>355043</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16033</v>
      </c>
      <c r="D20" s="138">
        <f ca="1">SUMIF(INDIRECT("'"&amp;D4&amp;"'"&amp;"!A:A"),结果表!B20,INDIRECT("'"&amp;D4&amp;"'"&amp;"!B:B"))</f>
        <v>15270</v>
      </c>
      <c r="E20" s="1760"/>
      <c r="F20" s="1023" t="s">
        <v>1295</v>
      </c>
      <c r="G20" s="139">
        <f ca="1">ROUND(C20*$C$18+D20*$D$18,0)</f>
        <v>15652</v>
      </c>
      <c r="H20" s="805" t="s">
        <v>1296</v>
      </c>
      <c r="I20" s="129"/>
    </row>
    <row r="21" spans="1:36" ht="15" customHeight="1" thickBot="1">
      <c r="A21" s="825"/>
      <c r="B21" s="1761" t="s">
        <v>1297</v>
      </c>
      <c r="C21" s="719">
        <f ca="1">ROUND(C19*10000/L19,0)</f>
        <v>232611</v>
      </c>
      <c r="D21" s="720">
        <f ca="1">ROUND(D19*10000/L19,0)</f>
        <v>221539</v>
      </c>
      <c r="E21" s="825"/>
      <c r="F21" s="1761" t="s">
        <v>1297</v>
      </c>
      <c r="G21" s="140">
        <f ca="1">ROUND(G19*10000/L19,0)</f>
        <v>227076</v>
      </c>
      <c r="H21" s="1762" t="s">
        <v>1296</v>
      </c>
      <c r="I21" s="129"/>
    </row>
    <row r="22" spans="1:36" ht="15" thickBot="1">
      <c r="A22" s="1684" t="s">
        <v>1298</v>
      </c>
      <c r="B22" s="1763"/>
      <c r="C22" s="1764"/>
      <c r="D22" s="721">
        <f ca="1">IF(C19&lt;D19,D19/C19-1,C19/D19-1)</f>
        <v>4.9975894014498312E-2</v>
      </c>
      <c r="E22" s="129"/>
      <c r="F22" s="129"/>
      <c r="G22" s="129"/>
      <c r="H22" s="129"/>
      <c r="I22" s="129"/>
    </row>
    <row r="23" spans="1:36" ht="13.5" thickBot="1">
      <c r="A23" s="1743"/>
      <c r="B23" s="1743"/>
      <c r="C23" s="1743"/>
      <c r="D23" s="1743"/>
      <c r="E23" s="129"/>
      <c r="F23" s="129"/>
      <c r="G23" s="129"/>
      <c r="H23" s="129"/>
      <c r="I23" s="129"/>
    </row>
    <row r="24" spans="1:36" ht="14.25">
      <c r="A24" s="3688" t="s">
        <v>1299</v>
      </c>
      <c r="B24" s="1758" t="s">
        <v>1291</v>
      </c>
      <c r="C24" s="136">
        <f>IF(B30=0,0,D30)</f>
        <v>0</v>
      </c>
      <c r="D24" s="1765"/>
      <c r="E24" s="129"/>
      <c r="F24" s="129"/>
      <c r="G24" s="129"/>
      <c r="H24" s="129"/>
      <c r="I24" s="129"/>
    </row>
    <row r="25" spans="1:36" ht="14.25">
      <c r="A25" s="3689"/>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355043</v>
      </c>
      <c r="D32" s="1771" t="s">
        <v>3987</v>
      </c>
      <c r="E32" s="129"/>
      <c r="F32" s="129"/>
      <c r="G32" s="129"/>
      <c r="H32" s="129"/>
      <c r="I32" s="129"/>
    </row>
    <row r="33" spans="1:15" ht="15">
      <c r="A33" s="783" t="s">
        <v>1306</v>
      </c>
      <c r="B33" s="1772"/>
      <c r="C33" s="1773" t="s">
        <v>3988</v>
      </c>
      <c r="D33" s="1774" t="s">
        <v>3959</v>
      </c>
      <c r="E33" s="1775" t="s">
        <v>1307</v>
      </c>
      <c r="F33" s="1776" t="str">
        <f>IF(D32="楼面单价","取值（单价）","取值（总价）")</f>
        <v>取值（总价）</v>
      </c>
      <c r="G33" s="129"/>
      <c r="H33" s="129"/>
      <c r="I33" s="129"/>
    </row>
    <row r="34" spans="1:15" ht="15">
      <c r="A34" s="1777"/>
      <c r="B34" s="1778" t="s">
        <v>1308</v>
      </c>
      <c r="C34" s="148">
        <f ca="1">IF(C33="自定义",F34,C32-C35)</f>
        <v>77754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277289</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65" t="s">
        <v>1312</v>
      </c>
      <c r="B36" s="1783" t="s">
        <v>1313</v>
      </c>
      <c r="C36" s="145"/>
      <c r="D36" s="1784"/>
      <c r="E36" s="1785"/>
      <c r="F36" s="1786"/>
      <c r="G36" s="129"/>
      <c r="H36" s="129"/>
      <c r="I36" s="129"/>
    </row>
    <row r="37" spans="1:15" ht="15.75" thickBot="1">
      <c r="A37" s="3666"/>
      <c r="B37" s="1670" t="s">
        <v>1314</v>
      </c>
      <c r="C37" s="147">
        <v>4000</v>
      </c>
      <c r="D37" s="1136"/>
      <c r="E37" s="1136"/>
      <c r="F37" s="1786"/>
      <c r="G37" s="129"/>
      <c r="H37" s="129"/>
      <c r="I37" s="129"/>
    </row>
    <row r="38" spans="1:15" ht="15.75" thickBot="1">
      <c r="A38" s="3667"/>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5" t="s">
        <v>1326</v>
      </c>
      <c r="B45" s="3686"/>
      <c r="C45" s="3687"/>
      <c r="D45" s="155">
        <f ca="1">ROUND(H101*F45,0)</f>
        <v>355043</v>
      </c>
      <c r="E45" s="156" t="s">
        <v>1327</v>
      </c>
      <c r="F45" s="157">
        <v>1</v>
      </c>
      <c r="G45" s="158" t="s">
        <v>1328</v>
      </c>
      <c r="H45" s="129"/>
      <c r="I45" s="129"/>
      <c r="J45" s="3605" t="s">
        <v>1329</v>
      </c>
      <c r="K45" s="3605"/>
      <c r="L45" s="3605"/>
      <c r="M45" s="3605"/>
      <c r="N45" s="3605"/>
      <c r="O45" s="3605"/>
    </row>
    <row r="46" spans="1:15" ht="14.25" customHeight="1">
      <c r="A46" s="3682" t="s">
        <v>1330</v>
      </c>
      <c r="B46" s="3683"/>
      <c r="C46" s="3683"/>
      <c r="D46" s="3683"/>
      <c r="E46" s="3683"/>
      <c r="F46" s="3683"/>
      <c r="G46" s="3684"/>
      <c r="H46" s="1802"/>
      <c r="I46" s="159"/>
      <c r="J46" s="2519">
        <v>1</v>
      </c>
      <c r="K46" s="3606" t="s">
        <v>1331</v>
      </c>
      <c r="L46" s="3606"/>
      <c r="M46" s="3607"/>
      <c r="N46" s="3607"/>
      <c r="O46" s="3607"/>
    </row>
    <row r="47" spans="1:15" ht="12" customHeight="1">
      <c r="A47" s="160" t="s">
        <v>1332</v>
      </c>
      <c r="B47" s="161"/>
      <c r="C47" s="162"/>
      <c r="D47" s="1084" t="s">
        <v>1333</v>
      </c>
      <c r="E47" s="302" t="s">
        <v>1334</v>
      </c>
      <c r="F47" s="163" t="s">
        <v>1335</v>
      </c>
      <c r="G47" s="2542" t="s">
        <v>1336</v>
      </c>
      <c r="H47" s="2543"/>
      <c r="I47" s="159"/>
      <c r="J47" s="2519">
        <v>2</v>
      </c>
      <c r="K47" s="3606" t="s">
        <v>1337</v>
      </c>
      <c r="L47" s="3606"/>
      <c r="M47" s="3608">
        <f>'数据-取费表'!B2</f>
        <v>45005</v>
      </c>
      <c r="N47" s="3608"/>
      <c r="O47" s="3608"/>
    </row>
    <row r="48" spans="1:15" ht="25.5">
      <c r="A48" s="3668" t="s">
        <v>1338</v>
      </c>
      <c r="B48" s="3669"/>
      <c r="C48" s="366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6" t="s">
        <v>1340</v>
      </c>
      <c r="L48" s="3606"/>
      <c r="M48" s="3609">
        <f ca="1">H101</f>
        <v>355043</v>
      </c>
      <c r="N48" s="3609"/>
      <c r="O48" s="3609"/>
    </row>
    <row r="49" spans="1:35" ht="25.5" customHeight="1">
      <c r="A49" s="2329" t="s">
        <v>1341</v>
      </c>
      <c r="B49" s="3654" t="s">
        <v>1342</v>
      </c>
      <c r="C49" s="3654"/>
      <c r="D49" s="1586">
        <v>0</v>
      </c>
      <c r="E49" s="324" t="s">
        <v>1343</v>
      </c>
      <c r="F49" s="2420" t="s">
        <v>28</v>
      </c>
      <c r="G49" s="3637"/>
      <c r="H49" s="2306" t="s">
        <v>2133</v>
      </c>
      <c r="I49" s="2307"/>
      <c r="J49" s="2519">
        <v>4</v>
      </c>
      <c r="K49" s="3606" t="str">
        <f>IF(项目基本情况!E8="房地产抵押价值","房地产抵押价值","抵押担保权已注销时的房地产抵押价值")</f>
        <v>房地产抵押价值</v>
      </c>
      <c r="L49" s="3606"/>
      <c r="M49" s="3609">
        <f ca="1">IF(项目基本情况!E8="房地产抵押价值",H107,H109)</f>
        <v>351043</v>
      </c>
      <c r="N49" s="3609"/>
      <c r="O49" s="3609"/>
    </row>
    <row r="50" spans="1:35" ht="25.5" customHeight="1">
      <c r="A50" s="2547"/>
      <c r="B50" s="3654" t="s">
        <v>1344</v>
      </c>
      <c r="C50" s="3654"/>
      <c r="D50" s="2548"/>
      <c r="E50" s="332"/>
      <c r="F50" s="2420"/>
      <c r="G50" s="3638"/>
      <c r="H50" s="2308" t="s">
        <v>2134</v>
      </c>
      <c r="I50" s="2307"/>
      <c r="J50" s="3605" t="s">
        <v>1345</v>
      </c>
      <c r="K50" s="3605"/>
      <c r="L50" s="3605"/>
      <c r="M50" s="3605"/>
      <c r="N50" s="3605"/>
      <c r="O50" s="3605"/>
    </row>
    <row r="51" spans="1:35" ht="20.45" customHeight="1">
      <c r="A51" s="2549"/>
      <c r="B51" s="3654" t="s">
        <v>1346</v>
      </c>
      <c r="C51" s="3654"/>
      <c r="D51" s="1084"/>
      <c r="E51" s="327"/>
      <c r="F51" s="2420"/>
      <c r="G51" s="3639"/>
      <c r="H51" s="2308" t="s">
        <v>2135</v>
      </c>
      <c r="I51" s="2307"/>
      <c r="J51" s="2520" t="s">
        <v>1347</v>
      </c>
      <c r="K51" s="3606" t="s">
        <v>1348</v>
      </c>
      <c r="L51" s="3606"/>
      <c r="M51" s="2520" t="s">
        <v>1349</v>
      </c>
      <c r="N51" s="2520" t="s">
        <v>1350</v>
      </c>
      <c r="O51" s="2520" t="s">
        <v>1351</v>
      </c>
    </row>
    <row r="52" spans="1:35" ht="24" customHeight="1">
      <c r="A52" s="2331" t="s">
        <v>1352</v>
      </c>
      <c r="B52" s="3654" t="s">
        <v>1353</v>
      </c>
      <c r="C52" s="3654"/>
      <c r="D52" s="1084">
        <f ca="1">ROUND(D45*'数据-取费表'!B41/(1+'数据-取费表'!C42),0)</f>
        <v>18936</v>
      </c>
      <c r="E52" s="2330" t="s">
        <v>1354</v>
      </c>
      <c r="F52" s="2550">
        <f>'数据-取费表'!B41</f>
        <v>5.6000000000000001E-2</v>
      </c>
      <c r="G52" s="2551"/>
      <c r="H52" s="2540"/>
      <c r="I52" s="1803"/>
      <c r="J52" s="2519">
        <v>1</v>
      </c>
      <c r="K52" s="3631" t="s">
        <v>1355</v>
      </c>
      <c r="L52" s="3631"/>
      <c r="M52" s="2521" t="b">
        <f>D48</f>
        <v>0</v>
      </c>
      <c r="N52" s="2519" t="str">
        <f>E48</f>
        <v>销售额×税（费）率</v>
      </c>
      <c r="O52" s="2522">
        <f>F48</f>
        <v>5.6000000000000001E-2</v>
      </c>
    </row>
    <row r="53" spans="1:35" ht="12" customHeight="1">
      <c r="A53" s="2331" t="s">
        <v>1356</v>
      </c>
      <c r="B53" s="3655" t="s">
        <v>2290</v>
      </c>
      <c r="C53" s="3656"/>
      <c r="D53" s="1084">
        <f ca="1">ROUND(D45*'数据-取费表'!B41/(1+'数据-取费表'!C42),0)</f>
        <v>18936</v>
      </c>
      <c r="E53" s="2330" t="s">
        <v>1354</v>
      </c>
      <c r="F53" s="2550">
        <f>'数据-取费表'!B41</f>
        <v>5.6000000000000001E-2</v>
      </c>
      <c r="G53" s="2551"/>
      <c r="H53" s="2540"/>
      <c r="I53" s="1803"/>
      <c r="J53" s="2519">
        <v>2</v>
      </c>
      <c r="K53" s="3631" t="s">
        <v>1357</v>
      </c>
      <c r="L53" s="3631"/>
      <c r="M53" s="2521">
        <f t="shared" ref="M53:O54" ca="1" si="0">D55</f>
        <v>178</v>
      </c>
      <c r="N53" s="2519" t="str">
        <f t="shared" si="0"/>
        <v>销售额×税（费）率</v>
      </c>
      <c r="O53" s="2522" t="str">
        <f t="shared" si="0"/>
        <v>免征</v>
      </c>
    </row>
    <row r="54" spans="1:35" ht="12" customHeight="1">
      <c r="A54" s="2331" t="s">
        <v>1358</v>
      </c>
      <c r="B54" s="3655" t="s">
        <v>2291</v>
      </c>
      <c r="C54" s="3656"/>
      <c r="D54" s="1084">
        <f ca="1">C68</f>
        <v>18936</v>
      </c>
      <c r="E54" s="327" t="s">
        <v>1359</v>
      </c>
      <c r="F54" s="2550">
        <f>'数据-取费表'!B41</f>
        <v>5.6000000000000001E-2</v>
      </c>
      <c r="G54" s="2551"/>
      <c r="H54" s="2552"/>
      <c r="I54" s="1803"/>
      <c r="J54" s="2519">
        <v>3</v>
      </c>
      <c r="K54" s="3631" t="s">
        <v>1360</v>
      </c>
      <c r="L54" s="3631"/>
      <c r="M54" s="2521">
        <f t="shared" ca="1" si="0"/>
        <v>200954</v>
      </c>
      <c r="N54" s="2519" t="str">
        <f t="shared" si="0"/>
        <v>增值额×税（费）率</v>
      </c>
      <c r="O54" s="2523" t="str">
        <f t="shared" si="0"/>
        <v>免征</v>
      </c>
    </row>
    <row r="55" spans="1:35" ht="24" customHeight="1">
      <c r="A55" s="3691" t="s">
        <v>1361</v>
      </c>
      <c r="B55" s="3669"/>
      <c r="C55" s="3669"/>
      <c r="D55" s="2320">
        <f ca="1">IF(H55="个人住宅",0,ROUND(D45*I55,0))</f>
        <v>178</v>
      </c>
      <c r="E55" s="2330" t="s">
        <v>1362</v>
      </c>
      <c r="F55" s="2550" t="str">
        <f>IF(H55="正常",I55,"免征")</f>
        <v>免征</v>
      </c>
      <c r="G55" s="2551"/>
      <c r="H55" s="2546"/>
      <c r="I55" s="165">
        <f>'数据-取费表'!B49</f>
        <v>5.0000000000000001E-4</v>
      </c>
      <c r="J55" s="2519">
        <f>IF(H59="非个人房产","",4)</f>
        <v>4</v>
      </c>
      <c r="K55" s="3631" t="str">
        <f>IF(H59="非个人房产","——","个人所得税")</f>
        <v>个人所得税</v>
      </c>
      <c r="L55" s="3631"/>
      <c r="M55" s="2524">
        <f ca="1">D59</f>
        <v>3381</v>
      </c>
      <c r="N55" s="2036" t="str">
        <f>E59</f>
        <v>差额计税</v>
      </c>
      <c r="O55" s="2525">
        <f>F59</f>
        <v>0.01</v>
      </c>
    </row>
    <row r="56" spans="1:35" ht="24.75">
      <c r="A56" s="3691" t="s">
        <v>1363</v>
      </c>
      <c r="B56" s="3669"/>
      <c r="C56" s="3669"/>
      <c r="D56" s="2320">
        <f ca="1">IF(H56="个人住宅",D57,D58)</f>
        <v>200954</v>
      </c>
      <c r="E56" s="2330" t="s">
        <v>1364</v>
      </c>
      <c r="F56" s="2550" t="str">
        <f>IF(H56="正常",F58,"免征")</f>
        <v>免征</v>
      </c>
      <c r="G56" s="2553" t="s">
        <v>1365</v>
      </c>
      <c r="H56" s="2554"/>
      <c r="I56" s="1804"/>
      <c r="J56" s="2519" t="str">
        <f>IF(项目基本情况!K6="上海银行",IF(J55="",4,J55+1),"")</f>
        <v/>
      </c>
      <c r="K56" s="3612" t="str">
        <f>IF(项目基本情况!K6="上海银行","其他处置费用","")</f>
        <v/>
      </c>
      <c r="L56" s="3613"/>
      <c r="M56" s="2521" t="str">
        <f>IF(项目基本情况!K6="上海银行",M69,"")</f>
        <v/>
      </c>
      <c r="N56" s="3612" t="str">
        <f>IF(项目基本情况!K6="上海银行","包含处置中涉及的律师、诉讼、拍卖、评估等费用","")</f>
        <v/>
      </c>
      <c r="O56" s="3615"/>
    </row>
    <row r="57" spans="1:35" ht="12.75">
      <c r="A57" s="2331" t="s">
        <v>1341</v>
      </c>
      <c r="B57" s="3655" t="s">
        <v>1366</v>
      </c>
      <c r="C57" s="3656"/>
      <c r="D57" s="1586">
        <v>0</v>
      </c>
      <c r="E57" s="324" t="s">
        <v>1343</v>
      </c>
      <c r="F57" s="302"/>
      <c r="G57" s="2551"/>
      <c r="H57" s="2555"/>
      <c r="I57" s="1804"/>
      <c r="J57" s="3631">
        <f>IF(AND(J55="",J56=""),4,IF(项目基本情况!K6="上海银行",结果表!J56+1,结果表!J55+1))</f>
        <v>5</v>
      </c>
      <c r="K57" s="3631" t="s">
        <v>1367</v>
      </c>
      <c r="L57" s="2526" t="s">
        <v>1368</v>
      </c>
      <c r="M57" s="2527"/>
      <c r="N57" s="2528">
        <f ca="1">SUMIF(M52:M56,"&lt;9e307")</f>
        <v>204513</v>
      </c>
      <c r="O57" s="2529"/>
      <c r="P57" s="2686">
        <f ca="1">N57/M49</f>
        <v>0.58258674863193394</v>
      </c>
    </row>
    <row r="58" spans="1:35" ht="24.75">
      <c r="A58" s="2331" t="s">
        <v>1352</v>
      </c>
      <c r="B58" s="3655" t="s">
        <v>1369</v>
      </c>
      <c r="C58" s="3654"/>
      <c r="D58" s="2320">
        <f ca="1">IF(H58="转让取得",C81,C97)</f>
        <v>200954</v>
      </c>
      <c r="E58" s="2330" t="s">
        <v>1364</v>
      </c>
      <c r="F58" s="302" t="s">
        <v>28</v>
      </c>
      <c r="G58" s="2551"/>
      <c r="H58" s="2554"/>
      <c r="I58" s="1804"/>
      <c r="J58" s="3631"/>
      <c r="K58" s="3631"/>
      <c r="L58" s="2526" t="s">
        <v>1370</v>
      </c>
      <c r="M58" s="2530"/>
      <c r="N58" s="2531" t="str">
        <f ca="1">NUMBERSTRING(INT(N57*10000),2)&amp;"元整"</f>
        <v>贰拾亿肆仟伍佰壹拾叁万元整</v>
      </c>
      <c r="O58" s="2532"/>
    </row>
    <row r="59" spans="1:35" ht="24.75" thickBot="1">
      <c r="A59" s="3635" t="s">
        <v>1371</v>
      </c>
      <c r="B59" s="3636"/>
      <c r="C59" s="3636"/>
      <c r="D59" s="2556">
        <f ca="1">IF(H59="非个人房产","——",IF(H59="个人住宅（满五唯一有凭证）",0,IF(H59="个人其他（无凭证）",ROUND(D45*F59,0),ROUND(C67*F59,0))))</f>
        <v>3381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33">
        <f>J57+1</f>
        <v>6</v>
      </c>
      <c r="K59" s="3631" t="s">
        <v>1372</v>
      </c>
      <c r="L59" s="2519" t="s">
        <v>1368</v>
      </c>
      <c r="M59" s="2533"/>
      <c r="N59" s="2534">
        <f ca="1">M49-N57</f>
        <v>146530</v>
      </c>
      <c r="O59" s="2535"/>
    </row>
    <row r="60" spans="1:35" ht="12" customHeight="1">
      <c r="A60" s="1805"/>
      <c r="B60" s="1743"/>
      <c r="C60" s="1743"/>
      <c r="D60" s="1743"/>
      <c r="E60" s="1574"/>
      <c r="F60" s="1804"/>
      <c r="G60" s="1804"/>
      <c r="H60" s="1806"/>
      <c r="I60" s="129"/>
      <c r="J60" s="3634"/>
      <c r="K60" s="3631"/>
      <c r="L60" s="2526" t="s">
        <v>1370</v>
      </c>
      <c r="M60" s="2530"/>
      <c r="N60" s="2531" t="str">
        <f ca="1">NUMBERSTRING(INT(N59*10000),2)&amp;"元整"</f>
        <v>壹拾肆亿陆仟伍佰叁拾万元整</v>
      </c>
      <c r="O60" s="2532"/>
    </row>
    <row r="61" spans="1:35" ht="13.5" thickBot="1">
      <c r="A61" s="3690" t="s">
        <v>1373</v>
      </c>
      <c r="B61" s="3690"/>
      <c r="C61" s="3690"/>
      <c r="D61" s="3690"/>
      <c r="E61" s="3690"/>
      <c r="F61" s="1804"/>
      <c r="G61" s="1804"/>
      <c r="H61" s="1806"/>
      <c r="I61" s="129"/>
      <c r="J61" s="2519">
        <f>J59+1</f>
        <v>7</v>
      </c>
      <c r="K61" s="3631" t="s">
        <v>1374</v>
      </c>
      <c r="L61" s="3631"/>
      <c r="M61" s="2536"/>
      <c r="N61" s="2537">
        <f ca="1">ROUND(N59*10000/'数据-汇总表'!E3,0)</f>
        <v>6459</v>
      </c>
      <c r="O61" s="2538"/>
    </row>
    <row r="62" spans="1:35" ht="12.75">
      <c r="A62" s="3650" t="s">
        <v>1375</v>
      </c>
      <c r="B62" s="3651"/>
      <c r="C62" s="2017"/>
      <c r="D62" s="2017" t="s">
        <v>1376</v>
      </c>
      <c r="E62" s="166" t="s">
        <v>1377</v>
      </c>
      <c r="F62" s="1804"/>
      <c r="G62" s="1804"/>
      <c r="H62" s="1806"/>
      <c r="I62" s="129"/>
    </row>
    <row r="63" spans="1:35" ht="12.75">
      <c r="A63" s="173" t="s">
        <v>330</v>
      </c>
      <c r="B63" s="167" t="s">
        <v>1378</v>
      </c>
      <c r="C63" s="2560">
        <f ca="1">ROUND((C64+C65)/(1+'数据-取费表'!C42),0)</f>
        <v>338136</v>
      </c>
      <c r="D63" s="167"/>
      <c r="E63" s="168"/>
      <c r="F63" s="1804"/>
      <c r="G63" s="1804"/>
      <c r="H63" s="1806"/>
      <c r="I63" s="129"/>
      <c r="J63" s="3614" t="s">
        <v>1379</v>
      </c>
      <c r="K63" s="1328" t="s">
        <v>1380</v>
      </c>
      <c r="L63" s="1328">
        <f ca="1">IF(M49&gt;10000,M49*0.5%,IF(AND(M49&gt;1000,M49&lt;=10000),M49*1%,IF(AND(M49&gt;100,M49&lt;=1000),M49*3%,IF(AND(M49&gt;10,M49&lt;=100),M49*5%,M49*8%))))</f>
        <v>1755.2150000000001</v>
      </c>
      <c r="M63" s="302">
        <f ca="1">ROUND(L63,1)</f>
        <v>1755.2</v>
      </c>
      <c r="N63" s="2539"/>
      <c r="Z63" s="1748"/>
      <c r="AI63" s="1749"/>
    </row>
    <row r="64" spans="1:35" ht="14.25" customHeight="1">
      <c r="A64" s="169" t="s">
        <v>325</v>
      </c>
      <c r="B64" s="170" t="s">
        <v>1381</v>
      </c>
      <c r="C64" s="2561">
        <f ca="1">D45</f>
        <v>355043</v>
      </c>
      <c r="D64" s="170" t="s">
        <v>26</v>
      </c>
      <c r="E64" s="172"/>
      <c r="F64" s="1804"/>
      <c r="G64" s="1804"/>
      <c r="H64" s="1806"/>
      <c r="I64" s="129"/>
      <c r="J64" s="3614"/>
      <c r="K64" s="1328" t="s">
        <v>1382</v>
      </c>
      <c r="L64" s="1328">
        <f ca="1">IF(M49&gt;2000,M49*0.5%,IF(AND(M49&gt;1000,M49&lt;=2000),M49*0.6%,IF(AND(M49&gt;500,M49&lt;=1000),M49*0.7%,IF(AND(M49&gt;200,M49&lt;=500),M49*0.8%,IF(AND(M49&gt;100,M49&lt;=200),M49*0.9%,IF(AND(M49&gt;50,M49&lt;=100),M49*1%,IF(AND(M49&gt;20,M49&lt;=50),M49*1.5%,IF(AND(M49&gt;10,M49&lt;=20),M49*2%,IF(AND(M49&gt;1,M49&lt;=10),M49*2.5%)))))))))</f>
        <v>1755.2150000000001</v>
      </c>
      <c r="M64" s="302">
        <f t="shared" ref="M64:M65" ca="1" si="1">ROUND(L64,1)</f>
        <v>1755.2</v>
      </c>
      <c r="N64" s="2540" t="s">
        <v>1383</v>
      </c>
      <c r="Z64" s="1748"/>
      <c r="AI64" s="1749"/>
    </row>
    <row r="65" spans="1:35" ht="14.25" customHeight="1">
      <c r="A65" s="169" t="s">
        <v>326</v>
      </c>
      <c r="B65" s="170" t="s">
        <v>1384</v>
      </c>
      <c r="C65" s="2562"/>
      <c r="D65" s="170"/>
      <c r="E65" s="172"/>
      <c r="F65" s="1804"/>
      <c r="G65" s="1804"/>
      <c r="H65" s="1806"/>
      <c r="I65" s="129"/>
      <c r="J65" s="3614"/>
      <c r="K65" s="1328" t="s">
        <v>1385</v>
      </c>
      <c r="L65" s="1328">
        <f ca="1">IF(M49&gt;1000,M49*0.1%,IF(AND(M49&gt;500,M49&lt;=1000),M49*0.5%,IF(AND(M49&gt;50,M49&lt;=500),M49*1%,IF(AND(M49&gt;1,M49&lt;=50),M49*1.5%))))</f>
        <v>351.04300000000001</v>
      </c>
      <c r="M65" s="302">
        <f t="shared" ca="1" si="1"/>
        <v>351</v>
      </c>
      <c r="N65" s="2540" t="s">
        <v>1383</v>
      </c>
      <c r="Z65" s="1748"/>
      <c r="AI65" s="1749"/>
    </row>
    <row r="66" spans="1:35" ht="14.25" customHeight="1">
      <c r="A66" s="173" t="s">
        <v>327</v>
      </c>
      <c r="B66" s="174" t="s">
        <v>1386</v>
      </c>
      <c r="C66" s="2563"/>
      <c r="D66" s="174" t="s">
        <v>26</v>
      </c>
      <c r="E66" s="1334" t="s">
        <v>671</v>
      </c>
      <c r="F66" s="1804"/>
      <c r="G66" s="1804"/>
      <c r="H66" s="1806"/>
      <c r="I66" s="129"/>
      <c r="J66" s="3614"/>
      <c r="K66" s="1328" t="s">
        <v>1387</v>
      </c>
      <c r="L66" s="1328">
        <f ca="1">M49*0.5%</f>
        <v>1755.2150000000001</v>
      </c>
      <c r="M66" s="302">
        <f ca="1">IF(L66&gt;0.5,0.5,ROUND(L66,0))</f>
        <v>0.5</v>
      </c>
      <c r="N66" s="2540" t="s">
        <v>1388</v>
      </c>
      <c r="Z66" s="1748"/>
      <c r="AI66" s="1749"/>
    </row>
    <row r="67" spans="1:35" ht="14.25" customHeight="1">
      <c r="A67" s="173" t="s">
        <v>328</v>
      </c>
      <c r="B67" s="174" t="s">
        <v>1389</v>
      </c>
      <c r="C67" s="2564">
        <f ca="1">C63-C66</f>
        <v>338136</v>
      </c>
      <c r="D67" s="170" t="s">
        <v>26</v>
      </c>
      <c r="E67" s="172"/>
      <c r="F67" s="1804"/>
      <c r="G67" s="1804"/>
      <c r="H67" s="1806"/>
      <c r="I67" s="129"/>
      <c r="J67" s="3614"/>
      <c r="K67" s="1328" t="s">
        <v>1390</v>
      </c>
      <c r="L67" s="1328">
        <f ca="1">IF(M49&gt;=10000,(8.25+(M49-10000)*0.01%),IF(AND(M49&gt;=8000,M49&lt;10000),(7.85+(M49-8000)*0.02%),IF(AND(M49&gt;=5000,M49&lt;8000),(6.65+(M49-5000)*0.04%),IF(AND(M49&gt;=2000,M49&lt;5000),(4.25+(PM49-2000)*0.08%),IF(AND(M49&gt;=1000,M49&lt;2000),(2.75+(M49-1000)*0.15%),IF(AND(M49&gt;=100,M49&lt;1000),(0.5+(M49-100)*0.25%),IF(AND(M49&gt;0,M49&lt;100),M49*0.5%)))))))</f>
        <v>42.354300000000002</v>
      </c>
      <c r="M67" s="302">
        <f ca="1">ROUND(L67*0.9,1)</f>
        <v>38.1</v>
      </c>
      <c r="N67" s="2539"/>
      <c r="Z67" s="1748"/>
      <c r="AI67" s="1749"/>
    </row>
    <row r="68" spans="1:35" ht="14.25" customHeight="1" thickBot="1">
      <c r="A68" s="176" t="s">
        <v>329</v>
      </c>
      <c r="B68" s="177" t="s">
        <v>1391</v>
      </c>
      <c r="C68" s="2565">
        <f ca="1">IF(C67&lt;=0,0,ROUND(C67*D68,0))</f>
        <v>18936</v>
      </c>
      <c r="D68" s="2566">
        <f>'数据-取费表'!B41</f>
        <v>5.6000000000000001E-2</v>
      </c>
      <c r="E68" s="178"/>
      <c r="F68" s="1804"/>
      <c r="G68" s="1804"/>
      <c r="H68" s="1806"/>
      <c r="I68" s="129"/>
      <c r="J68" s="3614"/>
      <c r="K68" s="1328" t="s">
        <v>1392</v>
      </c>
      <c r="L68" s="1328">
        <f ca="1">IF(M49&gt;10000,M49*0.5%,IF(AND(M49&gt;5000,M49&lt;=10000),M49*1%,IF(AND(M49&gt;1000,M49&lt;=5000),M49*2%,IF(AND(M49&gt;200,M49&lt;=1000),M49*3%,M49*5%))))</f>
        <v>1755.2150000000001</v>
      </c>
      <c r="M68" s="302">
        <f ca="1">ROUND(L68,1)</f>
        <v>1755.2</v>
      </c>
      <c r="N68" s="2539"/>
      <c r="Z68" s="1748"/>
      <c r="AI68" s="1749"/>
    </row>
    <row r="69" spans="1:35" s="1768" customFormat="1" ht="16.5" customHeight="1">
      <c r="A69" s="1807"/>
      <c r="B69" s="1808"/>
      <c r="C69" s="1809"/>
      <c r="D69" s="1810"/>
      <c r="E69" s="1811"/>
      <c r="F69" s="1574"/>
      <c r="G69" s="1574"/>
      <c r="H69" s="1573"/>
      <c r="I69" s="1743"/>
      <c r="J69" s="3614"/>
      <c r="K69" s="1328" t="s">
        <v>1393</v>
      </c>
      <c r="L69" s="1328"/>
      <c r="M69" s="302">
        <f ca="1">ROUND(SUM(M63:M68),0)</f>
        <v>5655</v>
      </c>
      <c r="N69" s="2541">
        <f ca="1">M69/M49</f>
        <v>1.6109137627014353E-2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8" t="s">
        <v>1394</v>
      </c>
      <c r="B70" s="3659"/>
      <c r="C70" s="3659"/>
      <c r="D70" s="3659"/>
      <c r="E70" s="3659"/>
      <c r="F70" s="3659"/>
      <c r="G70" s="3659"/>
      <c r="H70" s="365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0" t="s">
        <v>1375</v>
      </c>
      <c r="B71" s="365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338136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2029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5" t="s">
        <v>1402</v>
      </c>
      <c r="F76" s="3654"/>
      <c r="G76" s="3654"/>
      <c r="H76" s="365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2029</v>
      </c>
      <c r="D78" s="2573">
        <f>'数据-取费表'!B43</f>
        <v>6.000000000000001E-3</v>
      </c>
      <c r="E78" s="3647" t="s">
        <v>1406</v>
      </c>
      <c r="F78" s="3648"/>
      <c r="G78" s="3648"/>
      <c r="H78" s="364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336107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165.6515524889108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200954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8" t="s">
        <v>1410</v>
      </c>
      <c r="B83" s="3659"/>
      <c r="C83" s="3659"/>
      <c r="D83" s="3659"/>
      <c r="E83" s="3659"/>
      <c r="F83" s="3659"/>
      <c r="G83" s="3659"/>
      <c r="H83" s="365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0" t="s">
        <v>1375</v>
      </c>
      <c r="B84" s="365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338136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2029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6" t="s">
        <v>2128</v>
      </c>
      <c r="H90" s="3617"/>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7" t="s">
        <v>1419</v>
      </c>
      <c r="F91" s="3648"/>
      <c r="G91" s="364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7" t="s">
        <v>1422</v>
      </c>
      <c r="F92" s="3648"/>
      <c r="G92" s="3648"/>
      <c r="H92" s="3649"/>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2029</v>
      </c>
      <c r="D93" s="2573">
        <f>'数据-取费表'!B43</f>
        <v>6.000000000000001E-3</v>
      </c>
      <c r="E93" s="3647" t="s">
        <v>1406</v>
      </c>
      <c r="F93" s="3648"/>
      <c r="G93" s="3648"/>
      <c r="H93" s="364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92" t="s">
        <v>1426</v>
      </c>
      <c r="F94" s="3693"/>
      <c r="G94" s="3693"/>
      <c r="H94" s="369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336107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165.6515524889108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200954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7" t="s">
        <v>1428</v>
      </c>
      <c r="B100" s="3598"/>
      <c r="C100" s="3598"/>
      <c r="D100" s="3632"/>
      <c r="E100" s="3598" t="s">
        <v>1429</v>
      </c>
      <c r="F100" s="3598"/>
      <c r="G100" s="3598"/>
      <c r="H100" s="3632"/>
      <c r="I100" s="129"/>
    </row>
    <row r="101" spans="1:35" ht="18.75" customHeight="1">
      <c r="A101" s="3640" t="s">
        <v>1430</v>
      </c>
      <c r="B101" s="3641"/>
      <c r="C101" s="2581" t="str">
        <f>C4</f>
        <v>成本法</v>
      </c>
      <c r="D101" s="2582" t="str">
        <f>D4</f>
        <v>假设开发法</v>
      </c>
      <c r="E101" s="3610" t="s">
        <v>1431</v>
      </c>
      <c r="F101" s="3611"/>
      <c r="G101" s="1823" t="s">
        <v>1432</v>
      </c>
      <c r="H101" s="2591">
        <f ca="1">H118</f>
        <v>355043</v>
      </c>
      <c r="I101" s="129"/>
    </row>
    <row r="102" spans="1:35" ht="18.75" customHeight="1">
      <c r="A102" s="3642" t="s">
        <v>1433</v>
      </c>
      <c r="B102" s="2580" t="s">
        <v>1432</v>
      </c>
      <c r="C102" s="2581">
        <f ca="1">IF(D32="楼面单价",ROUND(C19,0),C19)</f>
        <v>363698</v>
      </c>
      <c r="D102" s="2582">
        <f ca="1">IF(D32="楼面单价",ROUND(D19,0),D19)</f>
        <v>346387</v>
      </c>
      <c r="E102" s="3610"/>
      <c r="F102" s="3611"/>
      <c r="G102" s="1823" t="s">
        <v>1434</v>
      </c>
      <c r="H102" s="2551">
        <f ca="1">I118</f>
        <v>15651</v>
      </c>
      <c r="I102" s="129"/>
    </row>
    <row r="103" spans="1:35" ht="42.75" customHeight="1">
      <c r="A103" s="3642"/>
      <c r="B103" s="2580" t="s">
        <v>1434</v>
      </c>
      <c r="C103" s="2583">
        <f ca="1">C20</f>
        <v>16033</v>
      </c>
      <c r="D103" s="2584">
        <f ca="1">D20</f>
        <v>15270</v>
      </c>
      <c r="E103" s="3603" t="s">
        <v>1435</v>
      </c>
      <c r="F103" s="3604"/>
      <c r="G103" s="1824" t="s">
        <v>1436</v>
      </c>
      <c r="H103" s="2591">
        <f>IF(D36="正常操作",H104+H105+H106,H105+H106)</f>
        <v>4000</v>
      </c>
      <c r="I103" s="129"/>
    </row>
    <row r="104" spans="1:35" ht="18.75" customHeight="1">
      <c r="A104" s="3642" t="s">
        <v>1437</v>
      </c>
      <c r="B104" s="2585" t="s">
        <v>1432</v>
      </c>
      <c r="C104" s="2586">
        <f ca="1">H118</f>
        <v>355043</v>
      </c>
      <c r="D104" s="2587"/>
      <c r="E104" s="1670" t="s">
        <v>1438</v>
      </c>
      <c r="F104" s="1662"/>
      <c r="G104" s="1824" t="s">
        <v>1436</v>
      </c>
      <c r="H104" s="2592">
        <f>IF(D36="同一抵押权人同一抵押物续贷",C36&amp;"（续贷，未扣减，详见特别提示）",C36)</f>
        <v>0</v>
      </c>
      <c r="I104" s="129"/>
    </row>
    <row r="105" spans="1:35" ht="18.75" customHeight="1" thickBot="1">
      <c r="A105" s="3652"/>
      <c r="B105" s="2588" t="s">
        <v>1434</v>
      </c>
      <c r="C105" s="2589">
        <f ca="1">I118</f>
        <v>15651</v>
      </c>
      <c r="D105" s="2590"/>
      <c r="E105" s="1670" t="s">
        <v>1439</v>
      </c>
      <c r="F105" s="1662"/>
      <c r="G105" s="1824" t="s">
        <v>1436</v>
      </c>
      <c r="H105" s="2593">
        <f>C37</f>
        <v>4000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3" t="str">
        <f>IF(项目基本情况!E8="已注销","——","3.房地产抵押价值")</f>
        <v>3.房地产抵押价值</v>
      </c>
      <c r="F107" s="3611"/>
      <c r="G107" s="1823" t="s">
        <v>1432</v>
      </c>
      <c r="H107" s="2591">
        <f ca="1">IF(E107="——","——",H101-H103)</f>
        <v>351043</v>
      </c>
      <c r="I107" s="129"/>
    </row>
    <row r="108" spans="1:35" ht="18.75" customHeight="1">
      <c r="A108" s="129"/>
      <c r="B108" s="129"/>
      <c r="C108" s="129"/>
      <c r="D108" s="129"/>
      <c r="E108" s="3643"/>
      <c r="F108" s="3611"/>
      <c r="G108" s="1823" t="s">
        <v>1434</v>
      </c>
      <c r="H108" s="2551">
        <f ca="1">IF(H107=H101,H102,ROUND(H107*10000/'数据-汇总表'!E3,0))</f>
        <v>15475</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1"/>
      <c r="G109" s="1823" t="s">
        <v>1432</v>
      </c>
      <c r="H109" s="2594" t="str">
        <f>IF(E109="——","——",H101-H105-H106)</f>
        <v>——</v>
      </c>
      <c r="I109" s="129"/>
    </row>
    <row r="110" spans="1:35" ht="18.75" customHeight="1">
      <c r="A110" s="129"/>
      <c r="B110" s="129"/>
      <c r="C110" s="129"/>
      <c r="D110" s="129"/>
      <c r="E110" s="3643"/>
      <c r="F110" s="3611"/>
      <c r="G110" s="1823" t="s">
        <v>1434</v>
      </c>
      <c r="H110" s="2551"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30"/>
      <c r="G111" s="1823" t="s">
        <v>1432</v>
      </c>
      <c r="H111" s="2591" t="str">
        <f>IF(E111="——","——",N59)</f>
        <v>——</v>
      </c>
      <c r="I111" s="129"/>
    </row>
    <row r="112" spans="1:35" ht="18.75" customHeight="1" thickBot="1">
      <c r="A112" s="129"/>
      <c r="B112" s="129"/>
      <c r="C112" s="129"/>
      <c r="D112" s="129"/>
      <c r="E112" s="3645"/>
      <c r="F112" s="3646"/>
      <c r="G112" s="1826" t="s">
        <v>1434</v>
      </c>
      <c r="H112" s="2595" t="str">
        <f>IF(E111="——","——",N61)</f>
        <v>——</v>
      </c>
      <c r="I112" s="129"/>
    </row>
    <row r="113" spans="1:27" ht="18.75" customHeight="1">
      <c r="A113" s="129"/>
      <c r="B113" s="129"/>
      <c r="C113" s="129"/>
      <c r="D113" s="129"/>
      <c r="E113" s="3653" t="s">
        <v>1440</v>
      </c>
      <c r="F113" s="3653"/>
      <c r="G113" s="3653"/>
      <c r="H113" s="3653"/>
      <c r="I113" s="129"/>
    </row>
    <row r="114" spans="1:27" ht="3.75" customHeight="1">
      <c r="A114" s="1743"/>
      <c r="B114" s="1743"/>
      <c r="C114" s="1743"/>
      <c r="D114" s="1743"/>
      <c r="E114" s="1805"/>
      <c r="F114" s="1805"/>
      <c r="G114" s="1805"/>
      <c r="H114" s="1805"/>
      <c r="I114" s="1743"/>
    </row>
    <row r="115" spans="1:27" ht="18.75" customHeight="1">
      <c r="A115" s="3661" t="s">
        <v>1442</v>
      </c>
      <c r="B115" s="3662"/>
      <c r="C115" s="3662"/>
      <c r="D115" s="3662"/>
      <c r="E115" s="3662"/>
      <c r="F115" s="3662"/>
      <c r="G115" s="3662"/>
      <c r="H115" s="3662"/>
      <c r="I115" s="3663"/>
    </row>
    <row r="116" spans="1:27" ht="27" customHeight="1">
      <c r="A116" s="3618" t="s">
        <v>1443</v>
      </c>
      <c r="B116" s="3622" t="s">
        <v>1444</v>
      </c>
      <c r="C116" s="3622" t="s">
        <v>1445</v>
      </c>
      <c r="D116" s="3628" t="s">
        <v>1446</v>
      </c>
      <c r="E116" s="3629"/>
      <c r="F116" s="3660" t="s">
        <v>1447</v>
      </c>
      <c r="G116" s="3660"/>
      <c r="H116" s="3618" t="s">
        <v>1448</v>
      </c>
      <c r="I116" s="3618"/>
    </row>
    <row r="117" spans="1:27" ht="18.75" customHeight="1">
      <c r="A117" s="3618"/>
      <c r="B117" s="3623"/>
      <c r="C117" s="3623"/>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77754</v>
      </c>
      <c r="E118" s="2325">
        <f ca="1">ROUND(IF(C33="自定义",IF(D32="楼面单价",C34,D118*10000/B118),I118-G118),0)</f>
        <v>3427</v>
      </c>
      <c r="F118" s="2325">
        <f ca="1">ROUND(IF(D32="总价",C35,G118*B118/10000),0)</f>
        <v>277289</v>
      </c>
      <c r="G118" s="2325">
        <f ca="1">ROUND(IF(D32="楼面单价",C35,F118*10000/B118),0)</f>
        <v>12224</v>
      </c>
      <c r="H118" s="2325">
        <f ca="1">ROUND(IF(D32="总价",C32,I118*B118/10000),0)</f>
        <v>355043</v>
      </c>
      <c r="I118" s="2325">
        <f ca="1">ROUND(IF(D32="楼面单价",C32,H118*10000/B118),0)</f>
        <v>15651</v>
      </c>
    </row>
    <row r="119" spans="1:27" ht="18.75" customHeight="1">
      <c r="A119" s="3618" t="s">
        <v>1452</v>
      </c>
      <c r="B119" s="3618"/>
      <c r="C119" s="3618"/>
      <c r="D119" s="3624" t="str">
        <f ca="1">NUMBERSTRING(INT(D118*10000),2)&amp;"元整"</f>
        <v>柒亿柒仟柒佰伍拾肆万元整</v>
      </c>
      <c r="E119" s="3625"/>
      <c r="F119" s="3624" t="str">
        <f ca="1">NUMBERSTRING(INT(F118*10000),2)&amp;"元整"</f>
        <v>贰拾柒亿柒仟贰佰捌拾玖万元整</v>
      </c>
      <c r="G119" s="3625"/>
      <c r="H119" s="3624" t="str">
        <f ca="1">NUMBERSTRING(INT(H118*10000),2)&amp;"元整"</f>
        <v>叁拾伍亿伍仟零肆拾叁万元整</v>
      </c>
      <c r="I119" s="3625"/>
    </row>
    <row r="120" spans="1:27" ht="18.75" customHeight="1">
      <c r="A120" s="3619" t="str">
        <f>IF(项目基本情况!B9="房地产市场价值","",MID(E103,3,LEN(E103)-2))</f>
        <v>估价师知悉的法定优先受偿款</v>
      </c>
      <c r="B120" s="3620"/>
      <c r="C120" s="3621"/>
      <c r="D120" s="3619">
        <f>H103</f>
        <v>4000</v>
      </c>
      <c r="E120" s="3620"/>
      <c r="F120" s="3620"/>
      <c r="G120" s="3620"/>
      <c r="H120" s="3620"/>
      <c r="I120" s="3621"/>
      <c r="J120" s="1748"/>
      <c r="K120" s="1748" t="str">
        <f>IF(D120=0,"故，本次评估不存在"&amp;A120,"故，本次评估"&amp;A120&amp;"为人民币"&amp;D120&amp;"万元整。")</f>
        <v>故，本次评估估价师知悉的法定优先受偿款为人民币4000万元整。</v>
      </c>
      <c r="L120" s="1748"/>
      <c r="M120" s="1748"/>
      <c r="N120" s="1748"/>
      <c r="O120" s="1748"/>
      <c r="P120" s="1748"/>
      <c r="Q120" s="1748"/>
      <c r="R120" s="1748"/>
      <c r="S120" s="1748"/>
    </row>
    <row r="121" spans="1:27" ht="18.75" customHeight="1">
      <c r="A121" s="3624" t="s">
        <v>1452</v>
      </c>
      <c r="B121" s="3626"/>
      <c r="C121" s="3625"/>
      <c r="D121" s="3624" t="str">
        <f>IF(D120=0,"零元整",NUMBERSTRING(INT(D120*10000),2)&amp;"元整")</f>
        <v>肆仟万元整</v>
      </c>
      <c r="E121" s="3626"/>
      <c r="F121" s="3626"/>
      <c r="G121" s="3626"/>
      <c r="H121" s="3626"/>
      <c r="I121" s="3625"/>
      <c r="AA121" s="725"/>
    </row>
    <row r="122" spans="1:27" ht="18.75" customHeight="1">
      <c r="A122" s="3630" t="str">
        <f>IF(项目基本情况!B9="房地产市场价值","",MID(E107,3,LEN(E107)-2))</f>
        <v>房地产抵押价值</v>
      </c>
      <c r="B122" s="3630"/>
      <c r="C122" s="3630"/>
      <c r="D122" s="3619">
        <f ca="1">H107</f>
        <v>351043</v>
      </c>
      <c r="E122" s="3620"/>
      <c r="F122" s="3620"/>
      <c r="G122" s="3620"/>
      <c r="H122" s="3620"/>
      <c r="I122" s="3621"/>
      <c r="AA122" s="725"/>
    </row>
    <row r="123" spans="1:27" ht="18.75" customHeight="1">
      <c r="A123" s="3618" t="s">
        <v>1452</v>
      </c>
      <c r="B123" s="3618"/>
      <c r="C123" s="3618"/>
      <c r="D123" s="3624" t="str">
        <f ca="1">NUMBERSTRING(INT(D122*10000),2)&amp;"元整"</f>
        <v>叁拾伍亿壹仟零肆拾叁万元整</v>
      </c>
      <c r="E123" s="3626"/>
      <c r="F123" s="3626"/>
      <c r="G123" s="3626"/>
      <c r="H123" s="3626"/>
      <c r="I123" s="3625"/>
      <c r="AA123" s="725"/>
    </row>
    <row r="124" spans="1:27" ht="18.75" customHeight="1">
      <c r="A124" s="3630" t="str">
        <f>IF(项目基本情况!B9="房地产市场价值","",MID(E109,3,LEN(E109)-2))</f>
        <v/>
      </c>
      <c r="B124" s="3630"/>
      <c r="C124" s="3630"/>
      <c r="D124" s="3619" t="str">
        <f>H109</f>
        <v>——</v>
      </c>
      <c r="E124" s="3620"/>
      <c r="F124" s="3620"/>
      <c r="G124" s="3620"/>
      <c r="H124" s="3620"/>
      <c r="I124" s="3621"/>
      <c r="AA124" s="725"/>
    </row>
    <row r="125" spans="1:27" ht="18.75" customHeight="1">
      <c r="A125" s="3618" t="s">
        <v>1452</v>
      </c>
      <c r="B125" s="3618"/>
      <c r="C125" s="3618"/>
      <c r="D125" s="3624" t="e">
        <f>NUMBERSTRING(INT(D124*10000),2)&amp;"元整"</f>
        <v>#VALUE!</v>
      </c>
      <c r="E125" s="3626"/>
      <c r="F125" s="3626"/>
      <c r="G125" s="3626"/>
      <c r="H125" s="3626"/>
      <c r="I125" s="3625"/>
      <c r="AA125" s="725"/>
    </row>
    <row r="126" spans="1:27" ht="18.75" customHeight="1">
      <c r="A126" s="3630" t="str">
        <f>IF(项目基本情况!B9="房地产市场价值","",MID(E111,3,LEN(E111)-2))</f>
        <v/>
      </c>
      <c r="B126" s="3630"/>
      <c r="C126" s="3630"/>
      <c r="D126" s="3619" t="str">
        <f>H111</f>
        <v>——</v>
      </c>
      <c r="E126" s="3620"/>
      <c r="F126" s="3620"/>
      <c r="G126" s="3620"/>
      <c r="H126" s="3620"/>
      <c r="I126" s="3621"/>
      <c r="AA126" s="725"/>
    </row>
    <row r="127" spans="1:27" ht="18.75" customHeight="1">
      <c r="A127" s="3618" t="s">
        <v>1452</v>
      </c>
      <c r="B127" s="3618"/>
      <c r="C127" s="3618"/>
      <c r="D127" s="3624" t="e">
        <f>NUMBERSTRING(INT(D126*10000),2)&amp;"元整"</f>
        <v>#VALUE!</v>
      </c>
      <c r="E127" s="3626"/>
      <c r="F127" s="3626"/>
      <c r="G127" s="3626"/>
      <c r="H127" s="3626"/>
      <c r="I127" s="3625"/>
      <c r="AA127" s="725"/>
    </row>
    <row r="128" spans="1:27" ht="21.75" customHeight="1">
      <c r="A128" s="3627" t="s">
        <v>1453</v>
      </c>
      <c r="B128" s="3627"/>
      <c r="C128" s="3627"/>
      <c r="D128" s="3627"/>
      <c r="E128" s="3627"/>
      <c r="F128" s="3627"/>
      <c r="G128" s="3627"/>
      <c r="H128" s="3627"/>
      <c r="I128" s="3627"/>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房地产抵押价值预评估</v>
      </c>
      <c r="C37" s="3508"/>
      <c r="D37" s="3508"/>
      <c r="E37" s="3508"/>
      <c r="F37" s="3508"/>
      <c r="G37" s="3508"/>
      <c r="H37" s="3508"/>
      <c r="I37" s="3508"/>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363698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3936</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3937</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210637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197442</v>
      </c>
      <c r="D34" s="217"/>
      <c r="E34" s="220"/>
      <c r="F34" s="257">
        <f ca="1">IF('数据-取费表'!B24=0,1,IF(B1="",'数据-取费表'!N16,INDIRECT("'数据-取费表'!n"&amp;$G$1)))</f>
        <v>0.95</v>
      </c>
      <c r="G34" s="219" t="s">
        <v>1526</v>
      </c>
    </row>
    <row r="35" spans="1:7" ht="13.5" customHeight="1">
      <c r="A35" s="777" t="s">
        <v>351</v>
      </c>
      <c r="B35" s="215" t="s">
        <v>1527</v>
      </c>
      <c r="C35" s="220">
        <f ca="1">ROUND(C34*F35,0)</f>
        <v>5923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2962</v>
      </c>
      <c r="D38" s="220"/>
      <c r="E38" s="220"/>
      <c r="F38" s="259">
        <f>'数据-取费表'!B36</f>
        <v>1.4999999999999999E-2</v>
      </c>
      <c r="G38" s="219" t="s">
        <v>1528</v>
      </c>
    </row>
    <row r="39" spans="1:7" s="214" customFormat="1" ht="13.5" customHeight="1">
      <c r="A39" s="255" t="s">
        <v>1534</v>
      </c>
      <c r="B39" s="210" t="s">
        <v>1535</v>
      </c>
      <c r="C39" s="232">
        <f ca="1">ROUND(C33*F20,0)</f>
        <v>4213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12817</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12566</v>
      </c>
      <c r="D42" s="238"/>
      <c r="E42" s="238"/>
      <c r="F42" s="239"/>
      <c r="G42" s="3697" t="s">
        <v>1544</v>
      </c>
    </row>
    <row r="43" spans="1:7" ht="13.5" customHeight="1">
      <c r="A43" s="777" t="s">
        <v>347</v>
      </c>
      <c r="B43" s="215" t="s">
        <v>1545</v>
      </c>
      <c r="C43" s="238">
        <f ca="1">ROUND(IF('数据-取费表'!B22&lt;=1,C39*F22*'数据-取费表'!B21/2,C39*(POWER((1+F22),'数据-取费表'!B21/2)-1)),0)</f>
        <v>251</v>
      </c>
      <c r="D43" s="238"/>
      <c r="E43" s="238"/>
      <c r="F43" s="239"/>
      <c r="G43" s="3698"/>
    </row>
    <row r="44" spans="1:7" ht="13.5" customHeight="1">
      <c r="A44" s="777" t="s">
        <v>348</v>
      </c>
      <c r="B44" s="215" t="s">
        <v>1546</v>
      </c>
      <c r="C44" s="238">
        <f ca="1">ROUND(IF('数据-取费表'!B22&lt;=1,C40*F22*'数据-取费表'!B21/2,C40*(POWER((1+F22),'数据-取费表'!B21/2)-1)),4)</f>
        <v>1.1999999999999999E-3</v>
      </c>
      <c r="D44" s="238"/>
      <c r="E44" s="238"/>
      <c r="F44" s="239"/>
      <c r="G44" s="3699"/>
    </row>
    <row r="45" spans="1:7" s="214" customFormat="1" ht="13.5" customHeight="1">
      <c r="A45" s="255" t="s">
        <v>1547</v>
      </c>
      <c r="B45" s="244" t="s">
        <v>1513</v>
      </c>
      <c r="C45" s="245">
        <f ca="1">C46</f>
        <v>34376</v>
      </c>
      <c r="D45" s="235">
        <f ca="1">C47</f>
        <v>3.2000000000000002E-3</v>
      </c>
      <c r="E45" s="236" t="s">
        <v>1539</v>
      </c>
      <c r="F45" s="246">
        <f ca="1">F27</f>
        <v>0.16</v>
      </c>
      <c r="G45" s="247" t="s">
        <v>1548</v>
      </c>
    </row>
    <row r="46" spans="1:7" s="214" customFormat="1" ht="13.5" customHeight="1">
      <c r="A46" s="777" t="s">
        <v>346</v>
      </c>
      <c r="B46" s="248" t="s">
        <v>1549</v>
      </c>
      <c r="C46" s="249">
        <f ca="1">ROUND((C33+C39)*F27,0)</f>
        <v>34376</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284119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284119</v>
      </c>
      <c r="D51" s="232"/>
      <c r="E51" s="232"/>
      <c r="F51" s="264"/>
      <c r="G51" s="234" t="s">
        <v>1560</v>
      </c>
    </row>
    <row r="52" spans="1:7" s="208" customFormat="1" ht="16.5" thickBot="1">
      <c r="A52" s="265" t="s">
        <v>1561</v>
      </c>
      <c r="B52" s="266"/>
      <c r="C52" s="267">
        <f ca="1">C31+C51</f>
        <v>363698</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311211.45280000003</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13719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2217221693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2078327700</v>
      </c>
      <c r="D34" s="217"/>
      <c r="E34" s="220"/>
      <c r="F34" s="257"/>
      <c r="G34" s="219"/>
    </row>
    <row r="35" spans="1:7" ht="13.5" customHeight="1">
      <c r="A35" s="777" t="s">
        <v>351</v>
      </c>
      <c r="B35" s="215" t="s">
        <v>1527</v>
      </c>
      <c r="C35" s="220">
        <f ca="1">ROUND(C34*F35,0)</f>
        <v>62349831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31174916</v>
      </c>
      <c r="D38" s="220"/>
      <c r="E38" s="220"/>
      <c r="F38" s="259">
        <f>'数据-取费表'!B36</f>
        <v>1.4999999999999999E-2</v>
      </c>
      <c r="G38" s="219" t="s">
        <v>1528</v>
      </c>
    </row>
    <row r="39" spans="1:7" s="214" customFormat="1" ht="13.5" customHeight="1">
      <c r="A39" s="255" t="s">
        <v>1534</v>
      </c>
      <c r="B39" s="210" t="s">
        <v>1535</v>
      </c>
      <c r="C39" s="232">
        <f ca="1">ROUND(C33*F20,0)</f>
        <v>44344434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142233162</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139444276</v>
      </c>
      <c r="D42" s="238"/>
      <c r="E42" s="238"/>
      <c r="F42" s="239"/>
      <c r="G42" s="3697" t="s">
        <v>1591</v>
      </c>
    </row>
    <row r="43" spans="1:7" ht="13.5" customHeight="1">
      <c r="A43" s="777" t="s">
        <v>347</v>
      </c>
      <c r="B43" s="215" t="s">
        <v>1545</v>
      </c>
      <c r="C43" s="238">
        <f ca="1">ROUND(IF('数据-取费表'!B22&lt;=1,C39*F22*'数据-取费表'!B20/2,C39*(POWER((1+F22),'数据-取费表'!B20/2)-1)),0)</f>
        <v>2788886</v>
      </c>
      <c r="D43" s="238"/>
      <c r="E43" s="238"/>
      <c r="F43" s="239"/>
      <c r="G43" s="3698"/>
    </row>
    <row r="44" spans="1:7" ht="13.5" customHeight="1">
      <c r="A44" s="777" t="s">
        <v>348</v>
      </c>
      <c r="B44" s="215" t="s">
        <v>1546</v>
      </c>
      <c r="C44" s="238">
        <f ca="1">ROUND(IF('数据-取费表'!B22&lt;=1,C40*F22*'数据-取费表'!B20/2,C40*(POWER((1+F22),'数据-取费表'!B20/2)-1)),4)</f>
        <v>1.2999999999999999E-3</v>
      </c>
      <c r="D44" s="238"/>
      <c r="E44" s="238"/>
      <c r="F44" s="239"/>
      <c r="G44" s="3699"/>
    </row>
    <row r="45" spans="1:7" s="214" customFormat="1" ht="13.5" customHeight="1">
      <c r="A45" s="255" t="s">
        <v>1547</v>
      </c>
      <c r="B45" s="244" t="s">
        <v>1513</v>
      </c>
      <c r="C45" s="245">
        <f ca="1">C46</f>
        <v>361850580</v>
      </c>
      <c r="D45" s="235">
        <f ca="1">C47</f>
        <v>3.2000000000000002E-3</v>
      </c>
      <c r="E45" s="236" t="s">
        <v>1539</v>
      </c>
      <c r="F45" s="246">
        <f ca="1">F27</f>
        <v>0.16</v>
      </c>
      <c r="G45" s="247" t="s">
        <v>1548</v>
      </c>
    </row>
    <row r="46" spans="1:7" s="214" customFormat="1" ht="13.5" customHeight="1">
      <c r="A46" s="777" t="s">
        <v>346</v>
      </c>
      <c r="B46" s="248" t="s">
        <v>1549</v>
      </c>
      <c r="C46" s="249">
        <f ca="1">ROUND((C33+C39)*F27,0)</f>
        <v>361850580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2998969713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2998969713</v>
      </c>
      <c r="D51" s="232"/>
      <c r="E51" s="232"/>
      <c r="F51" s="264"/>
      <c r="G51" s="234" t="s">
        <v>1560</v>
      </c>
    </row>
    <row r="52" spans="1:7" s="208" customFormat="1" ht="16.5" thickBot="1">
      <c r="A52" s="265" t="s">
        <v>1561</v>
      </c>
      <c r="B52" s="266"/>
      <c r="C52" s="267">
        <f ca="1">C31+C51</f>
        <v>3112114528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N20" sqref="N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30" ht="15">
      <c r="A5" s="358"/>
      <c r="B5" s="359"/>
      <c r="C5" s="3711" t="s">
        <v>1673</v>
      </c>
      <c r="D5" s="3712"/>
      <c r="E5" s="3709" t="str">
        <f>Sheet2!A2</f>
        <v>高新区鱼化街道天谷三路以南,云水三路以西,云水四路以东</v>
      </c>
      <c r="F5" s="3710"/>
      <c r="G5" s="3711" t="str">
        <f>Sheet2!A6</f>
        <v>高新区锦业路与丈八五路十字东南角</v>
      </c>
      <c r="H5" s="3712"/>
      <c r="I5" s="3711" t="str">
        <f>Sheet2!A26</f>
        <v>长安南路以西、朱雀路以东、南三环以南</v>
      </c>
      <c r="J5" s="3712"/>
      <c r="K5" s="559"/>
      <c r="L5" s="2711"/>
      <c r="M5" s="2712"/>
      <c r="N5" s="2712"/>
      <c r="O5" s="2712"/>
      <c r="P5" s="3724"/>
      <c r="Q5" s="3725"/>
      <c r="R5" s="3707"/>
      <c r="S5" s="3708"/>
      <c r="T5" s="3707"/>
      <c r="U5" s="3708"/>
      <c r="V5" s="3730"/>
      <c r="W5" s="3730"/>
      <c r="X5" s="1351"/>
      <c r="Y5" s="3707"/>
      <c r="Z5" s="3708"/>
      <c r="AA5" s="3701"/>
      <c r="AB5" s="3701"/>
      <c r="AC5" s="3701"/>
    </row>
    <row r="6" spans="1:30"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30" s="108" customFormat="1" ht="15.75" thickBot="1">
      <c r="A7" s="362" t="s">
        <v>1679</v>
      </c>
      <c r="B7" s="363"/>
      <c r="C7" s="364">
        <f>'数据-取费表'!B2</f>
        <v>45005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03" t="s">
        <v>1680</v>
      </c>
      <c r="Q7" s="3731"/>
      <c r="R7" s="701" t="s">
        <v>14</v>
      </c>
      <c r="S7" s="702">
        <f t="shared" ref="S7:S15" si="0">F7</f>
        <v>100</v>
      </c>
      <c r="T7" s="701" t="s">
        <v>14</v>
      </c>
      <c r="U7" s="702">
        <f t="shared" ref="U7:U15" si="1">H7</f>
        <v>99.5</v>
      </c>
      <c r="V7" s="701" t="s">
        <v>14</v>
      </c>
      <c r="W7" s="702">
        <f t="shared" ref="W7:W15" si="2">J7</f>
        <v>95</v>
      </c>
      <c r="X7" s="703"/>
      <c r="Y7" s="3703" t="s">
        <v>1680</v>
      </c>
      <c r="Z7" s="3704"/>
      <c r="AA7" s="704">
        <f>D7/F7</f>
        <v>1</v>
      </c>
      <c r="AB7" s="704">
        <f>D7/H7</f>
        <v>1.0050251256281406</v>
      </c>
      <c r="AC7" s="704">
        <f>D7/J7</f>
        <v>1.0526315789473684</v>
      </c>
    </row>
    <row r="8" spans="1:30" s="108" customFormat="1" ht="15.75" thickBot="1">
      <c r="A8" s="362" t="s">
        <v>1681</v>
      </c>
      <c r="B8" s="363"/>
      <c r="C8" s="368" t="s">
        <v>1682</v>
      </c>
      <c r="D8" s="365">
        <v>100</v>
      </c>
      <c r="E8" s="3484" t="s">
        <v>3925</v>
      </c>
      <c r="F8" s="367">
        <f>SUMIF(72:72,E8,73:73)-SUMIF(72:72,C8,73:73)+100</f>
        <v>100</v>
      </c>
      <c r="G8" s="3484" t="s">
        <v>3925</v>
      </c>
      <c r="H8" s="365">
        <f>SUMIF(72:72,G8,73:73)-SUMIF(72:72,C8,73:73)+100</f>
        <v>100</v>
      </c>
      <c r="I8" s="3484" t="s">
        <v>3925</v>
      </c>
      <c r="J8" s="365">
        <f>SUMIF(72:72,I8,73:73)-SUMIF(72:72,C8,73:73)+100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17"/>
      <c r="Q10" s="1339" t="str">
        <f t="shared" si="6"/>
        <v>土地使用年限（年）</v>
      </c>
      <c r="R10" s="701" t="s">
        <v>14</v>
      </c>
      <c r="S10" s="702">
        <f t="shared" si="0"/>
        <v>114</v>
      </c>
      <c r="T10" s="701" t="s">
        <v>14</v>
      </c>
      <c r="U10" s="702">
        <f t="shared" si="1"/>
        <v>114</v>
      </c>
      <c r="V10" s="701" t="s">
        <v>14</v>
      </c>
      <c r="W10" s="702">
        <f t="shared" si="2"/>
        <v>114</v>
      </c>
      <c r="X10" s="703"/>
      <c r="Y10" s="3673"/>
      <c r="Z10" s="52" t="str">
        <f t="shared" si="7"/>
        <v>土地使用年限（年）</v>
      </c>
      <c r="AA10" s="704">
        <f t="shared" si="3"/>
        <v>0.8771929824561403</v>
      </c>
      <c r="AB10" s="704">
        <f t="shared" si="4"/>
        <v>0.8771929824561403</v>
      </c>
      <c r="AC10" s="704">
        <f t="shared" si="5"/>
        <v>0.8771929824561403</v>
      </c>
    </row>
    <row r="11" spans="1:30" ht="15">
      <c r="A11" s="379"/>
      <c r="B11" s="375" t="s">
        <v>1689</v>
      </c>
      <c r="C11" s="380">
        <f>'数据-汇总表'!I6</f>
        <v>11.11</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17"/>
      <c r="Q11" s="1339" t="str">
        <f t="shared" si="6"/>
        <v>容积率</v>
      </c>
      <c r="R11" s="701" t="s">
        <v>14</v>
      </c>
      <c r="S11" s="702">
        <f t="shared" si="0"/>
        <v>108</v>
      </c>
      <c r="T11" s="701" t="s">
        <v>14</v>
      </c>
      <c r="U11" s="702">
        <f t="shared" si="1"/>
        <v>104</v>
      </c>
      <c r="V11" s="701" t="s">
        <v>14</v>
      </c>
      <c r="W11" s="702">
        <f t="shared" si="2"/>
        <v>106</v>
      </c>
      <c r="X11" s="703"/>
      <c r="Y11" s="3673"/>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39" t="str">
        <f t="shared" si="6"/>
        <v>配建</v>
      </c>
      <c r="R12" s="701" t="s">
        <v>14</v>
      </c>
      <c r="S12" s="702">
        <f t="shared" si="0"/>
        <v>100</v>
      </c>
      <c r="T12" s="701" t="s">
        <v>14</v>
      </c>
      <c r="U12" s="702">
        <f t="shared" si="1"/>
        <v>100</v>
      </c>
      <c r="V12" s="701" t="s">
        <v>14</v>
      </c>
      <c r="W12" s="702">
        <f t="shared" si="2"/>
        <v>100</v>
      </c>
      <c r="X12" s="703"/>
      <c r="Y12" s="367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2" t="s">
        <v>1691</v>
      </c>
      <c r="Q15" s="1348" t="str">
        <f t="shared" si="6"/>
        <v>居住社区成熟度</v>
      </c>
      <c r="R15" s="705" t="s">
        <v>14</v>
      </c>
      <c r="S15" s="706">
        <f t="shared" si="0"/>
        <v>100</v>
      </c>
      <c r="T15" s="705" t="s">
        <v>14</v>
      </c>
      <c r="U15" s="706">
        <f t="shared" si="1"/>
        <v>100</v>
      </c>
      <c r="V15" s="705" t="s">
        <v>14</v>
      </c>
      <c r="W15" s="706">
        <f t="shared" si="2"/>
        <v>100</v>
      </c>
      <c r="X15" s="1351"/>
      <c r="Y15" s="373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33"/>
      <c r="Q16" s="1348"/>
      <c r="R16" s="705"/>
      <c r="S16" s="706"/>
      <c r="T16" s="705"/>
      <c r="U16" s="706"/>
      <c r="V16" s="705"/>
      <c r="W16" s="706"/>
      <c r="X16" s="1351"/>
      <c r="Y16" s="3733"/>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33"/>
      <c r="Q17" s="1348" t="str">
        <f>B17</f>
        <v>商业繁华度</v>
      </c>
      <c r="R17" s="705" t="s">
        <v>14</v>
      </c>
      <c r="S17" s="706">
        <f>F17</f>
        <v>98</v>
      </c>
      <c r="T17" s="705" t="s">
        <v>14</v>
      </c>
      <c r="U17" s="706">
        <f>H17</f>
        <v>100</v>
      </c>
      <c r="V17" s="705" t="s">
        <v>14</v>
      </c>
      <c r="W17" s="706">
        <f>J17</f>
        <v>100</v>
      </c>
      <c r="X17" s="1351"/>
      <c r="Y17" s="3733"/>
      <c r="Z17" s="1352" t="str">
        <f>Q17</f>
        <v>商业繁华度</v>
      </c>
      <c r="AA17" s="1349">
        <f t="shared" si="3"/>
        <v>1.0204081632653061</v>
      </c>
      <c r="AB17" s="1349">
        <f t="shared" si="4"/>
        <v>1</v>
      </c>
      <c r="AC17" s="1349">
        <f t="shared" si="5"/>
        <v>1</v>
      </c>
    </row>
    <row r="18" spans="1:29" ht="15">
      <c r="A18" s="379"/>
      <c r="B18" s="407"/>
      <c r="C18" s="1897" t="s">
        <v>3926</v>
      </c>
      <c r="D18" s="401"/>
      <c r="E18" s="1899" t="s">
        <v>3927</v>
      </c>
      <c r="F18" s="401"/>
      <c r="G18" s="1899" t="s">
        <v>3926</v>
      </c>
      <c r="H18" s="399"/>
      <c r="I18" s="1898" t="s">
        <v>3926</v>
      </c>
      <c r="J18" s="399"/>
      <c r="K18" s="620"/>
      <c r="L18" s="2718"/>
      <c r="M18" s="2712"/>
      <c r="N18" s="2712"/>
      <c r="O18" s="2770"/>
      <c r="P18" s="3733"/>
      <c r="Q18" s="1348"/>
      <c r="R18" s="705"/>
      <c r="S18" s="706"/>
      <c r="T18" s="705"/>
      <c r="U18" s="706"/>
      <c r="V18" s="705"/>
      <c r="W18" s="706"/>
      <c r="X18" s="1351"/>
      <c r="Y18" s="3733"/>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33"/>
      <c r="Q19" s="1348" t="str">
        <f>B19</f>
        <v>办公集聚程度</v>
      </c>
      <c r="R19" s="705" t="s">
        <v>14</v>
      </c>
      <c r="S19" s="706">
        <f>F19</f>
        <v>96</v>
      </c>
      <c r="T19" s="705" t="s">
        <v>14</v>
      </c>
      <c r="U19" s="706">
        <f>H19</f>
        <v>100</v>
      </c>
      <c r="V19" s="705" t="s">
        <v>14</v>
      </c>
      <c r="W19" s="706">
        <f>J19</f>
        <v>98</v>
      </c>
      <c r="X19" s="1351"/>
      <c r="Y19" s="3733"/>
      <c r="Z19" s="1352" t="str">
        <f>Q19</f>
        <v>办公集聚程度</v>
      </c>
      <c r="AA19" s="1349">
        <f t="shared" si="3"/>
        <v>1.0416666666666667</v>
      </c>
      <c r="AB19" s="1349">
        <f t="shared" si="4"/>
        <v>1</v>
      </c>
      <c r="AC19" s="1349">
        <f t="shared" si="5"/>
        <v>1.0204081632653061</v>
      </c>
    </row>
    <row r="20" spans="1:29" ht="15">
      <c r="A20" s="379"/>
      <c r="B20" s="407"/>
      <c r="C20" s="398" t="s">
        <v>3934</v>
      </c>
      <c r="D20" s="399"/>
      <c r="E20" s="1894" t="s">
        <v>3927</v>
      </c>
      <c r="F20" s="399"/>
      <c r="G20" s="1894" t="s">
        <v>3934</v>
      </c>
      <c r="H20" s="399"/>
      <c r="I20" s="1893" t="s">
        <v>3926</v>
      </c>
      <c r="J20" s="399"/>
      <c r="K20" s="620"/>
      <c r="L20" s="2718"/>
      <c r="M20" s="2712"/>
      <c r="N20" s="2712"/>
      <c r="O20" s="2770"/>
      <c r="P20" s="3733"/>
      <c r="Q20" s="1348"/>
      <c r="R20" s="705"/>
      <c r="S20" s="706"/>
      <c r="T20" s="705"/>
      <c r="U20" s="706"/>
      <c r="V20" s="705"/>
      <c r="W20" s="706"/>
      <c r="X20" s="1351"/>
      <c r="Y20" s="3733"/>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33"/>
      <c r="Q21" s="1348" t="str">
        <f>B21</f>
        <v>交通便捷度</v>
      </c>
      <c r="R21" s="705" t="s">
        <v>14</v>
      </c>
      <c r="S21" s="706">
        <f>F21</f>
        <v>98</v>
      </c>
      <c r="T21" s="705" t="s">
        <v>14</v>
      </c>
      <c r="U21" s="706">
        <f>H21</f>
        <v>100</v>
      </c>
      <c r="V21" s="705" t="s">
        <v>14</v>
      </c>
      <c r="W21" s="706">
        <f>J21</f>
        <v>100</v>
      </c>
      <c r="X21" s="1351"/>
      <c r="Y21" s="3733"/>
      <c r="Z21" s="1352" t="str">
        <f>Q21</f>
        <v>交通便捷度</v>
      </c>
      <c r="AA21" s="1349">
        <f t="shared" si="3"/>
        <v>1.0204081632653061</v>
      </c>
      <c r="AB21" s="1349">
        <f t="shared" si="4"/>
        <v>1</v>
      </c>
      <c r="AC21" s="1349">
        <f t="shared" si="5"/>
        <v>1</v>
      </c>
    </row>
    <row r="22" spans="1:29" ht="15">
      <c r="A22" s="379"/>
      <c r="B22" s="1128"/>
      <c r="C22" s="3487" t="s">
        <v>3928</v>
      </c>
      <c r="D22" s="401"/>
      <c r="E22" s="3488" t="s">
        <v>3929</v>
      </c>
      <c r="F22" s="399"/>
      <c r="G22" s="3488" t="s">
        <v>3928</v>
      </c>
      <c r="H22" s="399"/>
      <c r="I22" s="3489" t="s">
        <v>3928</v>
      </c>
      <c r="J22" s="399"/>
      <c r="K22" s="620"/>
      <c r="L22" s="2718"/>
      <c r="M22" s="2712"/>
      <c r="N22" s="2712"/>
      <c r="O22" s="2770"/>
      <c r="P22" s="3733"/>
      <c r="Q22" s="1348"/>
      <c r="R22" s="705"/>
      <c r="S22" s="706"/>
      <c r="T22" s="705"/>
      <c r="U22" s="706"/>
      <c r="V22" s="705"/>
      <c r="W22" s="706"/>
      <c r="X22" s="1351"/>
      <c r="Y22" s="3733"/>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33"/>
      <c r="Q23" s="1348" t="str">
        <f t="shared" ref="Q23:Q37" si="8">B23</f>
        <v>区域土地利用方向</v>
      </c>
      <c r="R23" s="705" t="s">
        <v>14</v>
      </c>
      <c r="S23" s="706">
        <f>F23</f>
        <v>100</v>
      </c>
      <c r="T23" s="705" t="s">
        <v>14</v>
      </c>
      <c r="U23" s="706">
        <f>H23</f>
        <v>100</v>
      </c>
      <c r="V23" s="705" t="s">
        <v>14</v>
      </c>
      <c r="W23" s="706">
        <f>J23</f>
        <v>100</v>
      </c>
      <c r="X23" s="1351"/>
      <c r="Y23" s="3733"/>
      <c r="Z23" s="1352" t="str">
        <f>Q23</f>
        <v>区域土地利用方向</v>
      </c>
      <c r="AA23" s="1349">
        <f t="shared" si="3"/>
        <v>1</v>
      </c>
      <c r="AB23" s="1349">
        <f t="shared" si="4"/>
        <v>1</v>
      </c>
      <c r="AC23" s="1349">
        <f t="shared" si="5"/>
        <v>1</v>
      </c>
    </row>
    <row r="24" spans="1:29" ht="15">
      <c r="A24" s="358"/>
      <c r="B24" s="407"/>
      <c r="C24" s="3490" t="s">
        <v>3928</v>
      </c>
      <c r="D24" s="399"/>
      <c r="E24" s="3488" t="s">
        <v>3928</v>
      </c>
      <c r="F24" s="399"/>
      <c r="G24" s="3489" t="s">
        <v>3928</v>
      </c>
      <c r="H24" s="399"/>
      <c r="I24" s="3489" t="s">
        <v>3928</v>
      </c>
      <c r="J24" s="399"/>
      <c r="K24" s="737"/>
      <c r="L24" s="2718"/>
      <c r="M24" s="2712"/>
      <c r="N24" s="2712"/>
      <c r="O24" s="2770"/>
      <c r="P24" s="3733"/>
      <c r="Q24" s="1348"/>
      <c r="R24" s="705"/>
      <c r="S24" s="706"/>
      <c r="T24" s="705"/>
      <c r="U24" s="706"/>
      <c r="V24" s="705"/>
      <c r="W24" s="706"/>
      <c r="X24" s="1351"/>
      <c r="Y24" s="3733"/>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33"/>
      <c r="Q25" s="1348" t="str">
        <f t="shared" si="8"/>
        <v>自然及人文环境状况</v>
      </c>
      <c r="R25" s="705" t="s">
        <v>14</v>
      </c>
      <c r="S25" s="706">
        <f>F25</f>
        <v>100</v>
      </c>
      <c r="T25" s="705" t="s">
        <v>14</v>
      </c>
      <c r="U25" s="706">
        <f>H25</f>
        <v>100</v>
      </c>
      <c r="V25" s="705" t="s">
        <v>14</v>
      </c>
      <c r="W25" s="706">
        <f>J25</f>
        <v>100</v>
      </c>
      <c r="X25" s="1351"/>
      <c r="Y25" s="373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33"/>
      <c r="Q26" s="1348"/>
      <c r="R26" s="705"/>
      <c r="S26" s="706"/>
      <c r="T26" s="705"/>
      <c r="U26" s="706"/>
      <c r="V26" s="705"/>
      <c r="W26" s="706"/>
      <c r="X26" s="1351"/>
      <c r="Y26" s="3733"/>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33"/>
      <c r="Q27" s="1339" t="str">
        <f t="shared" si="8"/>
        <v>公共配套设施</v>
      </c>
      <c r="R27" s="701" t="s">
        <v>14</v>
      </c>
      <c r="S27" s="702">
        <f>F27</f>
        <v>98</v>
      </c>
      <c r="T27" s="701" t="s">
        <v>14</v>
      </c>
      <c r="U27" s="702">
        <f>H27</f>
        <v>100</v>
      </c>
      <c r="V27" s="701" t="s">
        <v>14</v>
      </c>
      <c r="W27" s="702">
        <f>J27</f>
        <v>100</v>
      </c>
      <c r="X27" s="703"/>
      <c r="Y27" s="3733"/>
      <c r="Z27" s="52" t="str">
        <f>Q27</f>
        <v>公共配套设施</v>
      </c>
      <c r="AA27" s="1349">
        <f>D27/F27</f>
        <v>1.0204081632653061</v>
      </c>
      <c r="AB27" s="1349">
        <f>D27/H27</f>
        <v>1</v>
      </c>
      <c r="AC27" s="1349">
        <f>D27/J27</f>
        <v>1</v>
      </c>
    </row>
    <row r="28" spans="1:29" s="108" customFormat="1" ht="15">
      <c r="A28" s="597"/>
      <c r="B28" s="407"/>
      <c r="C28" s="3491" t="s">
        <v>3928</v>
      </c>
      <c r="D28" s="399"/>
      <c r="E28" s="3492" t="s">
        <v>3929</v>
      </c>
      <c r="F28" s="399"/>
      <c r="G28" s="3492" t="s">
        <v>3928</v>
      </c>
      <c r="H28" s="399"/>
      <c r="I28" s="3487" t="s">
        <v>3928</v>
      </c>
      <c r="J28" s="399"/>
      <c r="K28" s="620"/>
      <c r="L28" s="2713"/>
      <c r="M28" s="2714"/>
      <c r="N28" s="2714"/>
      <c r="O28" s="2768"/>
      <c r="P28" s="3733"/>
      <c r="Q28" s="1339"/>
      <c r="R28" s="701"/>
      <c r="S28" s="702"/>
      <c r="T28" s="701"/>
      <c r="U28" s="702"/>
      <c r="V28" s="701"/>
      <c r="W28" s="702"/>
      <c r="X28" s="703"/>
      <c r="Y28" s="3733"/>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33"/>
      <c r="Q29" s="1339" t="str">
        <f t="shared" ref="Q29" si="9">B29</f>
        <v>基础设施水平</v>
      </c>
      <c r="R29" s="701" t="s">
        <v>14</v>
      </c>
      <c r="S29" s="702">
        <f>F29</f>
        <v>100</v>
      </c>
      <c r="T29" s="701" t="s">
        <v>14</v>
      </c>
      <c r="U29" s="702">
        <f>H29</f>
        <v>100</v>
      </c>
      <c r="V29" s="701" t="s">
        <v>14</v>
      </c>
      <c r="W29" s="702">
        <f>J29</f>
        <v>100</v>
      </c>
      <c r="X29" s="703"/>
      <c r="Y29" s="3733"/>
      <c r="Z29" s="52" t="str">
        <f>Q29</f>
        <v>基础设施水平</v>
      </c>
      <c r="AA29" s="1349">
        <f>D29/F29</f>
        <v>1</v>
      </c>
      <c r="AB29" s="1349">
        <f>D29/H29</f>
        <v>1</v>
      </c>
      <c r="AC29" s="1349">
        <f>D29/J29</f>
        <v>1</v>
      </c>
    </row>
    <row r="30" spans="1:29" s="108" customFormat="1" ht="15">
      <c r="A30" s="597"/>
      <c r="B30" s="407"/>
      <c r="C30" s="3491" t="s">
        <v>3930</v>
      </c>
      <c r="D30" s="399"/>
      <c r="E30" s="3493" t="s">
        <v>3931</v>
      </c>
      <c r="F30" s="399"/>
      <c r="G30" s="3493" t="s">
        <v>3930</v>
      </c>
      <c r="H30" s="399"/>
      <c r="I30" s="3493" t="s">
        <v>3930</v>
      </c>
      <c r="J30" s="399"/>
      <c r="K30" s="620"/>
      <c r="L30" s="2713"/>
      <c r="M30" s="2714"/>
      <c r="N30" s="2714"/>
      <c r="O30" s="2768"/>
      <c r="P30" s="3733"/>
      <c r="Q30" s="1339"/>
      <c r="R30" s="701"/>
      <c r="S30" s="702"/>
      <c r="T30" s="701"/>
      <c r="U30" s="702"/>
      <c r="V30" s="701"/>
      <c r="W30" s="702"/>
      <c r="X30" s="703"/>
      <c r="Y30" s="373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33"/>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3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33"/>
      <c r="Q32" s="1348" t="str">
        <f t="shared" si="8"/>
        <v>毗邻道路的类型与等级</v>
      </c>
      <c r="R32" s="705" t="s">
        <v>14</v>
      </c>
      <c r="S32" s="706">
        <f t="shared" si="10"/>
        <v>100</v>
      </c>
      <c r="T32" s="705" t="s">
        <v>14</v>
      </c>
      <c r="U32" s="706">
        <f t="shared" si="11"/>
        <v>100</v>
      </c>
      <c r="V32" s="705" t="s">
        <v>14</v>
      </c>
      <c r="W32" s="706">
        <f t="shared" si="12"/>
        <v>100</v>
      </c>
      <c r="X32" s="1351"/>
      <c r="Y32" s="373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3"/>
      <c r="Q33" s="1348"/>
      <c r="R33" s="705"/>
      <c r="S33" s="706"/>
      <c r="T33" s="705"/>
      <c r="U33" s="706"/>
      <c r="V33" s="705"/>
      <c r="W33" s="706"/>
      <c r="X33" s="1351"/>
      <c r="Y33" s="3733"/>
      <c r="Z33" s="1352"/>
      <c r="AA33" s="1349">
        <v>1</v>
      </c>
      <c r="AB33" s="1349">
        <v>1</v>
      </c>
      <c r="AC33" s="1349">
        <v>1</v>
      </c>
    </row>
    <row r="34" spans="1:29" ht="15">
      <c r="A34" s="379"/>
      <c r="B34" s="375" t="s">
        <v>1873</v>
      </c>
      <c r="C34" s="3490" t="s">
        <v>3932</v>
      </c>
      <c r="D34" s="386">
        <v>100</v>
      </c>
      <c r="E34" s="3494" t="s">
        <v>3933</v>
      </c>
      <c r="F34" s="386">
        <f>SUMIF(107:107,E34,108:108)-SUMIF(107:107,C34,108:108)+100</f>
        <v>98</v>
      </c>
      <c r="G34" s="3494" t="s">
        <v>3932</v>
      </c>
      <c r="H34" s="386">
        <f>SUMIF(107:107,G34,108:108)-SUMIF(107:107,C34,108:108)+100</f>
        <v>100</v>
      </c>
      <c r="I34" s="3490" t="s">
        <v>3932</v>
      </c>
      <c r="J34" s="386">
        <f>SUMIF(107:107,I34,108:108)-SUMIF(107:107,C34,108:108)+100</f>
        <v>100</v>
      </c>
      <c r="K34" s="561">
        <v>2</v>
      </c>
      <c r="L34" s="2718"/>
      <c r="M34" s="2712"/>
      <c r="N34" s="2712"/>
      <c r="O34" s="2770"/>
      <c r="P34" s="3733"/>
      <c r="Q34" s="1348" t="str">
        <f t="shared" si="8"/>
        <v>土地级别</v>
      </c>
      <c r="R34" s="705" t="s">
        <v>14</v>
      </c>
      <c r="S34" s="706">
        <f t="shared" si="10"/>
        <v>98</v>
      </c>
      <c r="T34" s="705" t="s">
        <v>14</v>
      </c>
      <c r="U34" s="706">
        <f t="shared" si="11"/>
        <v>100</v>
      </c>
      <c r="V34" s="705" t="s">
        <v>14</v>
      </c>
      <c r="W34" s="706">
        <f t="shared" si="12"/>
        <v>100</v>
      </c>
      <c r="X34" s="1351"/>
      <c r="Y34" s="3733"/>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3"/>
      <c r="Q35" s="1348">
        <f t="shared" si="8"/>
        <v>111</v>
      </c>
      <c r="R35" s="705" t="s">
        <v>14</v>
      </c>
      <c r="S35" s="706">
        <f t="shared" si="10"/>
        <v>100</v>
      </c>
      <c r="T35" s="705" t="s">
        <v>14</v>
      </c>
      <c r="U35" s="706">
        <f t="shared" si="11"/>
        <v>100</v>
      </c>
      <c r="V35" s="705" t="s">
        <v>14</v>
      </c>
      <c r="W35" s="706">
        <f t="shared" si="12"/>
        <v>100</v>
      </c>
      <c r="X35" s="1351"/>
      <c r="Y35" s="3733"/>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4" t="s">
        <v>1696</v>
      </c>
      <c r="Q36" s="1348">
        <f t="shared" si="8"/>
        <v>111</v>
      </c>
      <c r="R36" s="705" t="s">
        <v>14</v>
      </c>
      <c r="S36" s="706">
        <f t="shared" si="10"/>
        <v>100</v>
      </c>
      <c r="T36" s="705" t="s">
        <v>14</v>
      </c>
      <c r="U36" s="706">
        <f t="shared" si="11"/>
        <v>100</v>
      </c>
      <c r="V36" s="705" t="s">
        <v>14</v>
      </c>
      <c r="W36" s="706">
        <f t="shared" si="12"/>
        <v>100</v>
      </c>
      <c r="X36" s="1351"/>
      <c r="Y36" s="3735"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5"/>
      <c r="Q37" s="1348">
        <f t="shared" si="8"/>
        <v>111</v>
      </c>
      <c r="R37" s="708" t="s">
        <v>14</v>
      </c>
      <c r="S37" s="709">
        <f t="shared" si="10"/>
        <v>100</v>
      </c>
      <c r="T37" s="708" t="s">
        <v>14</v>
      </c>
      <c r="U37" s="709">
        <f t="shared" si="11"/>
        <v>100</v>
      </c>
      <c r="V37" s="708" t="s">
        <v>14</v>
      </c>
      <c r="W37" s="709">
        <f t="shared" si="12"/>
        <v>100</v>
      </c>
      <c r="X37" s="710"/>
      <c r="Y37" s="3735"/>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35"/>
      <c r="Q38" s="1348" t="str">
        <f>B38</f>
        <v>宗地面积</v>
      </c>
      <c r="R38" s="705" t="s">
        <v>14</v>
      </c>
      <c r="S38" s="706">
        <f t="shared" si="10"/>
        <v>99</v>
      </c>
      <c r="T38" s="705" t="s">
        <v>14</v>
      </c>
      <c r="U38" s="706">
        <f t="shared" si="11"/>
        <v>100</v>
      </c>
      <c r="V38" s="705" t="s">
        <v>14</v>
      </c>
      <c r="W38" s="706">
        <f t="shared" si="12"/>
        <v>99</v>
      </c>
      <c r="X38" s="1351"/>
      <c r="Y38" s="3735"/>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35"/>
      <c r="Q39" s="1348" t="str">
        <f t="shared" ref="Q39:Q45" si="14">B39</f>
        <v>宗地形状</v>
      </c>
      <c r="R39" s="705" t="s">
        <v>14</v>
      </c>
      <c r="S39" s="706">
        <f t="shared" si="10"/>
        <v>100</v>
      </c>
      <c r="T39" s="705" t="s">
        <v>14</v>
      </c>
      <c r="U39" s="706">
        <f t="shared" si="11"/>
        <v>100</v>
      </c>
      <c r="V39" s="705" t="s">
        <v>14</v>
      </c>
      <c r="W39" s="706">
        <f t="shared" si="12"/>
        <v>100</v>
      </c>
      <c r="X39" s="1351"/>
      <c r="Y39" s="373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35"/>
      <c r="Q40" s="1348" t="str">
        <f t="shared" si="14"/>
        <v>临街宽度及深度</v>
      </c>
      <c r="R40" s="705" t="s">
        <v>14</v>
      </c>
      <c r="S40" s="706">
        <f t="shared" si="10"/>
        <v>100</v>
      </c>
      <c r="T40" s="705" t="s">
        <v>14</v>
      </c>
      <c r="U40" s="706">
        <f t="shared" si="11"/>
        <v>100</v>
      </c>
      <c r="V40" s="705" t="s">
        <v>14</v>
      </c>
      <c r="W40" s="706">
        <f t="shared" si="12"/>
        <v>100</v>
      </c>
      <c r="X40" s="1351"/>
      <c r="Y40" s="373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35"/>
      <c r="Q41" s="1348"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35" t="s">
        <v>1696</v>
      </c>
      <c r="Q42" s="1348" t="str">
        <f t="shared" si="14"/>
        <v>工程地质条件</v>
      </c>
      <c r="R42" s="705" t="s">
        <v>14</v>
      </c>
      <c r="S42" s="706">
        <f t="shared" si="10"/>
        <v>100</v>
      </c>
      <c r="T42" s="705" t="s">
        <v>14</v>
      </c>
      <c r="U42" s="706">
        <f t="shared" si="11"/>
        <v>100</v>
      </c>
      <c r="V42" s="705" t="s">
        <v>14</v>
      </c>
      <c r="W42" s="706">
        <f t="shared" si="12"/>
        <v>100</v>
      </c>
      <c r="X42" s="1351"/>
      <c r="Y42" s="3735"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5"/>
      <c r="Q43" s="1348">
        <f t="shared" si="14"/>
        <v>111</v>
      </c>
      <c r="R43" s="705" t="s">
        <v>14</v>
      </c>
      <c r="S43" s="706">
        <f t="shared" si="10"/>
        <v>100</v>
      </c>
      <c r="T43" s="705" t="s">
        <v>14</v>
      </c>
      <c r="U43" s="706">
        <f t="shared" si="11"/>
        <v>100</v>
      </c>
      <c r="V43" s="705" t="s">
        <v>14</v>
      </c>
      <c r="W43" s="706">
        <f t="shared" si="12"/>
        <v>100</v>
      </c>
      <c r="X43" s="1351"/>
      <c r="Y43" s="3735"/>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5"/>
      <c r="Q44" s="1348">
        <f t="shared" si="14"/>
        <v>111</v>
      </c>
      <c r="R44" s="705" t="s">
        <v>14</v>
      </c>
      <c r="S44" s="706">
        <f t="shared" si="10"/>
        <v>100</v>
      </c>
      <c r="T44" s="705" t="s">
        <v>14</v>
      </c>
      <c r="U44" s="706">
        <f t="shared" si="11"/>
        <v>100</v>
      </c>
      <c r="V44" s="705" t="s">
        <v>14</v>
      </c>
      <c r="W44" s="706">
        <f t="shared" si="12"/>
        <v>100</v>
      </c>
      <c r="X44" s="1351"/>
      <c r="Y44" s="3735"/>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5"/>
      <c r="Q45" s="1348">
        <f t="shared" si="14"/>
        <v>111</v>
      </c>
      <c r="R45" s="708" t="s">
        <v>14</v>
      </c>
      <c r="S45" s="709">
        <f t="shared" si="10"/>
        <v>100</v>
      </c>
      <c r="T45" s="708" t="s">
        <v>14</v>
      </c>
      <c r="U45" s="709">
        <f t="shared" si="11"/>
        <v>100</v>
      </c>
      <c r="V45" s="708" t="s">
        <v>14</v>
      </c>
      <c r="W45" s="709">
        <f t="shared" si="12"/>
        <v>100</v>
      </c>
      <c r="X45" s="710"/>
      <c r="Y45" s="3735"/>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17" t="str">
        <f>A46</f>
        <v>成交单价</v>
      </c>
      <c r="Q46" s="3717"/>
      <c r="R46" s="3730">
        <f>E46</f>
        <v>3590</v>
      </c>
      <c r="S46" s="3730"/>
      <c r="T46" s="3730">
        <f>G46</f>
        <v>3461</v>
      </c>
      <c r="U46" s="3730"/>
      <c r="V46" s="3730">
        <f>I46</f>
        <v>3405</v>
      </c>
      <c r="W46" s="3730"/>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17" t="str">
        <f>A47</f>
        <v>比较价值（元/平方米）</v>
      </c>
      <c r="Q47" s="3717"/>
      <c r="R47" s="3736">
        <f>ROUND(PRODUCT(R46,AA7:AA45),0)</f>
        <v>3326</v>
      </c>
      <c r="S47" s="3736"/>
      <c r="T47" s="3736">
        <f>ROUND(PRODUCT(T46,AB7:AB45),0)</f>
        <v>2934</v>
      </c>
      <c r="U47" s="3736"/>
      <c r="V47" s="3736">
        <f>ROUND(PRODUCT(V46,AC7:AC45),0)</f>
        <v>3057</v>
      </c>
      <c r="W47" s="3736"/>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37" t="str">
        <f>A48</f>
        <v>估价对象XX用房的比较价值（楼面单价，元/平方米）</v>
      </c>
      <c r="Q48" s="3738"/>
      <c r="R48" s="3739">
        <f>ROUND(IF(D47="简单平均",AVERAGE(R47:W47),R47*F47+T47*H47+V47*J47),0)</f>
        <v>3106</v>
      </c>
      <c r="S48" s="3739"/>
      <c r="T48" s="3739"/>
      <c r="U48" s="3739"/>
      <c r="V48" s="3739"/>
      <c r="W48" s="373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18" t="s">
        <v>1887</v>
      </c>
      <c r="H55" s="374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41"/>
      <c r="H56" s="3717"/>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3932</v>
      </c>
      <c r="D107" s="3495" t="s">
        <v>3933</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55" workbookViewId="0">
      <selection activeCell="C85" sqref="C85"/>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3821</v>
      </c>
      <c r="B2" s="3482" t="s">
        <v>3822</v>
      </c>
      <c r="C2" s="3482" t="s">
        <v>3823</v>
      </c>
      <c r="D2" s="3482">
        <v>5681.8</v>
      </c>
      <c r="E2" s="3482">
        <v>14204.5</v>
      </c>
      <c r="F2" s="3482" t="s">
        <v>3824</v>
      </c>
      <c r="G2" s="3482" t="s">
        <v>3825</v>
      </c>
      <c r="H2" s="3482" t="s">
        <v>3826</v>
      </c>
      <c r="I2" s="3482" t="s">
        <v>3827</v>
      </c>
      <c r="J2" s="3482">
        <v>5100</v>
      </c>
      <c r="K2" s="3482">
        <v>5100</v>
      </c>
      <c r="L2" s="3482">
        <v>3590.41</v>
      </c>
      <c r="M2" s="3482">
        <v>0</v>
      </c>
    </row>
    <row r="3" spans="1:13">
      <c r="A3" s="3481" t="s">
        <v>3828</v>
      </c>
      <c r="B3" s="3481" t="s">
        <v>3822</v>
      </c>
      <c r="C3" s="3481" t="s">
        <v>3823</v>
      </c>
      <c r="D3" s="3481">
        <v>13430.8</v>
      </c>
      <c r="E3" s="3481">
        <v>60300</v>
      </c>
      <c r="F3" s="3481" t="s">
        <v>3829</v>
      </c>
      <c r="G3" s="3481" t="s">
        <v>3825</v>
      </c>
      <c r="H3" s="3481" t="s">
        <v>3830</v>
      </c>
      <c r="I3" s="3481" t="s">
        <v>3831</v>
      </c>
      <c r="J3" s="3481">
        <v>13742</v>
      </c>
      <c r="K3" s="3481">
        <v>13742</v>
      </c>
      <c r="L3" s="3481">
        <v>2278.94</v>
      </c>
      <c r="M3" s="3481">
        <v>0</v>
      </c>
    </row>
    <row r="4" spans="1:13">
      <c r="A4" s="3481" t="s">
        <v>3832</v>
      </c>
      <c r="B4" s="3481" t="s">
        <v>3822</v>
      </c>
      <c r="C4" s="3481" t="s">
        <v>3823</v>
      </c>
      <c r="D4" s="3481">
        <v>21357.360000000001</v>
      </c>
      <c r="E4" s="3481">
        <v>85429</v>
      </c>
      <c r="F4" s="3481" t="s">
        <v>3833</v>
      </c>
      <c r="G4" s="3481" t="s">
        <v>3825</v>
      </c>
      <c r="H4" s="3481" t="s">
        <v>3834</v>
      </c>
      <c r="I4" s="3481" t="s">
        <v>3835</v>
      </c>
      <c r="J4" s="3481">
        <v>32010</v>
      </c>
      <c r="K4" s="3481">
        <v>32010</v>
      </c>
      <c r="L4" s="3481">
        <v>3746.97</v>
      </c>
      <c r="M4" s="3481">
        <v>0</v>
      </c>
    </row>
    <row r="5" spans="1:13">
      <c r="A5" s="3481" t="s">
        <v>3836</v>
      </c>
      <c r="B5" s="3481" t="s">
        <v>3822</v>
      </c>
      <c r="C5" s="3481" t="s">
        <v>3823</v>
      </c>
      <c r="D5" s="3481">
        <v>20450.13</v>
      </c>
      <c r="E5" s="3481">
        <v>0</v>
      </c>
      <c r="F5" s="3481" t="s">
        <v>3837</v>
      </c>
      <c r="G5" s="3481" t="s">
        <v>3825</v>
      </c>
      <c r="H5" s="3481" t="s">
        <v>3838</v>
      </c>
      <c r="I5" s="3481" t="s">
        <v>3839</v>
      </c>
      <c r="J5" s="3481">
        <v>3700</v>
      </c>
      <c r="K5" s="3481">
        <v>3700</v>
      </c>
      <c r="L5" s="3481">
        <v>0</v>
      </c>
      <c r="M5" s="3481">
        <v>0</v>
      </c>
    </row>
    <row r="6" spans="1:13" s="3483" customFormat="1">
      <c r="A6" s="3482" t="s">
        <v>3840</v>
      </c>
      <c r="B6" s="3482" t="s">
        <v>3822</v>
      </c>
      <c r="C6" s="3482" t="s">
        <v>3823</v>
      </c>
      <c r="D6" s="3482">
        <v>12235.9</v>
      </c>
      <c r="E6" s="3482">
        <v>85651.3</v>
      </c>
      <c r="F6" s="3482" t="s">
        <v>3841</v>
      </c>
      <c r="G6" s="3482" t="s">
        <v>3825</v>
      </c>
      <c r="H6" s="3482" t="s">
        <v>3842</v>
      </c>
      <c r="I6" s="3482" t="s">
        <v>3843</v>
      </c>
      <c r="J6" s="3482">
        <v>29640</v>
      </c>
      <c r="K6" s="3482">
        <v>29640</v>
      </c>
      <c r="L6" s="3482">
        <v>3460.54</v>
      </c>
      <c r="M6" s="3482">
        <v>0</v>
      </c>
    </row>
    <row r="7" spans="1:13" s="3486" customFormat="1">
      <c r="A7" s="3485" t="s">
        <v>3844</v>
      </c>
      <c r="B7" s="3485" t="s">
        <v>3822</v>
      </c>
      <c r="C7" s="3485" t="s">
        <v>3823</v>
      </c>
      <c r="D7" s="3485">
        <v>21209</v>
      </c>
      <c r="E7" s="3485">
        <v>116655</v>
      </c>
      <c r="F7" s="3485" t="s">
        <v>3845</v>
      </c>
      <c r="G7" s="3485" t="s">
        <v>3825</v>
      </c>
      <c r="H7" s="3485" t="s">
        <v>3846</v>
      </c>
      <c r="I7" s="3485" t="s">
        <v>3847</v>
      </c>
      <c r="J7" s="3485">
        <v>28790</v>
      </c>
      <c r="K7" s="3485">
        <v>28790</v>
      </c>
      <c r="L7" s="3485">
        <v>2467.96</v>
      </c>
      <c r="M7" s="3485">
        <v>0</v>
      </c>
    </row>
    <row r="8" spans="1:13">
      <c r="A8" s="3481" t="s">
        <v>3848</v>
      </c>
      <c r="B8" s="3481" t="s">
        <v>3822</v>
      </c>
      <c r="C8" s="3481" t="s">
        <v>3823</v>
      </c>
      <c r="D8" s="3481">
        <v>89995.6</v>
      </c>
      <c r="E8" s="3481">
        <v>0</v>
      </c>
      <c r="F8" s="3481" t="s">
        <v>3849</v>
      </c>
      <c r="G8" s="3481" t="s">
        <v>3825</v>
      </c>
      <c r="H8" s="3481" t="s">
        <v>3850</v>
      </c>
      <c r="I8" s="3481" t="s">
        <v>3851</v>
      </c>
      <c r="J8" s="3481">
        <v>18620</v>
      </c>
      <c r="K8" s="3481">
        <v>18620</v>
      </c>
      <c r="L8" s="3481">
        <v>0</v>
      </c>
      <c r="M8" s="3481">
        <v>0</v>
      </c>
    </row>
    <row r="9" spans="1:13">
      <c r="A9" s="3481" t="s">
        <v>3852</v>
      </c>
      <c r="B9" s="3481" t="s">
        <v>3822</v>
      </c>
      <c r="C9" s="3481" t="s">
        <v>3823</v>
      </c>
      <c r="D9" s="3481">
        <v>3060.7</v>
      </c>
      <c r="E9" s="3481">
        <v>9180</v>
      </c>
      <c r="F9" s="3481" t="s">
        <v>3853</v>
      </c>
      <c r="G9" s="3481" t="s">
        <v>3825</v>
      </c>
      <c r="H9" s="3481" t="s">
        <v>3854</v>
      </c>
      <c r="I9" s="3481" t="s">
        <v>3855</v>
      </c>
      <c r="J9" s="3481">
        <v>2807</v>
      </c>
      <c r="K9" s="3481">
        <v>3907</v>
      </c>
      <c r="L9" s="3481">
        <v>4255.99</v>
      </c>
      <c r="M9" s="3481">
        <v>39.19</v>
      </c>
    </row>
    <row r="10" spans="1:13">
      <c r="A10" s="3481" t="s">
        <v>3856</v>
      </c>
      <c r="B10" s="3481" t="s">
        <v>3822</v>
      </c>
      <c r="C10" s="3481" t="s">
        <v>3823</v>
      </c>
      <c r="D10" s="3481">
        <v>25809.03</v>
      </c>
      <c r="E10" s="3481">
        <v>154854</v>
      </c>
      <c r="F10" s="3481" t="s">
        <v>3857</v>
      </c>
      <c r="G10" s="3481" t="s">
        <v>3825</v>
      </c>
      <c r="H10" s="3481" t="s">
        <v>3858</v>
      </c>
      <c r="I10" s="3481" t="s">
        <v>3859</v>
      </c>
      <c r="J10" s="3481">
        <v>69100</v>
      </c>
      <c r="K10" s="3481">
        <v>69100</v>
      </c>
      <c r="L10" s="3481">
        <v>4462.2700000000004</v>
      </c>
      <c r="M10" s="3481">
        <v>0</v>
      </c>
    </row>
    <row r="11" spans="1:13">
      <c r="A11" s="3481" t="s">
        <v>3860</v>
      </c>
      <c r="B11" s="3481" t="s">
        <v>3822</v>
      </c>
      <c r="C11" s="3481" t="s">
        <v>3823</v>
      </c>
      <c r="D11" s="3481">
        <v>64194.5</v>
      </c>
      <c r="E11" s="3481">
        <v>128400</v>
      </c>
      <c r="F11" s="3481" t="s">
        <v>3861</v>
      </c>
      <c r="G11" s="3481" t="s">
        <v>3825</v>
      </c>
      <c r="H11" s="3481" t="s">
        <v>3862</v>
      </c>
      <c r="I11" s="3481" t="s">
        <v>3863</v>
      </c>
      <c r="J11" s="3481">
        <v>48086</v>
      </c>
      <c r="K11" s="3481">
        <v>48086</v>
      </c>
      <c r="L11" s="3481">
        <v>3745.02</v>
      </c>
      <c r="M11" s="3481">
        <v>0</v>
      </c>
    </row>
    <row r="12" spans="1:13">
      <c r="A12" s="3481" t="s">
        <v>3864</v>
      </c>
      <c r="B12" s="3481" t="s">
        <v>3822</v>
      </c>
      <c r="C12" s="3481" t="s">
        <v>3823</v>
      </c>
      <c r="D12" s="3481">
        <v>38709.1</v>
      </c>
      <c r="E12" s="3481">
        <v>77400</v>
      </c>
      <c r="F12" s="3481" t="s">
        <v>3861</v>
      </c>
      <c r="G12" s="3481" t="s">
        <v>3825</v>
      </c>
      <c r="H12" s="3481" t="s">
        <v>3862</v>
      </c>
      <c r="I12" s="3481" t="s">
        <v>3863</v>
      </c>
      <c r="J12" s="3481">
        <v>28873</v>
      </c>
      <c r="K12" s="3481">
        <v>28873</v>
      </c>
      <c r="L12" s="3481">
        <v>3730.36</v>
      </c>
      <c r="M12" s="3481">
        <v>0</v>
      </c>
    </row>
    <row r="13" spans="1:13">
      <c r="A13" s="3481" t="s">
        <v>3865</v>
      </c>
      <c r="B13" s="3481" t="s">
        <v>3822</v>
      </c>
      <c r="C13" s="3481" t="s">
        <v>3823</v>
      </c>
      <c r="D13" s="3481">
        <v>6073.7</v>
      </c>
      <c r="E13" s="3481">
        <v>15185</v>
      </c>
      <c r="F13" s="3481" t="s">
        <v>3824</v>
      </c>
      <c r="G13" s="3481" t="s">
        <v>3825</v>
      </c>
      <c r="H13" s="3481" t="s">
        <v>3862</v>
      </c>
      <c r="I13" s="3481" t="s">
        <v>3866</v>
      </c>
      <c r="J13" s="3481">
        <v>4810</v>
      </c>
      <c r="K13" s="3481">
        <v>7660</v>
      </c>
      <c r="L13" s="3481">
        <v>5044.45</v>
      </c>
      <c r="M13" s="3481">
        <v>59.25</v>
      </c>
    </row>
    <row r="14" spans="1:13">
      <c r="A14" s="3481" t="s">
        <v>3867</v>
      </c>
      <c r="B14" s="3481" t="s">
        <v>3822</v>
      </c>
      <c r="C14" s="3481" t="s">
        <v>3823</v>
      </c>
      <c r="D14" s="3481">
        <v>119906.12</v>
      </c>
      <c r="E14" s="3481">
        <v>219682.94</v>
      </c>
      <c r="F14" s="3481">
        <v>1.8</v>
      </c>
      <c r="G14" s="3481" t="s">
        <v>3825</v>
      </c>
      <c r="H14" s="3481" t="s">
        <v>3868</v>
      </c>
      <c r="I14" s="3481" t="s">
        <v>3869</v>
      </c>
      <c r="J14" s="3481">
        <v>257520</v>
      </c>
      <c r="K14" s="3481">
        <v>257520</v>
      </c>
      <c r="L14" s="3481">
        <v>11722.35</v>
      </c>
      <c r="M14" s="3481">
        <v>0</v>
      </c>
    </row>
    <row r="15" spans="1:13">
      <c r="A15" s="3481" t="s">
        <v>3870</v>
      </c>
      <c r="B15" s="3481" t="s">
        <v>3822</v>
      </c>
      <c r="C15" s="3481" t="s">
        <v>3823</v>
      </c>
      <c r="D15" s="3481">
        <v>32868.199999999997</v>
      </c>
      <c r="E15" s="3481">
        <v>114381.34</v>
      </c>
      <c r="F15" s="3481" t="s">
        <v>3871</v>
      </c>
      <c r="G15" s="3481" t="s">
        <v>3825</v>
      </c>
      <c r="H15" s="3481" t="s">
        <v>3872</v>
      </c>
      <c r="I15" s="3481" t="s">
        <v>3873</v>
      </c>
      <c r="J15" s="3481">
        <v>32900</v>
      </c>
      <c r="K15" s="3481">
        <v>32900</v>
      </c>
      <c r="L15" s="3481">
        <v>2876.34</v>
      </c>
      <c r="M15" s="3481">
        <v>0</v>
      </c>
    </row>
    <row r="16" spans="1:13" s="3486" customFormat="1">
      <c r="A16" s="3485" t="s">
        <v>3874</v>
      </c>
      <c r="B16" s="3485" t="s">
        <v>3822</v>
      </c>
      <c r="C16" s="3485" t="s">
        <v>3823</v>
      </c>
      <c r="D16" s="3485">
        <v>15832.6</v>
      </c>
      <c r="E16" s="3485">
        <v>110828.2</v>
      </c>
      <c r="F16" s="3485" t="s">
        <v>3841</v>
      </c>
      <c r="G16" s="3485" t="s">
        <v>3825</v>
      </c>
      <c r="H16" s="3485" t="s">
        <v>3872</v>
      </c>
      <c r="I16" s="3485" t="s">
        <v>3875</v>
      </c>
      <c r="J16" s="3485">
        <v>19852</v>
      </c>
      <c r="K16" s="3485">
        <v>19852</v>
      </c>
      <c r="L16" s="3485">
        <v>1791.24</v>
      </c>
      <c r="M16" s="3485">
        <v>0</v>
      </c>
    </row>
    <row r="17" spans="1:13">
      <c r="A17" s="3481" t="s">
        <v>3876</v>
      </c>
      <c r="B17" s="3481" t="s">
        <v>3822</v>
      </c>
      <c r="C17" s="3481" t="s">
        <v>3823</v>
      </c>
      <c r="D17" s="3481">
        <v>15670</v>
      </c>
      <c r="E17" s="3481">
        <v>70515</v>
      </c>
      <c r="F17" s="3481" t="s">
        <v>3829</v>
      </c>
      <c r="G17" s="3481" t="s">
        <v>3825</v>
      </c>
      <c r="H17" s="3481" t="s">
        <v>3877</v>
      </c>
      <c r="I17" s="3481" t="s">
        <v>3878</v>
      </c>
      <c r="J17" s="3481">
        <v>14280</v>
      </c>
      <c r="K17" s="3481">
        <v>14280</v>
      </c>
      <c r="L17" s="3481">
        <v>2025.1</v>
      </c>
      <c r="M17" s="3481">
        <v>0</v>
      </c>
    </row>
    <row r="18" spans="1:13">
      <c r="A18" s="3481" t="s">
        <v>3879</v>
      </c>
      <c r="B18" s="3481" t="s">
        <v>3822</v>
      </c>
      <c r="C18" s="3481" t="s">
        <v>3823</v>
      </c>
      <c r="D18" s="3481">
        <v>1845.25</v>
      </c>
      <c r="E18" s="3481">
        <v>5037.53</v>
      </c>
      <c r="F18" s="3481" t="s">
        <v>3880</v>
      </c>
      <c r="G18" s="3481" t="s">
        <v>3825</v>
      </c>
      <c r="H18" s="3481" t="s">
        <v>3881</v>
      </c>
      <c r="I18" s="3481" t="s">
        <v>3882</v>
      </c>
      <c r="J18" s="3481">
        <v>904</v>
      </c>
      <c r="K18" s="3481">
        <v>904</v>
      </c>
      <c r="L18" s="3481">
        <v>1794.53</v>
      </c>
      <c r="M18" s="3481">
        <v>0</v>
      </c>
    </row>
    <row r="19" spans="1:13">
      <c r="A19" s="3481" t="s">
        <v>3883</v>
      </c>
      <c r="B19" s="3481" t="s">
        <v>3822</v>
      </c>
      <c r="C19" s="3481" t="s">
        <v>3823</v>
      </c>
      <c r="D19" s="3481">
        <v>21336.799999999999</v>
      </c>
      <c r="E19" s="3481">
        <v>115290</v>
      </c>
      <c r="F19" s="3481" t="s">
        <v>3884</v>
      </c>
      <c r="G19" s="3481" t="s">
        <v>3825</v>
      </c>
      <c r="H19" s="3481" t="s">
        <v>3885</v>
      </c>
      <c r="I19" s="3481" t="s">
        <v>3886</v>
      </c>
      <c r="J19" s="3481">
        <v>31670</v>
      </c>
      <c r="K19" s="3481">
        <v>31670</v>
      </c>
      <c r="L19" s="3481">
        <v>2746.99</v>
      </c>
      <c r="M19" s="3481">
        <v>0</v>
      </c>
    </row>
    <row r="20" spans="1:13" s="3486" customFormat="1">
      <c r="A20" s="3485" t="s">
        <v>3887</v>
      </c>
      <c r="B20" s="3485" t="s">
        <v>3822</v>
      </c>
      <c r="C20" s="3485" t="s">
        <v>3823</v>
      </c>
      <c r="D20" s="3485">
        <v>59669.33</v>
      </c>
      <c r="E20" s="3485">
        <v>89550</v>
      </c>
      <c r="F20" s="3485" t="s">
        <v>3888</v>
      </c>
      <c r="G20" s="3485" t="s">
        <v>3889</v>
      </c>
      <c r="H20" s="3485" t="s">
        <v>3890</v>
      </c>
      <c r="I20" s="3485" t="s">
        <v>3891</v>
      </c>
      <c r="J20" s="3485">
        <v>31100</v>
      </c>
      <c r="K20" s="3485">
        <v>31100</v>
      </c>
      <c r="L20" s="3485">
        <v>3472.92</v>
      </c>
      <c r="M20" s="3485">
        <v>0</v>
      </c>
    </row>
    <row r="21" spans="1:13" s="3486" customFormat="1">
      <c r="A21" s="3485" t="s">
        <v>3892</v>
      </c>
      <c r="B21" s="3485" t="s">
        <v>3822</v>
      </c>
      <c r="C21" s="3485" t="s">
        <v>3823</v>
      </c>
      <c r="D21" s="3485">
        <v>75626</v>
      </c>
      <c r="E21" s="3485">
        <v>113400</v>
      </c>
      <c r="F21" s="3485" t="s">
        <v>3888</v>
      </c>
      <c r="G21" s="3485" t="s">
        <v>3889</v>
      </c>
      <c r="H21" s="3485" t="s">
        <v>3893</v>
      </c>
      <c r="I21" s="3485" t="s">
        <v>3894</v>
      </c>
      <c r="J21" s="3485">
        <v>33000</v>
      </c>
      <c r="K21" s="3485">
        <v>33000</v>
      </c>
      <c r="L21" s="3485">
        <v>2910.05</v>
      </c>
      <c r="M21" s="3485">
        <v>0</v>
      </c>
    </row>
    <row r="22" spans="1:13">
      <c r="A22" s="3481" t="s">
        <v>3895</v>
      </c>
      <c r="B22" s="3481" t="s">
        <v>3822</v>
      </c>
      <c r="C22" s="3481" t="s">
        <v>3823</v>
      </c>
      <c r="D22" s="3481">
        <v>24625.72</v>
      </c>
      <c r="E22" s="3481">
        <v>49251.44</v>
      </c>
      <c r="F22" s="3481" t="s">
        <v>3896</v>
      </c>
      <c r="G22" s="3481" t="s">
        <v>3889</v>
      </c>
      <c r="H22" s="3481" t="s">
        <v>3897</v>
      </c>
      <c r="I22" s="3481" t="s">
        <v>3898</v>
      </c>
      <c r="J22" s="3481">
        <v>19000</v>
      </c>
      <c r="K22" s="3481">
        <v>24400</v>
      </c>
      <c r="L22" s="3481">
        <v>4954.17</v>
      </c>
      <c r="M22" s="3481">
        <v>28.42</v>
      </c>
    </row>
    <row r="23" spans="1:13">
      <c r="A23" s="3481" t="s">
        <v>3899</v>
      </c>
      <c r="B23" s="3481" t="s">
        <v>3822</v>
      </c>
      <c r="C23" s="3481" t="s">
        <v>3823</v>
      </c>
      <c r="D23" s="3481">
        <v>33327.9</v>
      </c>
      <c r="E23" s="3481">
        <v>166639.5</v>
      </c>
      <c r="F23" s="3481" t="s">
        <v>3900</v>
      </c>
      <c r="G23" s="3481" t="s">
        <v>3825</v>
      </c>
      <c r="H23" s="3481" t="s">
        <v>3901</v>
      </c>
      <c r="I23" s="3481" t="s">
        <v>3902</v>
      </c>
      <c r="J23" s="3481">
        <v>33229</v>
      </c>
      <c r="K23" s="3481">
        <v>33229</v>
      </c>
      <c r="L23" s="3481">
        <v>1994.07</v>
      </c>
      <c r="M23" s="3481">
        <v>0</v>
      </c>
    </row>
    <row r="24" spans="1:13" s="3486" customFormat="1">
      <c r="A24" s="3485" t="s">
        <v>3903</v>
      </c>
      <c r="B24" s="3485" t="s">
        <v>3822</v>
      </c>
      <c r="C24" s="3485" t="s">
        <v>3823</v>
      </c>
      <c r="D24" s="3485">
        <v>13024.2</v>
      </c>
      <c r="E24" s="3485">
        <v>110705.7</v>
      </c>
      <c r="F24" s="3485" t="s">
        <v>3904</v>
      </c>
      <c r="G24" s="3485" t="s">
        <v>3825</v>
      </c>
      <c r="H24" s="3485" t="s">
        <v>3905</v>
      </c>
      <c r="I24" s="3485" t="s">
        <v>3906</v>
      </c>
      <c r="J24" s="3485">
        <v>16266</v>
      </c>
      <c r="K24" s="3485">
        <v>16266</v>
      </c>
      <c r="L24" s="3485">
        <v>1469.3</v>
      </c>
      <c r="M24" s="3485">
        <v>0</v>
      </c>
    </row>
    <row r="25" spans="1:13" s="3486" customFormat="1">
      <c r="A25" s="3485" t="s">
        <v>3907</v>
      </c>
      <c r="B25" s="3485" t="s">
        <v>3822</v>
      </c>
      <c r="C25" s="3485" t="s">
        <v>3823</v>
      </c>
      <c r="D25" s="3485">
        <v>11050.6</v>
      </c>
      <c r="E25" s="3485">
        <v>66303.600000000006</v>
      </c>
      <c r="F25" s="3485" t="s">
        <v>3857</v>
      </c>
      <c r="G25" s="3485" t="s">
        <v>3825</v>
      </c>
      <c r="H25" s="3485" t="s">
        <v>3905</v>
      </c>
      <c r="I25" s="3485" t="s">
        <v>3906</v>
      </c>
      <c r="J25" s="3485">
        <v>12767</v>
      </c>
      <c r="K25" s="3485">
        <v>12767</v>
      </c>
      <c r="L25" s="3485">
        <v>1925.54</v>
      </c>
      <c r="M25" s="3485">
        <v>0</v>
      </c>
    </row>
    <row r="26" spans="1:13" s="3483" customFormat="1">
      <c r="A26" s="3482" t="s">
        <v>3908</v>
      </c>
      <c r="B26" s="3482" t="s">
        <v>3822</v>
      </c>
      <c r="C26" s="3482" t="s">
        <v>3823</v>
      </c>
      <c r="D26" s="3482">
        <v>7282.51</v>
      </c>
      <c r="E26" s="3482">
        <v>40053.81</v>
      </c>
      <c r="F26" s="3482" t="s">
        <v>3845</v>
      </c>
      <c r="G26" s="3482" t="s">
        <v>3825</v>
      </c>
      <c r="H26" s="3482" t="s">
        <v>3909</v>
      </c>
      <c r="I26" s="3482" t="s">
        <v>3910</v>
      </c>
      <c r="J26" s="3482">
        <v>13637</v>
      </c>
      <c r="K26" s="3482">
        <v>13637</v>
      </c>
      <c r="L26" s="3482">
        <v>3404.67</v>
      </c>
      <c r="M26" s="3482">
        <v>0</v>
      </c>
    </row>
    <row r="27" spans="1:13">
      <c r="A27" s="3481" t="s">
        <v>3911</v>
      </c>
      <c r="B27" s="3481" t="s">
        <v>3822</v>
      </c>
      <c r="C27" s="3481" t="s">
        <v>3823</v>
      </c>
      <c r="D27" s="3481">
        <v>21350.400000000001</v>
      </c>
      <c r="E27" s="3481">
        <v>288230.40000000002</v>
      </c>
      <c r="F27" s="3481" t="s">
        <v>3912</v>
      </c>
      <c r="G27" s="3481" t="s">
        <v>3889</v>
      </c>
      <c r="H27" s="3481" t="s">
        <v>3913</v>
      </c>
      <c r="I27" s="3481" t="s">
        <v>3914</v>
      </c>
      <c r="J27" s="3481">
        <v>32416</v>
      </c>
      <c r="K27" s="3481">
        <v>32416</v>
      </c>
      <c r="L27" s="3481">
        <v>1124.6600000000001</v>
      </c>
      <c r="M27" s="3481">
        <v>0</v>
      </c>
    </row>
    <row r="28" spans="1:13">
      <c r="A28" s="3481" t="s">
        <v>3915</v>
      </c>
      <c r="B28" s="3481" t="s">
        <v>3822</v>
      </c>
      <c r="C28" s="3481" t="s">
        <v>3823</v>
      </c>
      <c r="D28" s="3481">
        <v>104820</v>
      </c>
      <c r="E28" s="3481">
        <v>262050</v>
      </c>
      <c r="F28" s="3481" t="s">
        <v>3824</v>
      </c>
      <c r="G28" s="3481" t="s">
        <v>3825</v>
      </c>
      <c r="H28" s="3481" t="s">
        <v>3916</v>
      </c>
      <c r="I28" s="3481" t="s">
        <v>3917</v>
      </c>
      <c r="J28" s="3481">
        <v>82410</v>
      </c>
      <c r="K28" s="3481">
        <v>82410</v>
      </c>
      <c r="L28" s="3481">
        <v>3144.82</v>
      </c>
      <c r="M28" s="3481">
        <v>0</v>
      </c>
    </row>
    <row r="29" spans="1:13">
      <c r="A29" s="3481" t="s">
        <v>3918</v>
      </c>
      <c r="B29" s="3481" t="s">
        <v>3822</v>
      </c>
      <c r="C29" s="3481" t="s">
        <v>3823</v>
      </c>
      <c r="D29" s="3481">
        <v>144531.6</v>
      </c>
      <c r="E29" s="3481">
        <v>867189.6</v>
      </c>
      <c r="F29" s="3481" t="s">
        <v>3919</v>
      </c>
      <c r="G29" s="3481" t="s">
        <v>3825</v>
      </c>
      <c r="H29" s="3481" t="s">
        <v>3920</v>
      </c>
      <c r="I29" s="3481" t="s">
        <v>3921</v>
      </c>
      <c r="J29" s="3481">
        <v>165753</v>
      </c>
      <c r="K29" s="3481">
        <v>165753</v>
      </c>
      <c r="L29" s="3481">
        <v>1911.38</v>
      </c>
      <c r="M29" s="3481">
        <v>0</v>
      </c>
    </row>
    <row r="30" spans="1:13">
      <c r="A30" s="3481" t="s">
        <v>3922</v>
      </c>
      <c r="B30" s="3481" t="s">
        <v>3822</v>
      </c>
      <c r="C30" s="3481" t="s">
        <v>3823</v>
      </c>
      <c r="D30" s="3481">
        <v>66939.8</v>
      </c>
      <c r="E30" s="3481">
        <v>368168.9</v>
      </c>
      <c r="F30" s="3481" t="s">
        <v>3923</v>
      </c>
      <c r="G30" s="3481" t="s">
        <v>3825</v>
      </c>
      <c r="H30" s="3481" t="s">
        <v>3920</v>
      </c>
      <c r="I30" s="3481" t="s">
        <v>3924</v>
      </c>
      <c r="J30" s="3481">
        <v>72612</v>
      </c>
      <c r="K30" s="3481">
        <v>74612</v>
      </c>
      <c r="L30" s="3481">
        <v>2026.57</v>
      </c>
      <c r="M30" s="3481">
        <v>2.75</v>
      </c>
    </row>
    <row r="31" spans="1:13">
      <c r="A31" s="3481" t="s">
        <v>3922</v>
      </c>
      <c r="B31" s="3481" t="s">
        <v>3822</v>
      </c>
      <c r="C31" s="3481" t="s">
        <v>3823</v>
      </c>
      <c r="D31" s="3481">
        <v>43886.2</v>
      </c>
      <c r="E31" s="3481">
        <v>241374.1</v>
      </c>
      <c r="F31" s="3481" t="s">
        <v>3923</v>
      </c>
      <c r="G31" s="3481" t="s">
        <v>3825</v>
      </c>
      <c r="H31" s="3481" t="s">
        <v>3920</v>
      </c>
      <c r="I31" s="3481" t="s">
        <v>3924</v>
      </c>
      <c r="J31" s="3481">
        <v>47560</v>
      </c>
      <c r="K31" s="3481">
        <v>48560</v>
      </c>
      <c r="L31" s="3481">
        <v>2011.81</v>
      </c>
      <c r="M31" s="3481">
        <v>2.1</v>
      </c>
    </row>
    <row r="70" spans="1:1">
      <c r="A70" s="3496"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M36" sqref="M36"/>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346387</v>
      </c>
      <c r="C2" s="276" t="s">
        <v>1595</v>
      </c>
      <c r="D2" s="276"/>
      <c r="E2" s="2802"/>
      <c r="F2" s="2802"/>
      <c r="G2" s="2802"/>
      <c r="H2" s="2802"/>
      <c r="I2" s="2802"/>
      <c r="J2" s="2802"/>
      <c r="K2" s="2802"/>
    </row>
    <row r="3" spans="1:33" ht="18" customHeight="1" thickBot="1">
      <c r="A3" s="203" t="s">
        <v>1464</v>
      </c>
      <c r="B3" s="204">
        <f ca="1">ROUND(B2*10000/IF(C1="",'数据-汇总表'!E3,INDIRECT("'数据-取费表'!K"&amp;$K$1)),0)</f>
        <v>15270</v>
      </c>
      <c r="C3" s="276" t="s">
        <v>1596</v>
      </c>
      <c r="D3" s="276"/>
      <c r="E3" s="2802"/>
      <c r="F3" s="2802"/>
      <c r="G3" s="2802"/>
      <c r="H3" s="2802"/>
      <c r="I3" s="2802"/>
      <c r="J3" s="2802"/>
      <c r="K3" s="2802"/>
    </row>
    <row r="4" spans="1:33" s="782" customFormat="1" ht="16.5" customHeight="1">
      <c r="A4" s="779" t="s">
        <v>1597</v>
      </c>
      <c r="B4" s="780"/>
      <c r="C4" s="821">
        <f>SUM(C8:K8)</f>
        <v>396197</v>
      </c>
      <c r="D4" s="780"/>
      <c r="E4" s="780"/>
      <c r="F4" s="780"/>
      <c r="G4" s="780"/>
      <c r="H4" s="780"/>
      <c r="I4" s="780"/>
      <c r="J4" s="780"/>
      <c r="K4" s="781"/>
    </row>
    <row r="5" spans="1:33" s="786" customFormat="1" ht="15">
      <c r="A5" s="783" t="s">
        <v>1598</v>
      </c>
      <c r="B5" s="784" t="s">
        <v>1599</v>
      </c>
      <c r="C5" s="1856" t="s">
        <v>21</v>
      </c>
      <c r="D5" s="1856" t="s">
        <v>673</v>
      </c>
      <c r="E5" s="1856" t="s">
        <v>3489</v>
      </c>
      <c r="F5" s="1856" t="s">
        <v>3954</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22558</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358238</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10390</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312</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11085</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11085</v>
      </c>
      <c r="D21" s="812"/>
      <c r="E21" s="281"/>
      <c r="F21" s="281"/>
      <c r="G21" s="131" t="s">
        <v>1629</v>
      </c>
      <c r="H21" s="804"/>
      <c r="I21" s="804"/>
      <c r="J21" s="804"/>
      <c r="K21" s="805"/>
    </row>
    <row r="22" spans="1:33" s="800" customFormat="1" ht="13.5" customHeight="1">
      <c r="A22" s="787" t="s">
        <v>1601</v>
      </c>
      <c r="B22" s="810" t="s">
        <v>1630</v>
      </c>
      <c r="C22" s="811">
        <f ca="1">ROUND(C21*F22,0)</f>
        <v>222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396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1872</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1872</v>
      </c>
      <c r="D30" s="284"/>
      <c r="E30" s="285"/>
      <c r="F30" s="290"/>
      <c r="G30" s="131"/>
      <c r="H30" s="804"/>
      <c r="I30" s="804"/>
      <c r="J30" s="804"/>
      <c r="K30" s="805"/>
    </row>
    <row r="31" spans="1:33" s="800" customFormat="1" ht="13.5" customHeight="1" thickBot="1">
      <c r="A31" s="1862" t="s">
        <v>1646</v>
      </c>
      <c r="B31" s="830" t="s">
        <v>1647</v>
      </c>
      <c r="C31" s="831">
        <f>ROUND(C4*F31/(1+'数据-取费表'!C42),0)</f>
        <v>21131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346387</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42" t="s">
        <v>694</v>
      </c>
      <c r="C6" s="1071">
        <f ca="1">ROUND(F6*F8*F7*(1-F9),0)</f>
        <v>0</v>
      </c>
      <c r="D6" s="155" t="s">
        <v>2105</v>
      </c>
      <c r="E6" s="302" t="s">
        <v>696</v>
      </c>
      <c r="F6" s="303">
        <f ca="1">INDIRECT("'数据-取费表'!u"&amp;$G$1)</f>
        <v>0</v>
      </c>
      <c r="G6" s="1380"/>
      <c r="H6" s="1066" t="s">
        <v>398</v>
      </c>
      <c r="I6" s="3742" t="s">
        <v>694</v>
      </c>
      <c r="J6" s="301">
        <f ca="1">ROUND(M6*M8*M7*(1-M9),0)</f>
        <v>0</v>
      </c>
      <c r="K6" s="1372" t="s">
        <v>2106</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0</v>
      </c>
      <c r="G7" s="1380"/>
      <c r="H7" s="304"/>
      <c r="I7" s="3743"/>
      <c r="J7" s="306"/>
      <c r="K7" s="307"/>
      <c r="L7" s="302" t="s">
        <v>697</v>
      </c>
      <c r="M7" s="303">
        <f ca="1">F7</f>
        <v>0</v>
      </c>
    </row>
    <row r="8" spans="1:37" ht="18" customHeight="1">
      <c r="A8" s="304"/>
      <c r="B8" s="3743"/>
      <c r="C8" s="306"/>
      <c r="D8" s="307"/>
      <c r="E8" s="302" t="s">
        <v>698</v>
      </c>
      <c r="F8" s="303">
        <f ca="1">INDIRECT("'数据-取费表'!ai"&amp;$G$1)</f>
        <v>0</v>
      </c>
      <c r="G8" s="1380"/>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5" t="s">
        <v>837</v>
      </c>
      <c r="L53" s="3746"/>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47" t="s">
        <v>2319</v>
      </c>
      <c r="K2" s="3748"/>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49" t="s">
        <v>2329</v>
      </c>
      <c r="K3" s="3750"/>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49" t="s">
        <v>2331</v>
      </c>
      <c r="K4" s="3750"/>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51" t="s">
        <v>2335</v>
      </c>
      <c r="B6" s="3752"/>
      <c r="C6" s="3753"/>
      <c r="D6" s="2866"/>
      <c r="E6" s="2867"/>
      <c r="F6" s="2868"/>
      <c r="G6" s="2869"/>
      <c r="H6" s="2844"/>
      <c r="I6" s="2845"/>
      <c r="J6" s="3754">
        <v>1</v>
      </c>
      <c r="K6" s="3755"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54"/>
      <c r="K7" s="3756"/>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58" t="s">
        <v>2349</v>
      </c>
      <c r="C8" s="3759"/>
      <c r="D8" s="2885" t="s">
        <v>2350</v>
      </c>
      <c r="E8" s="2886" t="s">
        <v>2351</v>
      </c>
      <c r="F8" s="2887" t="s">
        <v>2352</v>
      </c>
      <c r="G8" s="2888"/>
      <c r="H8" s="2844"/>
      <c r="I8" s="2845"/>
      <c r="J8" s="3754"/>
      <c r="K8" s="3756"/>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58" t="s">
        <v>2355</v>
      </c>
      <c r="C9" s="3759"/>
      <c r="D9" s="2885">
        <f>ROUND(D6*E9,0)</f>
        <v>0</v>
      </c>
      <c r="E9" s="2889"/>
      <c r="F9" s="2890" t="s">
        <v>2356</v>
      </c>
      <c r="G9" s="2869"/>
      <c r="H9" s="2844"/>
      <c r="I9" s="2845"/>
      <c r="J9" s="3754"/>
      <c r="K9" s="3756"/>
      <c r="L9" s="2879" t="s">
        <v>2357</v>
      </c>
      <c r="M9" s="2880"/>
      <c r="N9" s="2856"/>
      <c r="O9" s="2881"/>
      <c r="P9" s="2881"/>
      <c r="Q9" s="2882">
        <v>365</v>
      </c>
      <c r="R9" s="2883">
        <f t="shared" si="0"/>
        <v>0</v>
      </c>
      <c r="S9" s="2837"/>
      <c r="T9" s="2837"/>
      <c r="U9" s="2837"/>
      <c r="V9" s="2845"/>
    </row>
    <row r="10" spans="1:22" s="2849" customFormat="1" ht="13.15" customHeight="1">
      <c r="A10" s="2884">
        <v>2</v>
      </c>
      <c r="B10" s="3758" t="s">
        <v>2358</v>
      </c>
      <c r="C10" s="3759"/>
      <c r="D10" s="2885">
        <f>ROUND(D6*E10,0)</f>
        <v>0</v>
      </c>
      <c r="E10" s="2889"/>
      <c r="F10" s="2890" t="s">
        <v>2359</v>
      </c>
      <c r="G10" s="2869"/>
      <c r="H10" s="2844"/>
      <c r="I10" s="2845"/>
      <c r="J10" s="3754"/>
      <c r="K10" s="3756"/>
      <c r="L10" s="2879" t="s">
        <v>2360</v>
      </c>
      <c r="M10" s="2880"/>
      <c r="N10" s="2856"/>
      <c r="O10" s="2881"/>
      <c r="P10" s="2881"/>
      <c r="Q10" s="2882">
        <v>365</v>
      </c>
      <c r="R10" s="2883">
        <f t="shared" si="0"/>
        <v>0</v>
      </c>
      <c r="S10" s="2837"/>
      <c r="T10" s="2837"/>
      <c r="U10" s="2837"/>
      <c r="V10" s="2845"/>
    </row>
    <row r="11" spans="1:22" s="2849" customFormat="1" ht="13.15" customHeight="1">
      <c r="A11" s="2884">
        <v>3</v>
      </c>
      <c r="B11" s="3758" t="s">
        <v>2361</v>
      </c>
      <c r="C11" s="3759"/>
      <c r="D11" s="2885">
        <f>D12+D14+D15+D16</f>
        <v>0</v>
      </c>
      <c r="E11" s="2891" t="e">
        <f>D11/D6</f>
        <v>#DIV/0!</v>
      </c>
      <c r="F11" s="2887"/>
      <c r="G11" s="2888"/>
      <c r="H11" s="2844"/>
      <c r="I11" s="2845"/>
      <c r="J11" s="3754"/>
      <c r="K11" s="3756"/>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60" t="s">
        <v>2364</v>
      </c>
      <c r="C12" s="3761"/>
      <c r="D12" s="2893">
        <f>ROUND(D13*1.2%*(1-30%),0)</f>
        <v>0</v>
      </c>
      <c r="E12" s="2894">
        <v>1.2E-2</v>
      </c>
      <c r="F12" s="2887" t="s">
        <v>2365</v>
      </c>
      <c r="G12" s="2888"/>
      <c r="H12" s="2844"/>
      <c r="I12" s="2845"/>
      <c r="J12" s="3754"/>
      <c r="K12" s="3756"/>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54"/>
      <c r="K13" s="3756"/>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60" t="s">
        <v>2370</v>
      </c>
      <c r="C14" s="3761"/>
      <c r="D14" s="2893">
        <f>ROUND(E14*B5/10000,0)</f>
        <v>0</v>
      </c>
      <c r="E14" s="2882"/>
      <c r="F14" s="2887" t="s">
        <v>2371</v>
      </c>
      <c r="G14" s="2888"/>
      <c r="H14" s="2844"/>
      <c r="I14" s="2845"/>
      <c r="J14" s="3754"/>
      <c r="K14" s="3757"/>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60" t="s">
        <v>2374</v>
      </c>
      <c r="C15" s="3761"/>
      <c r="D15" s="2893">
        <f>ROUND(D6*E15,0)</f>
        <v>0</v>
      </c>
      <c r="E15" s="2894">
        <v>5.5E-2</v>
      </c>
      <c r="F15" s="2887" t="s">
        <v>2375</v>
      </c>
      <c r="G15" s="2869"/>
      <c r="H15" s="2844"/>
      <c r="I15" s="2845"/>
      <c r="J15" s="3754">
        <v>2</v>
      </c>
      <c r="K15" s="3755"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60" t="s">
        <v>2383</v>
      </c>
      <c r="C16" s="3761"/>
      <c r="D16" s="2904">
        <f>D6*E16</f>
        <v>0</v>
      </c>
      <c r="E16" s="2905"/>
      <c r="F16" s="2890" t="s">
        <v>2384</v>
      </c>
      <c r="G16" s="2869"/>
      <c r="H16" s="2844"/>
      <c r="I16" s="2845"/>
      <c r="J16" s="3754"/>
      <c r="K16" s="3756"/>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62" t="s">
        <v>2386</v>
      </c>
      <c r="C17" s="3763"/>
      <c r="D17" s="2907">
        <f>ROUND(D6*E17,0)</f>
        <v>0</v>
      </c>
      <c r="E17" s="2908"/>
      <c r="F17" s="2909" t="s">
        <v>2387</v>
      </c>
      <c r="G17" s="2869"/>
      <c r="H17" s="2844"/>
      <c r="I17" s="2845"/>
      <c r="J17" s="3754"/>
      <c r="K17" s="3756"/>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54"/>
      <c r="K18" s="3756"/>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54"/>
      <c r="K19" s="3757"/>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4">
        <v>3</v>
      </c>
      <c r="K20" s="3755"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54"/>
      <c r="K21" s="3756"/>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54"/>
      <c r="K22" s="3756"/>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54"/>
      <c r="K23" s="3756"/>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54"/>
      <c r="K24" s="3757"/>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64">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6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47" t="s">
        <v>2319</v>
      </c>
      <c r="K32" s="3748"/>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49" t="s">
        <v>2329</v>
      </c>
      <c r="K33" s="3750"/>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49" t="s">
        <v>2331</v>
      </c>
      <c r="K34" s="375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54">
        <v>1</v>
      </c>
      <c r="K36" s="3755"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54"/>
      <c r="K37" s="3756"/>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4"/>
      <c r="K38" s="3756"/>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54"/>
      <c r="K39" s="3756"/>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54"/>
      <c r="K40" s="3757"/>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4">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6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-9175</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-1915</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6" t="s">
        <v>1654</v>
      </c>
      <c r="C5" s="3767"/>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-9175</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8" t="s">
        <v>1667</v>
      </c>
      <c r="D4" s="3719"/>
      <c r="E4" s="3720" t="s">
        <v>1668</v>
      </c>
      <c r="F4" s="3721"/>
      <c r="G4" s="3718" t="s">
        <v>1669</v>
      </c>
      <c r="H4" s="3719"/>
      <c r="I4" s="3718" t="s">
        <v>1670</v>
      </c>
      <c r="J4" s="3719"/>
      <c r="K4" s="1885" t="s">
        <v>1671</v>
      </c>
      <c r="L4" s="2711"/>
      <c r="M4" s="2712"/>
      <c r="N4" s="2712"/>
      <c r="O4" s="2712"/>
      <c r="P4" s="3722" t="s">
        <v>1672</v>
      </c>
      <c r="Q4" s="3723"/>
      <c r="R4" s="3705" t="s">
        <v>1668</v>
      </c>
      <c r="S4" s="3706"/>
      <c r="T4" s="3705" t="s">
        <v>1669</v>
      </c>
      <c r="U4" s="3706"/>
      <c r="V4" s="3730" t="s">
        <v>1670</v>
      </c>
      <c r="W4" s="3730"/>
      <c r="X4" s="1351"/>
      <c r="Y4" s="3705" t="s">
        <v>1672</v>
      </c>
      <c r="Z4" s="3706"/>
      <c r="AA4" s="3700" t="s">
        <v>1668</v>
      </c>
      <c r="AB4" s="3700" t="s">
        <v>1669</v>
      </c>
      <c r="AC4" s="3700" t="s">
        <v>1670</v>
      </c>
    </row>
    <row r="5" spans="1:29" ht="15">
      <c r="A5" s="358"/>
      <c r="B5" s="359"/>
      <c r="C5" s="3711" t="s">
        <v>1673</v>
      </c>
      <c r="D5" s="3712"/>
      <c r="E5" s="3709" t="s">
        <v>1674</v>
      </c>
      <c r="F5" s="3710"/>
      <c r="G5" s="3711" t="s">
        <v>1675</v>
      </c>
      <c r="H5" s="3712"/>
      <c r="I5" s="3711" t="s">
        <v>1676</v>
      </c>
      <c r="J5" s="3712"/>
      <c r="K5" s="1886"/>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1886"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3" t="s">
        <v>1680</v>
      </c>
      <c r="Q7" s="3731"/>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73"/>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4" t="s">
        <v>1691</v>
      </c>
      <c r="Q15" s="1348" t="str">
        <f t="shared" si="6"/>
        <v>居住社区成熟度</v>
      </c>
      <c r="R15" s="705" t="s">
        <v>18</v>
      </c>
      <c r="S15" s="706">
        <f t="shared" si="0"/>
        <v>100</v>
      </c>
      <c r="T15" s="705" t="s">
        <v>18</v>
      </c>
      <c r="U15" s="706">
        <f t="shared" si="1"/>
        <v>100</v>
      </c>
      <c r="V15" s="705" t="s">
        <v>18</v>
      </c>
      <c r="W15" s="706">
        <f t="shared" si="2"/>
        <v>100</v>
      </c>
      <c r="X15" s="1351"/>
      <c r="Y15" s="373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5"/>
      <c r="Q16" s="1348"/>
      <c r="R16" s="705"/>
      <c r="S16" s="706"/>
      <c r="T16" s="705"/>
      <c r="U16" s="706"/>
      <c r="V16" s="705"/>
      <c r="W16" s="706"/>
      <c r="X16" s="1351"/>
      <c r="Y16" s="3733"/>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5"/>
      <c r="Q17" s="1348" t="str">
        <f>B17</f>
        <v>交通便捷度</v>
      </c>
      <c r="R17" s="705" t="s">
        <v>18</v>
      </c>
      <c r="S17" s="706">
        <f>F17</f>
        <v>100</v>
      </c>
      <c r="T17" s="705" t="s">
        <v>18</v>
      </c>
      <c r="U17" s="706">
        <f>H17</f>
        <v>100</v>
      </c>
      <c r="V17" s="705" t="s">
        <v>18</v>
      </c>
      <c r="W17" s="706">
        <f>J17</f>
        <v>100</v>
      </c>
      <c r="X17" s="1351"/>
      <c r="Y17" s="373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5"/>
      <c r="Q18" s="1348"/>
      <c r="R18" s="705"/>
      <c r="S18" s="706"/>
      <c r="T18" s="705"/>
      <c r="U18" s="706"/>
      <c r="V18" s="705"/>
      <c r="W18" s="706"/>
      <c r="X18" s="1351"/>
      <c r="Y18" s="3733"/>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5"/>
      <c r="Q19" s="1348" t="str">
        <f>B19</f>
        <v>公共配套设施</v>
      </c>
      <c r="R19" s="705" t="s">
        <v>18</v>
      </c>
      <c r="S19" s="706">
        <f>F19</f>
        <v>100</v>
      </c>
      <c r="T19" s="705" t="s">
        <v>18</v>
      </c>
      <c r="U19" s="706">
        <f>H19</f>
        <v>100</v>
      </c>
      <c r="V19" s="705" t="s">
        <v>18</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5"/>
      <c r="Q20" s="1348"/>
      <c r="R20" s="705"/>
      <c r="S20" s="706"/>
      <c r="T20" s="705"/>
      <c r="U20" s="706"/>
      <c r="V20" s="705"/>
      <c r="W20" s="706"/>
      <c r="X20" s="1351"/>
      <c r="Y20" s="3733"/>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5"/>
      <c r="Q22" s="1348"/>
      <c r="R22" s="705"/>
      <c r="S22" s="706"/>
      <c r="T22" s="705"/>
      <c r="U22" s="706"/>
      <c r="V22" s="705"/>
      <c r="W22" s="706"/>
      <c r="X22" s="1351"/>
      <c r="Y22" s="3733"/>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5"/>
      <c r="Q23" s="1348" t="str">
        <f>B23</f>
        <v>自然及人文环境</v>
      </c>
      <c r="R23" s="705" t="s">
        <v>18</v>
      </c>
      <c r="S23" s="706">
        <f>F23</f>
        <v>100</v>
      </c>
      <c r="T23" s="705" t="s">
        <v>18</v>
      </c>
      <c r="U23" s="706">
        <f>H23</f>
        <v>100</v>
      </c>
      <c r="V23" s="705" t="s">
        <v>18</v>
      </c>
      <c r="W23" s="706">
        <f>J23</f>
        <v>100</v>
      </c>
      <c r="X23" s="1351"/>
      <c r="Y23" s="373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5"/>
      <c r="Q24" s="1348"/>
      <c r="R24" s="705"/>
      <c r="S24" s="706"/>
      <c r="T24" s="705"/>
      <c r="U24" s="706"/>
      <c r="V24" s="705"/>
      <c r="W24" s="706"/>
      <c r="X24" s="1351"/>
      <c r="Y24" s="373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3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5"/>
      <c r="Q26" s="1348" t="str">
        <f t="shared" si="11"/>
        <v>朝向</v>
      </c>
      <c r="R26" s="705" t="s">
        <v>18</v>
      </c>
      <c r="S26" s="706">
        <f t="shared" si="12"/>
        <v>100</v>
      </c>
      <c r="T26" s="705" t="s">
        <v>18</v>
      </c>
      <c r="U26" s="706">
        <f t="shared" si="13"/>
        <v>100</v>
      </c>
      <c r="V26" s="705" t="s">
        <v>18</v>
      </c>
      <c r="W26" s="706">
        <f t="shared" si="14"/>
        <v>100</v>
      </c>
      <c r="X26" s="1351"/>
      <c r="Y26" s="373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5"/>
      <c r="Q27" s="1339">
        <f t="shared" si="11"/>
        <v>111</v>
      </c>
      <c r="R27" s="701" t="s">
        <v>18</v>
      </c>
      <c r="S27" s="702">
        <f t="shared" si="12"/>
        <v>100</v>
      </c>
      <c r="T27" s="701" t="s">
        <v>18</v>
      </c>
      <c r="U27" s="702">
        <f t="shared" si="13"/>
        <v>100</v>
      </c>
      <c r="V27" s="701" t="s">
        <v>18</v>
      </c>
      <c r="W27" s="702">
        <f t="shared" si="14"/>
        <v>100</v>
      </c>
      <c r="X27" s="703"/>
      <c r="Y27" s="373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5"/>
      <c r="Q28" s="1348">
        <f t="shared" si="11"/>
        <v>111</v>
      </c>
      <c r="R28" s="705" t="s">
        <v>18</v>
      </c>
      <c r="S28" s="706">
        <f t="shared" si="12"/>
        <v>100</v>
      </c>
      <c r="T28" s="705" t="s">
        <v>18</v>
      </c>
      <c r="U28" s="706">
        <f t="shared" si="13"/>
        <v>100</v>
      </c>
      <c r="V28" s="705" t="s">
        <v>18</v>
      </c>
      <c r="W28" s="706">
        <f t="shared" si="14"/>
        <v>100</v>
      </c>
      <c r="X28" s="1351"/>
      <c r="Y28" s="373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5"/>
      <c r="Q29" s="1348">
        <f t="shared" si="11"/>
        <v>111</v>
      </c>
      <c r="R29" s="705" t="s">
        <v>18</v>
      </c>
      <c r="S29" s="706">
        <f t="shared" si="12"/>
        <v>100</v>
      </c>
      <c r="T29" s="705" t="s">
        <v>18</v>
      </c>
      <c r="U29" s="706">
        <f t="shared" si="13"/>
        <v>100</v>
      </c>
      <c r="V29" s="705" t="s">
        <v>18</v>
      </c>
      <c r="W29" s="706">
        <f t="shared" si="14"/>
        <v>100</v>
      </c>
      <c r="X29" s="1351"/>
      <c r="Y29" s="373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5"/>
      <c r="Q30" s="1348">
        <f t="shared" si="11"/>
        <v>111</v>
      </c>
      <c r="R30" s="705" t="s">
        <v>18</v>
      </c>
      <c r="S30" s="706">
        <f t="shared" si="12"/>
        <v>100</v>
      </c>
      <c r="T30" s="705" t="s">
        <v>18</v>
      </c>
      <c r="U30" s="706">
        <f t="shared" si="13"/>
        <v>100</v>
      </c>
      <c r="V30" s="705" t="s">
        <v>18</v>
      </c>
      <c r="W30" s="706">
        <f t="shared" si="14"/>
        <v>100</v>
      </c>
      <c r="X30" s="1351"/>
      <c r="Y30" s="373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5"/>
      <c r="Q31" s="1348">
        <f t="shared" si="11"/>
        <v>111</v>
      </c>
      <c r="R31" s="705" t="s">
        <v>18</v>
      </c>
      <c r="S31" s="706">
        <f t="shared" si="12"/>
        <v>100</v>
      </c>
      <c r="T31" s="705" t="s">
        <v>18</v>
      </c>
      <c r="U31" s="706">
        <f t="shared" si="13"/>
        <v>100</v>
      </c>
      <c r="V31" s="705" t="s">
        <v>18</v>
      </c>
      <c r="W31" s="706">
        <f t="shared" si="14"/>
        <v>100</v>
      </c>
      <c r="X31" s="1351"/>
      <c r="Y31" s="373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70" t="s">
        <v>1696</v>
      </c>
      <c r="Q32" s="1348" t="str">
        <f t="shared" si="11"/>
        <v>建筑类型</v>
      </c>
      <c r="R32" s="705" t="s">
        <v>18</v>
      </c>
      <c r="S32" s="706">
        <f t="shared" si="12"/>
        <v>100</v>
      </c>
      <c r="T32" s="705" t="s">
        <v>18</v>
      </c>
      <c r="U32" s="706">
        <f t="shared" si="13"/>
        <v>100</v>
      </c>
      <c r="V32" s="705" t="s">
        <v>18</v>
      </c>
      <c r="W32" s="706">
        <f t="shared" si="14"/>
        <v>100</v>
      </c>
      <c r="X32" s="1351"/>
      <c r="Y32" s="373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71"/>
      <c r="Q33" s="707" t="str">
        <f t="shared" si="11"/>
        <v>项目建筑规模</v>
      </c>
      <c r="R33" s="708" t="s">
        <v>18</v>
      </c>
      <c r="S33" s="709" t="e">
        <f t="shared" si="12"/>
        <v>#N/A</v>
      </c>
      <c r="T33" s="708" t="s">
        <v>18</v>
      </c>
      <c r="U33" s="709" t="e">
        <f t="shared" si="13"/>
        <v>#N/A</v>
      </c>
      <c r="V33" s="708" t="s">
        <v>18</v>
      </c>
      <c r="W33" s="709" t="e">
        <f t="shared" si="14"/>
        <v>#N/A</v>
      </c>
      <c r="X33" s="710"/>
      <c r="Y33" s="3735"/>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71"/>
      <c r="Q34" s="1348" t="str">
        <f t="shared" si="11"/>
        <v>建筑结构</v>
      </c>
      <c r="R34" s="705" t="s">
        <v>18</v>
      </c>
      <c r="S34" s="706">
        <f t="shared" si="12"/>
        <v>100</v>
      </c>
      <c r="T34" s="705" t="s">
        <v>18</v>
      </c>
      <c r="U34" s="706">
        <f t="shared" si="13"/>
        <v>100</v>
      </c>
      <c r="V34" s="705" t="s">
        <v>18</v>
      </c>
      <c r="W34" s="706">
        <f t="shared" si="14"/>
        <v>100</v>
      </c>
      <c r="X34" s="1351"/>
      <c r="Y34" s="373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71"/>
      <c r="Q35" s="1348" t="str">
        <f t="shared" si="11"/>
        <v>建筑品质</v>
      </c>
      <c r="R35" s="705" t="s">
        <v>18</v>
      </c>
      <c r="S35" s="706">
        <f t="shared" si="12"/>
        <v>100</v>
      </c>
      <c r="T35" s="705" t="s">
        <v>18</v>
      </c>
      <c r="U35" s="706">
        <f t="shared" si="13"/>
        <v>100</v>
      </c>
      <c r="V35" s="705" t="s">
        <v>18</v>
      </c>
      <c r="W35" s="706">
        <f t="shared" si="14"/>
        <v>100</v>
      </c>
      <c r="X35" s="1351"/>
      <c r="Y35" s="373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71"/>
      <c r="Q36" s="1348" t="str">
        <f t="shared" si="11"/>
        <v>公共部分装修</v>
      </c>
      <c r="R36" s="705" t="s">
        <v>18</v>
      </c>
      <c r="S36" s="706">
        <f t="shared" si="12"/>
        <v>100</v>
      </c>
      <c r="T36" s="705" t="s">
        <v>18</v>
      </c>
      <c r="U36" s="706">
        <f t="shared" si="13"/>
        <v>100</v>
      </c>
      <c r="V36" s="705" t="s">
        <v>18</v>
      </c>
      <c r="W36" s="706">
        <f t="shared" si="14"/>
        <v>100</v>
      </c>
      <c r="X36" s="1351"/>
      <c r="Y36" s="373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1"/>
      <c r="Q37" s="1339" t="str">
        <f t="shared" si="11"/>
        <v>成新度</v>
      </c>
      <c r="R37" s="701" t="s">
        <v>18</v>
      </c>
      <c r="S37" s="702" t="e">
        <f t="shared" si="12"/>
        <v>#N/A</v>
      </c>
      <c r="T37" s="701" t="s">
        <v>18</v>
      </c>
      <c r="U37" s="702" t="e">
        <f t="shared" si="13"/>
        <v>#N/A</v>
      </c>
      <c r="V37" s="701" t="s">
        <v>18</v>
      </c>
      <c r="W37" s="702" t="e">
        <f t="shared" si="14"/>
        <v>#N/A</v>
      </c>
      <c r="X37" s="703"/>
      <c r="Y37" s="3735"/>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71" t="s">
        <v>1696</v>
      </c>
      <c r="Q38" s="1348" t="str">
        <f t="shared" si="11"/>
        <v>物业管理</v>
      </c>
      <c r="R38" s="705" t="s">
        <v>18</v>
      </c>
      <c r="S38" s="706">
        <f t="shared" si="12"/>
        <v>100</v>
      </c>
      <c r="T38" s="705" t="s">
        <v>18</v>
      </c>
      <c r="U38" s="706">
        <f t="shared" si="13"/>
        <v>100</v>
      </c>
      <c r="V38" s="705" t="s">
        <v>18</v>
      </c>
      <c r="W38" s="706">
        <f t="shared" si="14"/>
        <v>100</v>
      </c>
      <c r="X38" s="1351"/>
      <c r="Y38" s="373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71"/>
      <c r="Q39" s="1348" t="str">
        <f t="shared" si="11"/>
        <v>市政基础设施</v>
      </c>
      <c r="R39" s="705" t="s">
        <v>18</v>
      </c>
      <c r="S39" s="706">
        <f t="shared" si="12"/>
        <v>100</v>
      </c>
      <c r="T39" s="705" t="s">
        <v>18</v>
      </c>
      <c r="U39" s="706">
        <f t="shared" si="13"/>
        <v>100</v>
      </c>
      <c r="V39" s="705" t="s">
        <v>18</v>
      </c>
      <c r="W39" s="706">
        <f t="shared" si="14"/>
        <v>100</v>
      </c>
      <c r="X39" s="1351"/>
      <c r="Y39" s="373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71"/>
      <c r="Q40" s="1348" t="str">
        <f t="shared" si="11"/>
        <v>房型</v>
      </c>
      <c r="R40" s="705" t="s">
        <v>18</v>
      </c>
      <c r="S40" s="706">
        <f t="shared" si="12"/>
        <v>100</v>
      </c>
      <c r="T40" s="705" t="s">
        <v>18</v>
      </c>
      <c r="U40" s="706">
        <f t="shared" si="13"/>
        <v>100</v>
      </c>
      <c r="V40" s="705" t="s">
        <v>18</v>
      </c>
      <c r="W40" s="706">
        <f t="shared" si="14"/>
        <v>100</v>
      </c>
      <c r="X40" s="1351"/>
      <c r="Y40" s="373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71"/>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71"/>
      <c r="Q42" s="1348" t="str">
        <f t="shared" si="11"/>
        <v>内部装修</v>
      </c>
      <c r="R42" s="705" t="s">
        <v>18</v>
      </c>
      <c r="S42" s="706">
        <f t="shared" si="12"/>
        <v>100</v>
      </c>
      <c r="T42" s="705" t="s">
        <v>18</v>
      </c>
      <c r="U42" s="706">
        <f t="shared" si="13"/>
        <v>100</v>
      </c>
      <c r="V42" s="705" t="s">
        <v>18</v>
      </c>
      <c r="W42" s="706">
        <f t="shared" si="14"/>
        <v>100</v>
      </c>
      <c r="X42" s="1351"/>
      <c r="Y42" s="373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71"/>
      <c r="Q43" s="1348" t="str">
        <f t="shared" si="11"/>
        <v>内部装修维护情况</v>
      </c>
      <c r="R43" s="705" t="s">
        <v>18</v>
      </c>
      <c r="S43" s="706">
        <f t="shared" si="12"/>
        <v>100</v>
      </c>
      <c r="T43" s="705" t="s">
        <v>18</v>
      </c>
      <c r="U43" s="706">
        <f t="shared" si="13"/>
        <v>100</v>
      </c>
      <c r="V43" s="705" t="s">
        <v>18</v>
      </c>
      <c r="W43" s="706">
        <f t="shared" si="14"/>
        <v>100</v>
      </c>
      <c r="X43" s="1351"/>
      <c r="Y43" s="373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71"/>
      <c r="Q44" s="1339">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71"/>
      <c r="Q45" s="1348">
        <f t="shared" si="11"/>
        <v>111</v>
      </c>
      <c r="R45" s="705" t="s">
        <v>18</v>
      </c>
      <c r="S45" s="706">
        <f t="shared" si="12"/>
        <v>100</v>
      </c>
      <c r="T45" s="705" t="s">
        <v>18</v>
      </c>
      <c r="U45" s="706">
        <f t="shared" si="13"/>
        <v>100</v>
      </c>
      <c r="V45" s="705" t="s">
        <v>18</v>
      </c>
      <c r="W45" s="706">
        <f t="shared" si="14"/>
        <v>100</v>
      </c>
      <c r="X45" s="1351"/>
      <c r="Y45" s="373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72"/>
      <c r="Q46" s="1348">
        <f t="shared" si="11"/>
        <v>111</v>
      </c>
      <c r="R46" s="705" t="s">
        <v>17</v>
      </c>
      <c r="S46" s="706">
        <f t="shared" si="12"/>
        <v>100</v>
      </c>
      <c r="T46" s="705" t="s">
        <v>17</v>
      </c>
      <c r="U46" s="706">
        <f t="shared" si="13"/>
        <v>100</v>
      </c>
      <c r="V46" s="705" t="s">
        <v>17</v>
      </c>
      <c r="W46" s="706">
        <f t="shared" si="14"/>
        <v>100</v>
      </c>
      <c r="X46" s="1351"/>
      <c r="Y46" s="3773"/>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7" t="str">
        <f>A47</f>
        <v>成交单价（元/平方米）</v>
      </c>
      <c r="Q47" s="3717"/>
      <c r="R47" s="3769">
        <f>E47</f>
        <v>0</v>
      </c>
      <c r="S47" s="3769"/>
      <c r="T47" s="3769">
        <f>G47</f>
        <v>0</v>
      </c>
      <c r="U47" s="3769"/>
      <c r="V47" s="3769">
        <f>I47</f>
        <v>0</v>
      </c>
      <c r="W47" s="3769"/>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7" t="str">
        <f>A48</f>
        <v>比较价值（元/平方米）</v>
      </c>
      <c r="Q48" s="3717"/>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37" t="str">
        <f>A49</f>
        <v>估价对象XX用房的比较价值（楼面单价，元/平方米）</v>
      </c>
      <c r="Q49" s="3738"/>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19" sqref="N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358238</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22558</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84" t="s">
        <v>1775</v>
      </c>
      <c r="Q4" s="3785"/>
      <c r="R4" s="3777" t="s">
        <v>1771</v>
      </c>
      <c r="S4" s="3778"/>
      <c r="T4" s="3777" t="s">
        <v>1772</v>
      </c>
      <c r="U4" s="3778"/>
      <c r="V4" s="3788" t="s">
        <v>1773</v>
      </c>
      <c r="W4" s="3788"/>
      <c r="X4" s="1954"/>
      <c r="Y4" s="3777" t="s">
        <v>1775</v>
      </c>
      <c r="Z4" s="3778"/>
      <c r="AA4" s="3776" t="s">
        <v>1771</v>
      </c>
      <c r="AB4" s="3776" t="s">
        <v>1772</v>
      </c>
      <c r="AC4" s="3781" t="s">
        <v>1773</v>
      </c>
    </row>
    <row r="5" spans="1:29" ht="15">
      <c r="A5" s="358"/>
      <c r="B5" s="359"/>
      <c r="C5" s="3711" t="s">
        <v>1673</v>
      </c>
      <c r="D5" s="3712"/>
      <c r="E5" s="3779" t="s">
        <v>3942</v>
      </c>
      <c r="F5" s="3710"/>
      <c r="G5" s="3780" t="s">
        <v>3953</v>
      </c>
      <c r="H5" s="3712"/>
      <c r="I5" s="3780" t="s">
        <v>3950</v>
      </c>
      <c r="J5" s="3712"/>
      <c r="K5" s="559"/>
      <c r="L5" s="2711"/>
      <c r="M5" s="2712"/>
      <c r="N5" s="2712"/>
      <c r="O5" s="2712"/>
      <c r="P5" s="3786"/>
      <c r="Q5" s="3725"/>
      <c r="R5" s="3707"/>
      <c r="S5" s="3708"/>
      <c r="T5" s="3707"/>
      <c r="U5" s="3708"/>
      <c r="V5" s="3730"/>
      <c r="W5" s="3730"/>
      <c r="X5" s="1351"/>
      <c r="Y5" s="3707"/>
      <c r="Z5" s="3708"/>
      <c r="AA5" s="3701"/>
      <c r="AB5" s="3701"/>
      <c r="AC5" s="3782"/>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87"/>
      <c r="Q6" s="3727"/>
      <c r="R6" s="3707"/>
      <c r="S6" s="3708"/>
      <c r="T6" s="3728"/>
      <c r="U6" s="3729"/>
      <c r="V6" s="3730"/>
      <c r="W6" s="3730"/>
      <c r="X6" s="1351"/>
      <c r="Y6" s="3728"/>
      <c r="Z6" s="3729"/>
      <c r="AA6" s="3702"/>
      <c r="AB6" s="3702"/>
      <c r="AC6" s="3783"/>
    </row>
    <row r="7" spans="1:29" s="108" customFormat="1" ht="15.75" thickBot="1">
      <c r="A7" s="362" t="s">
        <v>1679</v>
      </c>
      <c r="B7" s="363"/>
      <c r="C7" s="364">
        <f>'数据-取费表'!B2</f>
        <v>45005</v>
      </c>
      <c r="D7" s="365">
        <v>100</v>
      </c>
      <c r="E7" s="366">
        <f>C7</f>
        <v>45005</v>
      </c>
      <c r="F7" s="367">
        <f>SUMIF(59:59,YEAR(E7)&amp;"-"&amp;MONTH(E7),60:60)</f>
        <v>100</v>
      </c>
      <c r="G7" s="366">
        <f>C7</f>
        <v>45005</v>
      </c>
      <c r="H7" s="365">
        <f>SUMIF(59:59,YEAR(G7)&amp;"-"&amp;MONTH(G7),60:60)</f>
        <v>100</v>
      </c>
      <c r="I7" s="366">
        <f>C7</f>
        <v>45005</v>
      </c>
      <c r="J7" s="365">
        <f>SUMIF(59:59,YEAR(I7)&amp;"-"&amp;MONTH(I7),60:60)</f>
        <v>100</v>
      </c>
      <c r="K7" s="560"/>
      <c r="L7" s="2713"/>
      <c r="M7" s="2714"/>
      <c r="N7" s="2714"/>
      <c r="O7" s="2714"/>
      <c r="P7" s="3789" t="s">
        <v>1680</v>
      </c>
      <c r="Q7" s="3731"/>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1955">
        <f>D7/J7</f>
        <v>1</v>
      </c>
    </row>
    <row r="8" spans="1:29" s="108" customFormat="1" ht="15.75" thickBot="1">
      <c r="A8" s="362" t="s">
        <v>1681</v>
      </c>
      <c r="B8" s="363"/>
      <c r="C8" s="368" t="s">
        <v>3943</v>
      </c>
      <c r="D8" s="365">
        <v>100</v>
      </c>
      <c r="E8" s="368" t="s">
        <v>3943</v>
      </c>
      <c r="F8" s="367">
        <f>SUMIF(62:62,E8,63:63)-SUMIF(62:62,C8,63:63)+100</f>
        <v>100</v>
      </c>
      <c r="G8" s="3484" t="s">
        <v>3944</v>
      </c>
      <c r="H8" s="365">
        <f>SUMIF(62:62,G8,63:63)-SUMIF(62:62,C8,63:63)+100</f>
        <v>100</v>
      </c>
      <c r="I8" s="3484" t="s">
        <v>3944</v>
      </c>
      <c r="J8" s="365">
        <f>SUMIF(62:62,I8,63:63)-SUMIF(62:62,C8,63:63)+100</f>
        <v>100</v>
      </c>
      <c r="K8" s="560"/>
      <c r="L8" s="2713"/>
      <c r="M8" s="2714"/>
      <c r="N8" s="2714"/>
      <c r="O8" s="2714"/>
      <c r="P8" s="3789"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1955">
        <f t="shared" si="5"/>
        <v>1</v>
      </c>
    </row>
    <row r="10" spans="1:29" s="378" customFormat="1" ht="27">
      <c r="A10" s="374"/>
      <c r="B10" s="375" t="s">
        <v>1688</v>
      </c>
      <c r="C10" s="3430" t="s">
        <v>3945</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1955">
        <f t="shared" si="5"/>
        <v>1</v>
      </c>
    </row>
    <row r="11" spans="1:29" ht="15">
      <c r="A11" s="379"/>
      <c r="B11" s="375" t="s">
        <v>1689</v>
      </c>
      <c r="C11" s="380">
        <f>'数据-汇总表'!I6</f>
        <v>11.11</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41"/>
      <c r="Q11" s="1339" t="str">
        <f t="shared" si="6"/>
        <v>容积率</v>
      </c>
      <c r="R11" s="701" t="s">
        <v>14</v>
      </c>
      <c r="S11" s="702">
        <f t="shared" si="0"/>
        <v>102</v>
      </c>
      <c r="T11" s="701" t="s">
        <v>14</v>
      </c>
      <c r="U11" s="702">
        <f t="shared" si="1"/>
        <v>106</v>
      </c>
      <c r="V11" s="701" t="s">
        <v>14</v>
      </c>
      <c r="W11" s="702">
        <f t="shared" si="2"/>
        <v>104</v>
      </c>
      <c r="X11" s="703"/>
      <c r="Y11" s="3673"/>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95</v>
      </c>
      <c r="K15" s="563">
        <v>5</v>
      </c>
      <c r="L15" s="2718"/>
      <c r="M15" s="2712"/>
      <c r="N15" s="2712"/>
      <c r="O15" s="2712"/>
      <c r="P15" s="3774" t="s">
        <v>1691</v>
      </c>
      <c r="Q15" s="1348" t="str">
        <f t="shared" si="6"/>
        <v>办公集聚程度</v>
      </c>
      <c r="R15" s="705" t="s">
        <v>14</v>
      </c>
      <c r="S15" s="706">
        <f t="shared" si="0"/>
        <v>100</v>
      </c>
      <c r="T15" s="705" t="s">
        <v>14</v>
      </c>
      <c r="U15" s="706">
        <f t="shared" si="1"/>
        <v>95</v>
      </c>
      <c r="V15" s="705" t="s">
        <v>14</v>
      </c>
      <c r="W15" s="706">
        <f t="shared" si="2"/>
        <v>95</v>
      </c>
      <c r="X15" s="1351"/>
      <c r="Y15" s="3732" t="s">
        <v>1691</v>
      </c>
      <c r="Z15" s="1352" t="str">
        <f t="shared" si="7"/>
        <v>办公集聚程度</v>
      </c>
      <c r="AA15" s="1349">
        <f t="shared" si="3"/>
        <v>1</v>
      </c>
      <c r="AB15" s="1349">
        <f t="shared" si="4"/>
        <v>1.0526315789473684</v>
      </c>
      <c r="AC15" s="1958">
        <f t="shared" si="5"/>
        <v>1.0526315789473684</v>
      </c>
    </row>
    <row r="16" spans="1:29" ht="15">
      <c r="A16" s="379"/>
      <c r="B16" s="578"/>
      <c r="C16" s="3492" t="s">
        <v>3946</v>
      </c>
      <c r="D16" s="399"/>
      <c r="E16" s="3487" t="s">
        <v>3946</v>
      </c>
      <c r="F16" s="399"/>
      <c r="G16" s="3492" t="s">
        <v>3948</v>
      </c>
      <c r="H16" s="401"/>
      <c r="I16" s="3487" t="s">
        <v>3926</v>
      </c>
      <c r="J16" s="399"/>
      <c r="K16" s="564"/>
      <c r="L16" s="2718"/>
      <c r="M16" s="2712"/>
      <c r="N16" s="2712"/>
      <c r="O16" s="2712"/>
      <c r="P16" s="3775"/>
      <c r="Q16" s="1348"/>
      <c r="R16" s="705"/>
      <c r="S16" s="706"/>
      <c r="T16" s="705"/>
      <c r="U16" s="706"/>
      <c r="V16" s="705"/>
      <c r="W16" s="706"/>
      <c r="X16" s="1351"/>
      <c r="Y16" s="3733"/>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95</v>
      </c>
      <c r="I17" s="403"/>
      <c r="J17" s="406">
        <f>SUMIF(79:79,I18,80:80)-SUMIF(79:79,C18,80:80)+100</f>
        <v>95</v>
      </c>
      <c r="K17" s="563">
        <v>5</v>
      </c>
      <c r="L17" s="2718"/>
      <c r="M17" s="2712"/>
      <c r="N17" s="2712"/>
      <c r="O17" s="2712"/>
      <c r="P17" s="3775"/>
      <c r="Q17" s="1348" t="str">
        <f>B17</f>
        <v>交通便捷度</v>
      </c>
      <c r="R17" s="705" t="s">
        <v>14</v>
      </c>
      <c r="S17" s="706">
        <f>F17</f>
        <v>100</v>
      </c>
      <c r="T17" s="705" t="s">
        <v>14</v>
      </c>
      <c r="U17" s="706">
        <f>H17</f>
        <v>95</v>
      </c>
      <c r="V17" s="705" t="s">
        <v>14</v>
      </c>
      <c r="W17" s="706">
        <f>J17</f>
        <v>95</v>
      </c>
      <c r="X17" s="1351"/>
      <c r="Y17" s="3733"/>
      <c r="Z17" s="1352" t="str">
        <f>Q17</f>
        <v>交通便捷度</v>
      </c>
      <c r="AA17" s="1349">
        <f t="shared" si="3"/>
        <v>1</v>
      </c>
      <c r="AB17" s="1349">
        <f t="shared" si="4"/>
        <v>1.0526315789473684</v>
      </c>
      <c r="AC17" s="1958">
        <f t="shared" si="5"/>
        <v>1.0526315789473684</v>
      </c>
    </row>
    <row r="18" spans="1:29" ht="15">
      <c r="A18" s="379"/>
      <c r="B18" s="580"/>
      <c r="C18" s="3497" t="s">
        <v>3947</v>
      </c>
      <c r="D18" s="401"/>
      <c r="E18" s="3498" t="s">
        <v>3948</v>
      </c>
      <c r="F18" s="401"/>
      <c r="G18" s="3499" t="s">
        <v>3949</v>
      </c>
      <c r="H18" s="399"/>
      <c r="I18" s="3499" t="s">
        <v>3949</v>
      </c>
      <c r="J18" s="399"/>
      <c r="K18" s="564"/>
      <c r="L18" s="2718"/>
      <c r="M18" s="2712"/>
      <c r="N18" s="2712"/>
      <c r="O18" s="2712"/>
      <c r="P18" s="3775"/>
      <c r="Q18" s="1348"/>
      <c r="R18" s="705"/>
      <c r="S18" s="706"/>
      <c r="T18" s="705"/>
      <c r="U18" s="706"/>
      <c r="V18" s="705"/>
      <c r="W18" s="706"/>
      <c r="X18" s="1351"/>
      <c r="Y18" s="3733"/>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5"/>
      <c r="Q20" s="1348"/>
      <c r="R20" s="705"/>
      <c r="S20" s="706"/>
      <c r="T20" s="705"/>
      <c r="U20" s="706"/>
      <c r="V20" s="705"/>
      <c r="W20" s="706"/>
      <c r="X20" s="1351"/>
      <c r="Y20" s="3733"/>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5"/>
      <c r="Q22" s="1348"/>
      <c r="R22" s="705"/>
      <c r="S22" s="706"/>
      <c r="T22" s="705"/>
      <c r="U22" s="706"/>
      <c r="V22" s="705"/>
      <c r="W22" s="706"/>
      <c r="X22" s="1351"/>
      <c r="Y22" s="3733"/>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5"/>
      <c r="Q23" s="1348" t="str">
        <f>B23</f>
        <v>环境质量</v>
      </c>
      <c r="R23" s="705" t="s">
        <v>14</v>
      </c>
      <c r="S23" s="706">
        <f>F23</f>
        <v>100</v>
      </c>
      <c r="T23" s="705" t="s">
        <v>14</v>
      </c>
      <c r="U23" s="706">
        <f>H23</f>
        <v>100</v>
      </c>
      <c r="V23" s="705" t="s">
        <v>14</v>
      </c>
      <c r="W23" s="706">
        <f>J23</f>
        <v>100</v>
      </c>
      <c r="X23" s="1351"/>
      <c r="Y23" s="3733"/>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5"/>
      <c r="Q24" s="1348"/>
      <c r="R24" s="705"/>
      <c r="S24" s="706"/>
      <c r="T24" s="705"/>
      <c r="U24" s="706"/>
      <c r="V24" s="705"/>
      <c r="W24" s="706"/>
      <c r="X24" s="1351"/>
      <c r="Y24" s="3733"/>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5"/>
      <c r="Q25" s="1348" t="str">
        <f>B25</f>
        <v>毗邻道路的类型与等级</v>
      </c>
      <c r="R25" s="705" t="s">
        <v>14</v>
      </c>
      <c r="S25" s="706">
        <f>F25</f>
        <v>100</v>
      </c>
      <c r="T25" s="705" t="s">
        <v>14</v>
      </c>
      <c r="U25" s="706">
        <f>H25</f>
        <v>100</v>
      </c>
      <c r="V25" s="705" t="s">
        <v>14</v>
      </c>
      <c r="W25" s="706">
        <f>J25</f>
        <v>100</v>
      </c>
      <c r="X25" s="1351"/>
      <c r="Y25" s="373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5"/>
      <c r="Q26" s="1348"/>
      <c r="R26" s="705"/>
      <c r="S26" s="706"/>
      <c r="T26" s="705"/>
      <c r="U26" s="706"/>
      <c r="V26" s="705"/>
      <c r="W26" s="706"/>
      <c r="X26" s="1351"/>
      <c r="Y26" s="3733"/>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5"/>
      <c r="Q27" s="1348" t="str">
        <f t="shared" ref="Q27:Q47" si="11">B27</f>
        <v>楼层</v>
      </c>
      <c r="R27" s="705" t="s">
        <v>14</v>
      </c>
      <c r="S27" s="706">
        <f>F27</f>
        <v>100</v>
      </c>
      <c r="T27" s="705" t="s">
        <v>14</v>
      </c>
      <c r="U27" s="706">
        <f>H27</f>
        <v>100</v>
      </c>
      <c r="V27" s="705" t="s">
        <v>14</v>
      </c>
      <c r="W27" s="706">
        <f>J27</f>
        <v>100</v>
      </c>
      <c r="X27" s="1351"/>
      <c r="Y27" s="3733"/>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5"/>
      <c r="Q28" s="1339" t="str">
        <f t="shared" si="11"/>
        <v>朝向</v>
      </c>
      <c r="R28" s="701" t="s">
        <v>14</v>
      </c>
      <c r="S28" s="702">
        <f>F28</f>
        <v>100</v>
      </c>
      <c r="T28" s="701" t="s">
        <v>14</v>
      </c>
      <c r="U28" s="702">
        <f>H28</f>
        <v>100</v>
      </c>
      <c r="V28" s="701" t="s">
        <v>14</v>
      </c>
      <c r="W28" s="702">
        <f>J28</f>
        <v>100</v>
      </c>
      <c r="X28" s="703"/>
      <c r="Y28" s="373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5"/>
      <c r="Q29" s="1348">
        <f t="shared" si="11"/>
        <v>111</v>
      </c>
      <c r="R29" s="705" t="s">
        <v>14</v>
      </c>
      <c r="S29" s="706">
        <f t="shared" ref="S29:S47" si="12">F29</f>
        <v>100</v>
      </c>
      <c r="T29" s="705" t="s">
        <v>14</v>
      </c>
      <c r="U29" s="706">
        <f t="shared" ref="U29:U47" si="13">H29</f>
        <v>100</v>
      </c>
      <c r="V29" s="705" t="s">
        <v>14</v>
      </c>
      <c r="W29" s="706">
        <f t="shared" ref="W29:W47" si="14">J29</f>
        <v>100</v>
      </c>
      <c r="X29" s="1351"/>
      <c r="Y29" s="373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3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33"/>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5"/>
      <c r="Q32" s="1348">
        <f t="shared" si="11"/>
        <v>111</v>
      </c>
      <c r="R32" s="705" t="s">
        <v>14</v>
      </c>
      <c r="S32" s="706">
        <f t="shared" si="12"/>
        <v>100</v>
      </c>
      <c r="T32" s="705" t="s">
        <v>14</v>
      </c>
      <c r="U32" s="706">
        <f t="shared" si="13"/>
        <v>100</v>
      </c>
      <c r="V32" s="705" t="s">
        <v>14</v>
      </c>
      <c r="W32" s="706">
        <f t="shared" si="14"/>
        <v>100</v>
      </c>
      <c r="X32" s="1351"/>
      <c r="Y32" s="3733"/>
      <c r="Z32" s="1352">
        <f t="shared" si="15"/>
        <v>111</v>
      </c>
      <c r="AA32" s="1349">
        <f t="shared" si="3"/>
        <v>1</v>
      </c>
      <c r="AB32" s="1349">
        <f t="shared" si="4"/>
        <v>1</v>
      </c>
      <c r="AC32" s="1958">
        <f t="shared" si="5"/>
        <v>1</v>
      </c>
    </row>
    <row r="33" spans="1:29" ht="15">
      <c r="A33" s="391" t="s">
        <v>1694</v>
      </c>
      <c r="B33" s="63" t="s">
        <v>1817</v>
      </c>
      <c r="C33" s="3507" t="s">
        <v>3991</v>
      </c>
      <c r="D33" s="418">
        <v>100</v>
      </c>
      <c r="E33" s="3507" t="s">
        <v>3992</v>
      </c>
      <c r="F33" s="412">
        <f>SUMIF(101:101,E33,102:102)-SUMIF(101:101,C33,102:102)+100</f>
        <v>90</v>
      </c>
      <c r="G33" s="3507" t="s">
        <v>3993</v>
      </c>
      <c r="H33" s="386">
        <f>SUMIF(101:101,G33,102:102)-SUMIF(101:101,C33,102:102)+100</f>
        <v>90</v>
      </c>
      <c r="I33" s="3507" t="s">
        <v>3992</v>
      </c>
      <c r="J33" s="418">
        <f>SUMIF(101:101,I33,102:102)-SUMIF(101:101,C33,102:102)+100</f>
        <v>90</v>
      </c>
      <c r="K33" s="561">
        <v>10</v>
      </c>
      <c r="L33" s="2718"/>
      <c r="M33" s="2712"/>
      <c r="N33" s="2712"/>
      <c r="O33" s="2712"/>
      <c r="P33" s="3770" t="s">
        <v>1696</v>
      </c>
      <c r="Q33" s="1348" t="str">
        <f t="shared" si="11"/>
        <v>建筑类型</v>
      </c>
      <c r="R33" s="705" t="s">
        <v>14</v>
      </c>
      <c r="S33" s="706">
        <f t="shared" si="12"/>
        <v>90</v>
      </c>
      <c r="T33" s="705" t="s">
        <v>14</v>
      </c>
      <c r="U33" s="706">
        <f t="shared" si="13"/>
        <v>90</v>
      </c>
      <c r="V33" s="705" t="s">
        <v>14</v>
      </c>
      <c r="W33" s="706">
        <f t="shared" si="14"/>
        <v>90</v>
      </c>
      <c r="X33" s="1351"/>
      <c r="Y33" s="3735"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71"/>
      <c r="Q34" s="707" t="str">
        <f t="shared" si="11"/>
        <v>项目建筑规模</v>
      </c>
      <c r="R34" s="708" t="s">
        <v>14</v>
      </c>
      <c r="S34" s="709">
        <f t="shared" si="12"/>
        <v>97</v>
      </c>
      <c r="T34" s="708" t="s">
        <v>14</v>
      </c>
      <c r="U34" s="709">
        <f t="shared" si="13"/>
        <v>100</v>
      </c>
      <c r="V34" s="708" t="s">
        <v>14</v>
      </c>
      <c r="W34" s="709">
        <f t="shared" si="14"/>
        <v>99</v>
      </c>
      <c r="X34" s="710"/>
      <c r="Y34" s="3735"/>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1"/>
      <c r="Q35" s="1348" t="str">
        <f t="shared" si="11"/>
        <v>建筑结构</v>
      </c>
      <c r="R35" s="705" t="s">
        <v>14</v>
      </c>
      <c r="S35" s="706">
        <f t="shared" si="12"/>
        <v>100</v>
      </c>
      <c r="T35" s="705" t="s">
        <v>14</v>
      </c>
      <c r="U35" s="706">
        <f t="shared" si="13"/>
        <v>100</v>
      </c>
      <c r="V35" s="705" t="s">
        <v>14</v>
      </c>
      <c r="W35" s="706">
        <f t="shared" si="14"/>
        <v>100</v>
      </c>
      <c r="X35" s="1351"/>
      <c r="Y35" s="373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1"/>
      <c r="Q36" s="1348" t="str">
        <f t="shared" si="11"/>
        <v>公共部分装修</v>
      </c>
      <c r="R36" s="705" t="s">
        <v>14</v>
      </c>
      <c r="S36" s="706">
        <f t="shared" si="12"/>
        <v>100</v>
      </c>
      <c r="T36" s="705" t="s">
        <v>14</v>
      </c>
      <c r="U36" s="706">
        <f t="shared" si="13"/>
        <v>100</v>
      </c>
      <c r="V36" s="705" t="s">
        <v>14</v>
      </c>
      <c r="W36" s="706">
        <f t="shared" si="14"/>
        <v>100</v>
      </c>
      <c r="X36" s="1351"/>
      <c r="Y36" s="3735"/>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71"/>
      <c r="Q37" s="1348" t="str">
        <f t="shared" si="11"/>
        <v>成新度</v>
      </c>
      <c r="R37" s="705" t="s">
        <v>14</v>
      </c>
      <c r="S37" s="706">
        <f t="shared" si="12"/>
        <v>100</v>
      </c>
      <c r="T37" s="705" t="s">
        <v>14</v>
      </c>
      <c r="U37" s="706">
        <f t="shared" si="13"/>
        <v>100</v>
      </c>
      <c r="V37" s="705" t="s">
        <v>14</v>
      </c>
      <c r="W37" s="706">
        <f t="shared" si="14"/>
        <v>100</v>
      </c>
      <c r="X37" s="1351"/>
      <c r="Y37" s="3735"/>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1"/>
      <c r="Q38" s="1339"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1" t="s">
        <v>1696</v>
      </c>
      <c r="Q39" s="1348" t="str">
        <f t="shared" si="11"/>
        <v>物业管理</v>
      </c>
      <c r="R39" s="705" t="s">
        <v>14</v>
      </c>
      <c r="S39" s="706">
        <f t="shared" si="12"/>
        <v>100</v>
      </c>
      <c r="T39" s="705" t="s">
        <v>14</v>
      </c>
      <c r="U39" s="706">
        <f t="shared" si="13"/>
        <v>100</v>
      </c>
      <c r="V39" s="705" t="s">
        <v>14</v>
      </c>
      <c r="W39" s="706">
        <f t="shared" si="14"/>
        <v>100</v>
      </c>
      <c r="X39" s="1351"/>
      <c r="Y39" s="373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1"/>
      <c r="Q40" s="1348" t="str">
        <f t="shared" si="11"/>
        <v>市政基础设施</v>
      </c>
      <c r="R40" s="705" t="s">
        <v>14</v>
      </c>
      <c r="S40" s="706">
        <f t="shared" si="12"/>
        <v>100</v>
      </c>
      <c r="T40" s="705" t="s">
        <v>14</v>
      </c>
      <c r="U40" s="706">
        <f t="shared" si="13"/>
        <v>100</v>
      </c>
      <c r="V40" s="705" t="s">
        <v>14</v>
      </c>
      <c r="W40" s="706">
        <f t="shared" si="14"/>
        <v>100</v>
      </c>
      <c r="X40" s="1351"/>
      <c r="Y40" s="373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1"/>
      <c r="Q41" s="1348" t="str">
        <f t="shared" si="11"/>
        <v>层高</v>
      </c>
      <c r="R41" s="705" t="s">
        <v>14</v>
      </c>
      <c r="S41" s="706">
        <f t="shared" si="12"/>
        <v>100</v>
      </c>
      <c r="T41" s="705" t="s">
        <v>14</v>
      </c>
      <c r="U41" s="706">
        <f t="shared" si="13"/>
        <v>100</v>
      </c>
      <c r="V41" s="705" t="s">
        <v>14</v>
      </c>
      <c r="W41" s="706">
        <f t="shared" si="14"/>
        <v>100</v>
      </c>
      <c r="X41" s="1351"/>
      <c r="Y41" s="373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1"/>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1"/>
      <c r="Q43" s="1348" t="str">
        <f t="shared" si="11"/>
        <v>内部装修</v>
      </c>
      <c r="R43" s="705" t="s">
        <v>14</v>
      </c>
      <c r="S43" s="706">
        <f t="shared" si="12"/>
        <v>100</v>
      </c>
      <c r="T43" s="705" t="s">
        <v>14</v>
      </c>
      <c r="U43" s="706">
        <f t="shared" si="13"/>
        <v>100</v>
      </c>
      <c r="V43" s="705" t="s">
        <v>14</v>
      </c>
      <c r="W43" s="706">
        <f t="shared" si="14"/>
        <v>100</v>
      </c>
      <c r="X43" s="1351"/>
      <c r="Y43" s="373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71"/>
      <c r="Q44" s="1348" t="str">
        <f t="shared" si="11"/>
        <v>内部装修维护情况</v>
      </c>
      <c r="R44" s="705" t="s">
        <v>14</v>
      </c>
      <c r="S44" s="706">
        <f t="shared" si="12"/>
        <v>100</v>
      </c>
      <c r="T44" s="705" t="s">
        <v>14</v>
      </c>
      <c r="U44" s="706">
        <f t="shared" si="13"/>
        <v>100</v>
      </c>
      <c r="V44" s="705" t="s">
        <v>14</v>
      </c>
      <c r="W44" s="706">
        <f t="shared" si="14"/>
        <v>100</v>
      </c>
      <c r="X44" s="1351"/>
      <c r="Y44" s="3735"/>
      <c r="Z44" s="1352" t="str">
        <f t="shared" si="15"/>
        <v>内部装修维护情况</v>
      </c>
      <c r="AA44" s="1349">
        <f t="shared" si="3"/>
        <v>1</v>
      </c>
      <c r="AB44" s="1349">
        <f t="shared" si="4"/>
        <v>1</v>
      </c>
      <c r="AC44" s="1958">
        <f t="shared" si="5"/>
        <v>1</v>
      </c>
    </row>
    <row r="45" spans="1:29" s="108" customFormat="1" ht="15">
      <c r="A45" s="424"/>
      <c r="B45" s="3503"/>
      <c r="C45" s="3504"/>
      <c r="D45" s="127">
        <v>100</v>
      </c>
      <c r="E45" s="3505"/>
      <c r="F45" s="376">
        <f>SUMIF(127:127,E45,128:128)-SUMIF(127:127,C45,128:128)+100</f>
        <v>100</v>
      </c>
      <c r="G45" s="3505"/>
      <c r="H45" s="127">
        <f>SUMIF(127:127,G45,128:128)-SUMIF(127:127,C45,128:128)+100</f>
        <v>100</v>
      </c>
      <c r="I45" s="3505"/>
      <c r="J45" s="127">
        <f>SUMIF(127:127,I45,128:128)-SUMIF(127:127,C45,128:128)+100</f>
        <v>100</v>
      </c>
      <c r="K45" s="562"/>
      <c r="L45" s="2713"/>
      <c r="M45" s="2714"/>
      <c r="N45" s="2714"/>
      <c r="O45" s="2714"/>
      <c r="P45" s="3771"/>
      <c r="Q45" s="1339">
        <f t="shared" si="11"/>
        <v>0</v>
      </c>
      <c r="R45" s="701" t="s">
        <v>14</v>
      </c>
      <c r="S45" s="702">
        <f t="shared" si="12"/>
        <v>100</v>
      </c>
      <c r="T45" s="701" t="s">
        <v>14</v>
      </c>
      <c r="U45" s="702">
        <f t="shared" si="13"/>
        <v>100</v>
      </c>
      <c r="V45" s="701" t="s">
        <v>14</v>
      </c>
      <c r="W45" s="702">
        <f t="shared" si="14"/>
        <v>100</v>
      </c>
      <c r="X45" s="703"/>
      <c r="Y45" s="3735"/>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1"/>
      <c r="Q46" s="1348">
        <f t="shared" si="11"/>
        <v>111</v>
      </c>
      <c r="R46" s="705" t="s">
        <v>14</v>
      </c>
      <c r="S46" s="706">
        <f t="shared" si="12"/>
        <v>100</v>
      </c>
      <c r="T46" s="705" t="s">
        <v>14</v>
      </c>
      <c r="U46" s="706">
        <f t="shared" si="13"/>
        <v>100</v>
      </c>
      <c r="V46" s="705" t="s">
        <v>14</v>
      </c>
      <c r="W46" s="706">
        <f t="shared" si="14"/>
        <v>100</v>
      </c>
      <c r="X46" s="1351"/>
      <c r="Y46" s="373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2"/>
      <c r="Q47" s="1348">
        <f t="shared" si="11"/>
        <v>111</v>
      </c>
      <c r="R47" s="705" t="s">
        <v>14</v>
      </c>
      <c r="S47" s="706">
        <f t="shared" si="12"/>
        <v>100</v>
      </c>
      <c r="T47" s="705" t="s">
        <v>14</v>
      </c>
      <c r="U47" s="706">
        <f t="shared" si="13"/>
        <v>100</v>
      </c>
      <c r="V47" s="705" t="s">
        <v>14</v>
      </c>
      <c r="W47" s="706">
        <f t="shared" si="14"/>
        <v>100</v>
      </c>
      <c r="X47" s="1351"/>
      <c r="Y47" s="3773"/>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41" t="str">
        <f>A48</f>
        <v>成交单价（元/平方米）</v>
      </c>
      <c r="Q48" s="3717"/>
      <c r="R48" s="3769">
        <f>E48</f>
        <v>19346</v>
      </c>
      <c r="S48" s="3769"/>
      <c r="T48" s="3769">
        <f>G48</f>
        <v>20000</v>
      </c>
      <c r="U48" s="3769"/>
      <c r="V48" s="3769">
        <f>I48</f>
        <v>19000</v>
      </c>
      <c r="W48" s="3769"/>
      <c r="X48" s="397"/>
      <c r="Y48" s="712"/>
      <c r="Z48" s="397"/>
      <c r="AA48" s="397"/>
      <c r="AB48" s="397"/>
      <c r="AC48" s="578"/>
    </row>
    <row r="49" spans="1:29" ht="15.75" thickBot="1">
      <c r="A49" s="437" t="s">
        <v>1793</v>
      </c>
      <c r="B49" s="438"/>
      <c r="C49" s="1157">
        <f>R50</f>
        <v>22558</v>
      </c>
      <c r="D49" s="2313" t="s">
        <v>2137</v>
      </c>
      <c r="E49" s="1158">
        <f>R49</f>
        <v>21726</v>
      </c>
      <c r="F49" s="2314"/>
      <c r="G49" s="1157">
        <f>T49</f>
        <v>23229</v>
      </c>
      <c r="H49" s="2314"/>
      <c r="I49" s="1158">
        <f>V49</f>
        <v>22719</v>
      </c>
      <c r="J49" s="2314"/>
      <c r="K49" s="2316">
        <f>F49+H49+J49</f>
        <v>0</v>
      </c>
      <c r="L49" s="2720"/>
      <c r="M49" s="2712"/>
      <c r="N49" s="2712"/>
      <c r="O49" s="2712"/>
      <c r="P49" s="3741" t="str">
        <f>A49</f>
        <v>比较价值（元/平方米）</v>
      </c>
      <c r="Q49" s="3717"/>
      <c r="R49" s="3769">
        <f>IF(F1="售价",ROUND(PRODUCT(R48,AA7:AA47),0),ROUND(PRODUCT(R48,AA7:AA47),1))</f>
        <v>21726</v>
      </c>
      <c r="S49" s="3769"/>
      <c r="T49" s="3769">
        <f>IF(F1="售价",ROUND(PRODUCT(T48,AB7:AB47),0),ROUND(PRODUCT(T48,AB7:AB47),1))</f>
        <v>23229</v>
      </c>
      <c r="U49" s="3769"/>
      <c r="V49" s="3769">
        <f>IF(F1="售价",ROUND(PRODUCT(V48,AC7:AC47),0),ROUND(PRODUCT(V48,AC7:AC47),1))</f>
        <v>22719</v>
      </c>
      <c r="W49" s="3769"/>
      <c r="X49" s="397"/>
      <c r="Y49" s="397"/>
      <c r="Z49" s="397"/>
      <c r="AA49" s="397"/>
      <c r="AB49" s="397"/>
      <c r="AC49" s="578"/>
    </row>
    <row r="50" spans="1:29" ht="15.75" thickBot="1">
      <c r="A50" s="441" t="s">
        <v>1794</v>
      </c>
      <c r="B50" s="442"/>
      <c r="C50" s="1160">
        <f>R50</f>
        <v>22558</v>
      </c>
      <c r="D50" s="1160"/>
      <c r="E50" s="1160"/>
      <c r="F50" s="1160"/>
      <c r="G50" s="1160"/>
      <c r="H50" s="1160"/>
      <c r="I50" s="1160"/>
      <c r="J50" s="443"/>
      <c r="K50" s="715"/>
      <c r="L50" s="2720"/>
      <c r="M50" s="2712"/>
      <c r="N50" s="2712"/>
      <c r="O50" s="2712"/>
      <c r="P50" s="3790" t="str">
        <f>A50</f>
        <v>估价对象XX用房的比较价值（楼面单价，元/平方米）</v>
      </c>
      <c r="Q50" s="3791"/>
      <c r="R50" s="3792">
        <f>IF(F1="售价",ROUND(IF(D49="简单平均",AVERAGE(R49:V49),R49*F49+T49*H49+V49*J49),0),ROUND(IF(D49="简单平均",AVERAGE(R49:V49),R49*F49+T49*H49+V49*J49),1))</f>
        <v>22558</v>
      </c>
      <c r="S50" s="3792"/>
      <c r="T50" s="3792"/>
      <c r="U50" s="3792"/>
      <c r="V50" s="3792"/>
      <c r="W50" s="379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0.16145000000000009</v>
      </c>
      <c r="H53" s="449" t="str">
        <f>IF(OR(G53&gt;=0.3,G53&lt;=-0.3),"超过30%","")</f>
        <v/>
      </c>
      <c r="I53" s="448">
        <f>IF(I48&lt;I49,I49/I48-1,I48/I49-1)</f>
        <v>0.19573684210526321</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6.9179784589892268E-2</v>
      </c>
      <c r="F54" s="449" t="str">
        <f>IF(OR(E54&gt;=0.2,E54&lt;=-0.2),"超过20%","")</f>
        <v/>
      </c>
      <c r="G54" s="448">
        <f>IF(G49&lt;I49,I49/G49-1,G49/I49-1)</f>
        <v>2.2448171134292982E-2</v>
      </c>
      <c r="H54" s="449" t="str">
        <f>IF(OR(G54&gt;=0.2,G54&lt;=-0.2),"超过20%","")</f>
        <v/>
      </c>
      <c r="I54" s="448">
        <f>IF(I49&lt;E49,E49/I49-1,I49/E49-1)</f>
        <v>4.5705606186136505E-2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3994</v>
      </c>
      <c r="D101" s="3502" t="s">
        <v>3992</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506" t="s">
        <v>3989</v>
      </c>
      <c r="D127" s="3506" t="s">
        <v>3990</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M45" sqref="M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3940</v>
      </c>
      <c r="F1" s="1875" t="s">
        <v>3941</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30" t="s">
        <v>1772</v>
      </c>
      <c r="AC4" s="3700" t="s">
        <v>1773</v>
      </c>
    </row>
    <row r="5" spans="1:29" ht="15">
      <c r="A5" s="358"/>
      <c r="B5" s="359"/>
      <c r="C5" s="3711" t="s">
        <v>1673</v>
      </c>
      <c r="D5" s="3712"/>
      <c r="E5" s="3779" t="s">
        <v>3973</v>
      </c>
      <c r="F5" s="3710"/>
      <c r="G5" s="3780" t="s">
        <v>3974</v>
      </c>
      <c r="H5" s="3712"/>
      <c r="I5" s="3780" t="s">
        <v>3975</v>
      </c>
      <c r="J5" s="3712"/>
      <c r="K5" s="559"/>
      <c r="L5" s="2711"/>
      <c r="M5" s="2712"/>
      <c r="N5" s="2712"/>
      <c r="O5" s="2712"/>
      <c r="P5" s="3724"/>
      <c r="Q5" s="3725"/>
      <c r="R5" s="3707"/>
      <c r="S5" s="3708"/>
      <c r="T5" s="3707"/>
      <c r="U5" s="3708"/>
      <c r="V5" s="3730"/>
      <c r="W5" s="3730"/>
      <c r="X5" s="1351"/>
      <c r="Y5" s="3707"/>
      <c r="Z5" s="3708"/>
      <c r="AA5" s="3701"/>
      <c r="AB5" s="3730"/>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30"/>
      <c r="AC6" s="3702"/>
    </row>
    <row r="7" spans="1:29" s="108" customFormat="1" ht="15.75" thickBot="1">
      <c r="A7" s="362" t="s">
        <v>1679</v>
      </c>
      <c r="B7" s="363"/>
      <c r="C7" s="364">
        <f>'数据-取费表'!B2</f>
        <v>45005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03" t="s">
        <v>1680</v>
      </c>
      <c r="Q7" s="3731"/>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73"/>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4" t="s">
        <v>1691</v>
      </c>
      <c r="Q15" s="1348" t="str">
        <f t="shared" si="6"/>
        <v>商业繁华度</v>
      </c>
      <c r="R15" s="705" t="s">
        <v>14</v>
      </c>
      <c r="S15" s="706">
        <f t="shared" si="0"/>
        <v>100</v>
      </c>
      <c r="T15" s="705" t="s">
        <v>14</v>
      </c>
      <c r="U15" s="706">
        <f t="shared" si="1"/>
        <v>100</v>
      </c>
      <c r="V15" s="705" t="s">
        <v>14</v>
      </c>
      <c r="W15" s="706">
        <f t="shared" si="2"/>
        <v>100</v>
      </c>
      <c r="X15" s="1351"/>
      <c r="Y15" s="3732" t="s">
        <v>1691</v>
      </c>
      <c r="Z15" s="1352" t="str">
        <f t="shared" si="7"/>
        <v>商业繁华度</v>
      </c>
      <c r="AA15" s="1349">
        <f t="shared" si="3"/>
        <v>1</v>
      </c>
      <c r="AB15" s="1349">
        <f t="shared" si="4"/>
        <v>1</v>
      </c>
      <c r="AC15" s="1349">
        <f t="shared" si="5"/>
        <v>1</v>
      </c>
    </row>
    <row r="16" spans="1:29" ht="15">
      <c r="A16" s="379"/>
      <c r="B16" s="397"/>
      <c r="C16" s="398" t="s">
        <v>3926</v>
      </c>
      <c r="D16" s="399"/>
      <c r="E16" s="398" t="s">
        <v>3926</v>
      </c>
      <c r="F16" s="400"/>
      <c r="G16" s="398" t="s">
        <v>3926</v>
      </c>
      <c r="H16" s="401"/>
      <c r="I16" s="398" t="s">
        <v>3926</v>
      </c>
      <c r="J16" s="399"/>
      <c r="K16" s="564"/>
      <c r="L16" s="2718"/>
      <c r="M16" s="2712"/>
      <c r="N16" s="2712"/>
      <c r="O16" s="2712"/>
      <c r="P16" s="3775"/>
      <c r="Q16" s="1348"/>
      <c r="R16" s="705"/>
      <c r="S16" s="706"/>
      <c r="T16" s="705"/>
      <c r="U16" s="706"/>
      <c r="V16" s="705"/>
      <c r="W16" s="706"/>
      <c r="X16" s="1351"/>
      <c r="Y16" s="3733"/>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5"/>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407"/>
      <c r="C18" s="3500" t="s">
        <v>3976</v>
      </c>
      <c r="D18" s="401"/>
      <c r="E18" s="3499" t="s">
        <v>3976</v>
      </c>
      <c r="F18" s="404"/>
      <c r="G18" s="3498" t="s">
        <v>3976</v>
      </c>
      <c r="H18" s="399"/>
      <c r="I18" s="3499" t="s">
        <v>3976</v>
      </c>
      <c r="J18" s="399"/>
      <c r="K18" s="564"/>
      <c r="L18" s="2718"/>
      <c r="M18" s="2712"/>
      <c r="N18" s="2712"/>
      <c r="O18" s="2712"/>
      <c r="P18" s="3775"/>
      <c r="Q18" s="1348"/>
      <c r="R18" s="705"/>
      <c r="S18" s="706"/>
      <c r="T18" s="705"/>
      <c r="U18" s="706"/>
      <c r="V18" s="705"/>
      <c r="W18" s="706"/>
      <c r="X18" s="1351"/>
      <c r="Y18" s="3733"/>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5"/>
      <c r="Q20" s="1348"/>
      <c r="R20" s="705"/>
      <c r="S20" s="706"/>
      <c r="T20" s="705"/>
      <c r="U20" s="706"/>
      <c r="V20" s="705"/>
      <c r="W20" s="706"/>
      <c r="X20" s="1351"/>
      <c r="Y20" s="3733"/>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5"/>
      <c r="Q22" s="1348"/>
      <c r="R22" s="705"/>
      <c r="S22" s="706"/>
      <c r="T22" s="705"/>
      <c r="U22" s="706"/>
      <c r="V22" s="705"/>
      <c r="W22" s="706"/>
      <c r="X22" s="1351"/>
      <c r="Y22" s="3733"/>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5"/>
      <c r="Q23" s="1348" t="str">
        <f>B23</f>
        <v>自然及人文环境</v>
      </c>
      <c r="R23" s="705" t="s">
        <v>14</v>
      </c>
      <c r="S23" s="706">
        <f>F23</f>
        <v>100</v>
      </c>
      <c r="T23" s="705" t="s">
        <v>14</v>
      </c>
      <c r="U23" s="706">
        <f>H23</f>
        <v>100</v>
      </c>
      <c r="V23" s="705" t="s">
        <v>14</v>
      </c>
      <c r="W23" s="706">
        <f>J23</f>
        <v>100</v>
      </c>
      <c r="X23" s="1351"/>
      <c r="Y23" s="3733"/>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5"/>
      <c r="Q24" s="1348"/>
      <c r="R24" s="705"/>
      <c r="S24" s="706"/>
      <c r="T24" s="705"/>
      <c r="U24" s="706"/>
      <c r="V24" s="705"/>
      <c r="W24" s="706"/>
      <c r="X24" s="1351"/>
      <c r="Y24" s="3733"/>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5"/>
      <c r="Q25" s="1348" t="str">
        <f t="shared" ref="Q25:Q46" si="11">B25</f>
        <v>临街状况</v>
      </c>
      <c r="R25" s="705" t="s">
        <v>14</v>
      </c>
      <c r="S25" s="706">
        <f>F25</f>
        <v>100</v>
      </c>
      <c r="T25" s="705" t="s">
        <v>14</v>
      </c>
      <c r="U25" s="706">
        <f>H25</f>
        <v>100</v>
      </c>
      <c r="V25" s="705" t="s">
        <v>14</v>
      </c>
      <c r="W25" s="706">
        <f>J25</f>
        <v>100</v>
      </c>
      <c r="X25" s="1351"/>
      <c r="Y25" s="3733"/>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5"/>
      <c r="Q26" s="1348" t="str">
        <f t="shared" si="11"/>
        <v>平面位置/可视性</v>
      </c>
      <c r="R26" s="705" t="s">
        <v>14</v>
      </c>
      <c r="S26" s="706">
        <f>F26</f>
        <v>100</v>
      </c>
      <c r="T26" s="705" t="s">
        <v>14</v>
      </c>
      <c r="U26" s="706">
        <f>H26</f>
        <v>100</v>
      </c>
      <c r="V26" s="705" t="s">
        <v>14</v>
      </c>
      <c r="W26" s="706">
        <f>J26</f>
        <v>100</v>
      </c>
      <c r="X26" s="1351"/>
      <c r="Y26" s="373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5"/>
      <c r="Q27" s="1339" t="str">
        <f t="shared" si="11"/>
        <v>人流量</v>
      </c>
      <c r="R27" s="701" t="s">
        <v>14</v>
      </c>
      <c r="S27" s="702">
        <f>F27</f>
        <v>100</v>
      </c>
      <c r="T27" s="701" t="s">
        <v>14</v>
      </c>
      <c r="U27" s="702">
        <f>H27</f>
        <v>100</v>
      </c>
      <c r="V27" s="701" t="s">
        <v>14</v>
      </c>
      <c r="W27" s="702">
        <f>J27</f>
        <v>100</v>
      </c>
      <c r="X27" s="703"/>
      <c r="Y27" s="3733"/>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33"/>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5"/>
      <c r="Q29" s="1348">
        <f t="shared" si="11"/>
        <v>111</v>
      </c>
      <c r="R29" s="705" t="s">
        <v>14</v>
      </c>
      <c r="S29" s="706">
        <f t="shared" si="12"/>
        <v>100</v>
      </c>
      <c r="T29" s="705" t="s">
        <v>14</v>
      </c>
      <c r="U29" s="706">
        <f t="shared" si="13"/>
        <v>100</v>
      </c>
      <c r="V29" s="705" t="s">
        <v>14</v>
      </c>
      <c r="W29" s="706">
        <f t="shared" si="14"/>
        <v>100</v>
      </c>
      <c r="X29" s="1351"/>
      <c r="Y29" s="373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3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33"/>
      <c r="Z31" s="1352">
        <f t="shared" si="15"/>
        <v>111</v>
      </c>
      <c r="AA31" s="1349">
        <f t="shared" si="3"/>
        <v>1</v>
      </c>
      <c r="AB31" s="1349">
        <f t="shared" si="4"/>
        <v>1</v>
      </c>
      <c r="AC31" s="1349">
        <f t="shared" si="5"/>
        <v>1</v>
      </c>
    </row>
    <row r="32" spans="1:29" ht="15">
      <c r="A32" s="391" t="s">
        <v>1694</v>
      </c>
      <c r="B32" s="63" t="s">
        <v>1784</v>
      </c>
      <c r="C32" s="3501" t="s">
        <v>3977</v>
      </c>
      <c r="D32" s="418">
        <v>100</v>
      </c>
      <c r="E32" s="3501" t="s">
        <v>3977</v>
      </c>
      <c r="F32" s="412">
        <f>SUMIF(100:100,E32,101:101)-SUMIF(100:100,C32,101:101)+100</f>
        <v>100</v>
      </c>
      <c r="G32" s="3501" t="s">
        <v>3978</v>
      </c>
      <c r="H32" s="386">
        <f>SUMIF(100:100,G32,101:101)-SUMIF(100:100,C32,101:101)+100</f>
        <v>97</v>
      </c>
      <c r="I32" s="3501" t="s">
        <v>3978</v>
      </c>
      <c r="J32" s="418">
        <f>SUMIF(100:100,I32,101:101)-SUMIF(100:100,C32,101:101)+100</f>
        <v>97</v>
      </c>
      <c r="K32" s="561">
        <v>3</v>
      </c>
      <c r="L32" s="2718"/>
      <c r="M32" s="2712"/>
      <c r="N32" s="2712"/>
      <c r="O32" s="2712"/>
      <c r="P32" s="3770" t="s">
        <v>1696</v>
      </c>
      <c r="Q32" s="1348" t="str">
        <f t="shared" si="11"/>
        <v>商业类型</v>
      </c>
      <c r="R32" s="705" t="s">
        <v>14</v>
      </c>
      <c r="S32" s="706">
        <f t="shared" si="12"/>
        <v>100</v>
      </c>
      <c r="T32" s="705" t="s">
        <v>14</v>
      </c>
      <c r="U32" s="706">
        <f t="shared" si="13"/>
        <v>97</v>
      </c>
      <c r="V32" s="705" t="s">
        <v>14</v>
      </c>
      <c r="W32" s="706">
        <f t="shared" si="14"/>
        <v>97</v>
      </c>
      <c r="X32" s="1351"/>
      <c r="Y32" s="3735"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71"/>
      <c r="Q33" s="707" t="str">
        <f t="shared" si="11"/>
        <v>项目建筑规模</v>
      </c>
      <c r="R33" s="708" t="s">
        <v>14</v>
      </c>
      <c r="S33" s="709">
        <f t="shared" si="12"/>
        <v>102</v>
      </c>
      <c r="T33" s="708" t="s">
        <v>14</v>
      </c>
      <c r="U33" s="709">
        <f t="shared" si="13"/>
        <v>104</v>
      </c>
      <c r="V33" s="708" t="s">
        <v>14</v>
      </c>
      <c r="W33" s="709">
        <f t="shared" si="14"/>
        <v>100</v>
      </c>
      <c r="X33" s="710"/>
      <c r="Y33" s="3735"/>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71"/>
      <c r="Q34" s="1348" t="str">
        <f t="shared" si="11"/>
        <v>建筑结构</v>
      </c>
      <c r="R34" s="705" t="s">
        <v>14</v>
      </c>
      <c r="S34" s="706">
        <f t="shared" si="12"/>
        <v>100</v>
      </c>
      <c r="T34" s="705" t="s">
        <v>14</v>
      </c>
      <c r="U34" s="706">
        <f t="shared" si="13"/>
        <v>100</v>
      </c>
      <c r="V34" s="705" t="s">
        <v>14</v>
      </c>
      <c r="W34" s="706">
        <f t="shared" si="14"/>
        <v>100</v>
      </c>
      <c r="X34" s="1351"/>
      <c r="Y34" s="373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71"/>
      <c r="Q35" s="1348" t="str">
        <f t="shared" si="11"/>
        <v>公共部分装修</v>
      </c>
      <c r="R35" s="705" t="s">
        <v>14</v>
      </c>
      <c r="S35" s="706">
        <f t="shared" si="12"/>
        <v>100</v>
      </c>
      <c r="T35" s="705" t="s">
        <v>14</v>
      </c>
      <c r="U35" s="706">
        <f t="shared" si="13"/>
        <v>100</v>
      </c>
      <c r="V35" s="705" t="s">
        <v>14</v>
      </c>
      <c r="W35" s="706">
        <f t="shared" si="14"/>
        <v>100</v>
      </c>
      <c r="X35" s="1351"/>
      <c r="Y35" s="3735"/>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71"/>
      <c r="Q36" s="1348" t="str">
        <f t="shared" si="11"/>
        <v>成新度</v>
      </c>
      <c r="R36" s="705" t="s">
        <v>14</v>
      </c>
      <c r="S36" s="706">
        <f t="shared" si="12"/>
        <v>100</v>
      </c>
      <c r="T36" s="705" t="s">
        <v>14</v>
      </c>
      <c r="U36" s="706">
        <f t="shared" si="13"/>
        <v>100</v>
      </c>
      <c r="V36" s="705" t="s">
        <v>14</v>
      </c>
      <c r="W36" s="706">
        <f t="shared" si="14"/>
        <v>100</v>
      </c>
      <c r="X36" s="1351"/>
      <c r="Y36" s="3735"/>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71"/>
      <c r="Q37" s="1339"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71" t="s">
        <v>1696</v>
      </c>
      <c r="Q38" s="1348" t="str">
        <f t="shared" si="11"/>
        <v>业态</v>
      </c>
      <c r="R38" s="705" t="s">
        <v>14</v>
      </c>
      <c r="S38" s="706">
        <f t="shared" si="12"/>
        <v>100</v>
      </c>
      <c r="T38" s="705" t="s">
        <v>14</v>
      </c>
      <c r="U38" s="706">
        <f t="shared" si="13"/>
        <v>100</v>
      </c>
      <c r="V38" s="705" t="s">
        <v>14</v>
      </c>
      <c r="W38" s="706">
        <f t="shared" si="14"/>
        <v>100</v>
      </c>
      <c r="X38" s="1351"/>
      <c r="Y38" s="3735"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71"/>
      <c r="Q39" s="1348" t="str">
        <f t="shared" si="11"/>
        <v>层高</v>
      </c>
      <c r="R39" s="705" t="s">
        <v>14</v>
      </c>
      <c r="S39" s="706">
        <f t="shared" si="12"/>
        <v>100</v>
      </c>
      <c r="T39" s="705" t="s">
        <v>14</v>
      </c>
      <c r="U39" s="706">
        <f t="shared" si="13"/>
        <v>100</v>
      </c>
      <c r="V39" s="705" t="s">
        <v>14</v>
      </c>
      <c r="W39" s="706">
        <f t="shared" si="14"/>
        <v>100</v>
      </c>
      <c r="X39" s="1351"/>
      <c r="Y39" s="373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1"/>
      <c r="Q40" s="1348" t="str">
        <f t="shared" si="11"/>
        <v>单套建筑面积</v>
      </c>
      <c r="R40" s="705" t="s">
        <v>14</v>
      </c>
      <c r="S40" s="706">
        <f t="shared" si="12"/>
        <v>100</v>
      </c>
      <c r="T40" s="705" t="s">
        <v>14</v>
      </c>
      <c r="U40" s="706">
        <f t="shared" si="13"/>
        <v>100</v>
      </c>
      <c r="V40" s="705" t="s">
        <v>14</v>
      </c>
      <c r="W40" s="706">
        <f t="shared" si="14"/>
        <v>100</v>
      </c>
      <c r="X40" s="1351"/>
      <c r="Y40" s="373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1"/>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71"/>
      <c r="Q42" s="1348" t="str">
        <f t="shared" si="11"/>
        <v>内部装修</v>
      </c>
      <c r="R42" s="705" t="s">
        <v>14</v>
      </c>
      <c r="S42" s="706">
        <f t="shared" si="12"/>
        <v>100</v>
      </c>
      <c r="T42" s="705" t="s">
        <v>14</v>
      </c>
      <c r="U42" s="706">
        <f t="shared" si="13"/>
        <v>100</v>
      </c>
      <c r="V42" s="705" t="s">
        <v>14</v>
      </c>
      <c r="W42" s="706">
        <f t="shared" si="14"/>
        <v>100</v>
      </c>
      <c r="X42" s="1351"/>
      <c r="Y42" s="3735"/>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71"/>
      <c r="Q43" s="1348" t="str">
        <f t="shared" si="11"/>
        <v>内部装修维护情况</v>
      </c>
      <c r="R43" s="705" t="s">
        <v>14</v>
      </c>
      <c r="S43" s="706">
        <f t="shared" si="12"/>
        <v>100</v>
      </c>
      <c r="T43" s="705" t="s">
        <v>14</v>
      </c>
      <c r="U43" s="706">
        <f t="shared" si="13"/>
        <v>100</v>
      </c>
      <c r="V43" s="705" t="s">
        <v>14</v>
      </c>
      <c r="W43" s="706">
        <f t="shared" si="14"/>
        <v>100</v>
      </c>
      <c r="X43" s="1351"/>
      <c r="Y43" s="3735"/>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1"/>
      <c r="Q44" s="1339">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1"/>
      <c r="Q45" s="1348">
        <f t="shared" si="11"/>
        <v>111</v>
      </c>
      <c r="R45" s="705" t="s">
        <v>14</v>
      </c>
      <c r="S45" s="706">
        <f t="shared" si="12"/>
        <v>100</v>
      </c>
      <c r="T45" s="705" t="s">
        <v>14</v>
      </c>
      <c r="U45" s="706">
        <f t="shared" si="13"/>
        <v>100</v>
      </c>
      <c r="V45" s="705" t="s">
        <v>14</v>
      </c>
      <c r="W45" s="706">
        <f t="shared" si="14"/>
        <v>100</v>
      </c>
      <c r="X45" s="1351"/>
      <c r="Y45" s="373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2"/>
      <c r="Q46" s="1348">
        <f t="shared" si="11"/>
        <v>111</v>
      </c>
      <c r="R46" s="705" t="s">
        <v>14</v>
      </c>
      <c r="S46" s="706">
        <f t="shared" si="12"/>
        <v>100</v>
      </c>
      <c r="T46" s="705" t="s">
        <v>14</v>
      </c>
      <c r="U46" s="706">
        <f t="shared" si="13"/>
        <v>100</v>
      </c>
      <c r="V46" s="705" t="s">
        <v>14</v>
      </c>
      <c r="W46" s="706">
        <f t="shared" si="14"/>
        <v>100</v>
      </c>
      <c r="X46" s="1351"/>
      <c r="Y46" s="3773"/>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17" t="str">
        <f>A47</f>
        <v>成交单价（元/平方米）</v>
      </c>
      <c r="Q47" s="3717"/>
      <c r="R47" s="3730">
        <f>E47</f>
        <v>33000</v>
      </c>
      <c r="S47" s="3730"/>
      <c r="T47" s="3730">
        <f>G47</f>
        <v>35000</v>
      </c>
      <c r="U47" s="3730"/>
      <c r="V47" s="3730">
        <f>I47</f>
        <v>27000</v>
      </c>
      <c r="W47" s="3730"/>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17" t="str">
        <f>A48</f>
        <v>比较价值（元/平方米）</v>
      </c>
      <c r="Q48" s="3717"/>
      <c r="R48" s="3769">
        <f>IF(F1="售价",ROUND(PRODUCT(R47,AA7:AA46),0),ROUND(PRODUCT(R47,AA7:AA46),1))</f>
        <v>32353</v>
      </c>
      <c r="S48" s="3769"/>
      <c r="T48" s="3769">
        <f>IF(F1="售价",ROUND(PRODUCT(T47,AB7:AB46),0),ROUND(PRODUCT(T47,AB7:AB46),1))</f>
        <v>34695</v>
      </c>
      <c r="U48" s="3769"/>
      <c r="V48" s="3769">
        <f>IF(F1="售价",ROUND(PRODUCT(V47,AC7:AC46),0),ROUND(PRODUCT(V47,AC7:AC46),1))</f>
        <v>27835</v>
      </c>
      <c r="W48" s="3769"/>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37" t="str">
        <f>A49</f>
        <v>估价对象XX用房的比较价值（楼面单价，元/平方米）</v>
      </c>
      <c r="Q49" s="3738"/>
      <c r="R49" s="3768">
        <f>IF(F1="售价",ROUND(IF(D48="简单平均",AVERAGE(R48:V48),R48*F48+T48*H48+V48*J48),0),ROUND(IF(D48="简单平均",AVERAGE(R48:V48),R48*F48+T48*H48+V48*J48),1))</f>
        <v>31628</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3979</v>
      </c>
      <c r="D100" s="3502" t="s">
        <v>3980</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0"/>
      <c r="M4" s="911"/>
      <c r="N4" s="911"/>
      <c r="O4" s="911"/>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910"/>
      <c r="M5" s="911"/>
      <c r="N5" s="911"/>
      <c r="O5" s="911"/>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910"/>
      <c r="M6" s="911"/>
      <c r="N6" s="911"/>
      <c r="O6" s="911"/>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2"/>
      <c r="M7" s="913"/>
      <c r="N7" s="913"/>
      <c r="O7" s="913"/>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7"/>
      <c r="Q11" s="1339" t="str">
        <f t="shared" si="6"/>
        <v>容积率</v>
      </c>
      <c r="R11" s="701" t="s">
        <v>14</v>
      </c>
      <c r="S11" s="702">
        <f t="shared" si="0"/>
        <v>100</v>
      </c>
      <c r="T11" s="701" t="s">
        <v>14</v>
      </c>
      <c r="U11" s="702">
        <f t="shared" si="1"/>
        <v>100</v>
      </c>
      <c r="V11" s="701" t="s">
        <v>14</v>
      </c>
      <c r="W11" s="702">
        <f t="shared" si="2"/>
        <v>100</v>
      </c>
      <c r="X11" s="703"/>
      <c r="Y11" s="367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2" t="s">
        <v>1691</v>
      </c>
      <c r="Q15" s="1348" t="str">
        <f t="shared" si="6"/>
        <v>产业集聚程度</v>
      </c>
      <c r="R15" s="705" t="s">
        <v>14</v>
      </c>
      <c r="S15" s="706">
        <f t="shared" si="0"/>
        <v>100</v>
      </c>
      <c r="T15" s="705" t="s">
        <v>14</v>
      </c>
      <c r="U15" s="706">
        <f t="shared" si="1"/>
        <v>100</v>
      </c>
      <c r="V15" s="705" t="s">
        <v>14</v>
      </c>
      <c r="W15" s="706">
        <f t="shared" si="2"/>
        <v>100</v>
      </c>
      <c r="X15" s="1351"/>
      <c r="Y15" s="373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33"/>
      <c r="Q16" s="1348"/>
      <c r="R16" s="705"/>
      <c r="S16" s="706"/>
      <c r="T16" s="705"/>
      <c r="U16" s="706"/>
      <c r="V16" s="705"/>
      <c r="W16" s="706"/>
      <c r="X16" s="1351"/>
      <c r="Y16" s="3733"/>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3"/>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33"/>
      <c r="Q18" s="1348"/>
      <c r="R18" s="705"/>
      <c r="S18" s="706"/>
      <c r="T18" s="705"/>
      <c r="U18" s="706"/>
      <c r="V18" s="705"/>
      <c r="W18" s="706"/>
      <c r="X18" s="1351"/>
      <c r="Y18" s="3733"/>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3"/>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33"/>
      <c r="Q20" s="1348"/>
      <c r="R20" s="705"/>
      <c r="S20" s="706"/>
      <c r="T20" s="705"/>
      <c r="U20" s="706"/>
      <c r="V20" s="705"/>
      <c r="W20" s="706"/>
      <c r="X20" s="1351"/>
      <c r="Y20" s="3733"/>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3"/>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33"/>
      <c r="Q22" s="1348"/>
      <c r="R22" s="705"/>
      <c r="S22" s="706"/>
      <c r="T22" s="705"/>
      <c r="U22" s="706"/>
      <c r="V22" s="705"/>
      <c r="W22" s="706"/>
      <c r="X22" s="1351"/>
      <c r="Y22" s="3733"/>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3"/>
      <c r="Q23" s="1348" t="str">
        <f>B23</f>
        <v>环境质量</v>
      </c>
      <c r="R23" s="705" t="s">
        <v>14</v>
      </c>
      <c r="S23" s="706">
        <f>F23</f>
        <v>100</v>
      </c>
      <c r="T23" s="705" t="s">
        <v>14</v>
      </c>
      <c r="U23" s="706">
        <f>H23</f>
        <v>100</v>
      </c>
      <c r="V23" s="705" t="s">
        <v>14</v>
      </c>
      <c r="W23" s="706">
        <f>J23</f>
        <v>100</v>
      </c>
      <c r="X23" s="1351"/>
      <c r="Y23" s="373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33"/>
      <c r="Q24" s="1348"/>
      <c r="R24" s="705"/>
      <c r="S24" s="706"/>
      <c r="T24" s="705"/>
      <c r="U24" s="706"/>
      <c r="V24" s="705"/>
      <c r="W24" s="706"/>
      <c r="X24" s="1351"/>
      <c r="Y24" s="373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3"/>
      <c r="Q25" s="1348">
        <f>B25</f>
        <v>111</v>
      </c>
      <c r="R25" s="705" t="s">
        <v>14</v>
      </c>
      <c r="S25" s="706">
        <f>F25</f>
        <v>100</v>
      </c>
      <c r="T25" s="705" t="s">
        <v>14</v>
      </c>
      <c r="U25" s="706">
        <f>H25</f>
        <v>100</v>
      </c>
      <c r="V25" s="705" t="s">
        <v>14</v>
      </c>
      <c r="W25" s="706">
        <f>J25</f>
        <v>100</v>
      </c>
      <c r="X25" s="1351"/>
      <c r="Y25" s="373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3"/>
      <c r="Q26" s="1348">
        <f t="shared" ref="Q26:Q40" si="11">B26</f>
        <v>111</v>
      </c>
      <c r="R26" s="705" t="s">
        <v>14</v>
      </c>
      <c r="S26" s="706">
        <f>F26</f>
        <v>100</v>
      </c>
      <c r="T26" s="705" t="s">
        <v>14</v>
      </c>
      <c r="U26" s="706">
        <f>H26</f>
        <v>100</v>
      </c>
      <c r="V26" s="705" t="s">
        <v>14</v>
      </c>
      <c r="W26" s="706">
        <f>J26</f>
        <v>100</v>
      </c>
      <c r="X26" s="1351"/>
      <c r="Y26" s="373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3"/>
      <c r="Q27" s="1339">
        <f t="shared" si="11"/>
        <v>111</v>
      </c>
      <c r="R27" s="701" t="s">
        <v>14</v>
      </c>
      <c r="S27" s="702">
        <f>F27</f>
        <v>100</v>
      </c>
      <c r="T27" s="701" t="s">
        <v>14</v>
      </c>
      <c r="U27" s="702">
        <f>H27</f>
        <v>100</v>
      </c>
      <c r="V27" s="701" t="s">
        <v>14</v>
      </c>
      <c r="W27" s="702">
        <f>J27</f>
        <v>100</v>
      </c>
      <c r="X27" s="703"/>
      <c r="Y27" s="373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3"/>
      <c r="Q28" s="1348">
        <f t="shared" si="11"/>
        <v>111</v>
      </c>
      <c r="R28" s="705" t="s">
        <v>14</v>
      </c>
      <c r="S28" s="706">
        <f t="shared" ref="S28:S40" si="12">F28</f>
        <v>100</v>
      </c>
      <c r="T28" s="705" t="s">
        <v>14</v>
      </c>
      <c r="U28" s="706">
        <f t="shared" ref="U28:U40" si="13">H28</f>
        <v>100</v>
      </c>
      <c r="V28" s="705" t="s">
        <v>14</v>
      </c>
      <c r="W28" s="706">
        <f t="shared" ref="W28:W40" si="14">J28</f>
        <v>100</v>
      </c>
      <c r="X28" s="1351"/>
      <c r="Y28" s="3733"/>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4" t="s">
        <v>1696</v>
      </c>
      <c r="Q29" s="1348" t="str">
        <f t="shared" si="11"/>
        <v>建筑类型</v>
      </c>
      <c r="R29" s="705" t="s">
        <v>14</v>
      </c>
      <c r="S29" s="706">
        <f t="shared" si="12"/>
        <v>100</v>
      </c>
      <c r="T29" s="705" t="s">
        <v>14</v>
      </c>
      <c r="U29" s="706">
        <f t="shared" si="13"/>
        <v>100</v>
      </c>
      <c r="V29" s="705" t="s">
        <v>14</v>
      </c>
      <c r="W29" s="706">
        <f t="shared" si="14"/>
        <v>100</v>
      </c>
      <c r="X29" s="1351"/>
      <c r="Y29" s="373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5"/>
      <c r="Q31" s="1348" t="str">
        <f t="shared" si="11"/>
        <v>建筑结构</v>
      </c>
      <c r="R31" s="705" t="s">
        <v>14</v>
      </c>
      <c r="S31" s="706">
        <f t="shared" si="12"/>
        <v>100</v>
      </c>
      <c r="T31" s="705" t="s">
        <v>14</v>
      </c>
      <c r="U31" s="706">
        <f t="shared" si="13"/>
        <v>100</v>
      </c>
      <c r="V31" s="705" t="s">
        <v>14</v>
      </c>
      <c r="W31" s="706">
        <f t="shared" si="14"/>
        <v>100</v>
      </c>
      <c r="X31" s="1351"/>
      <c r="Y31" s="373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5"/>
      <c r="Q32" s="1348" t="str">
        <f t="shared" si="11"/>
        <v>公共部分装修</v>
      </c>
      <c r="R32" s="705" t="s">
        <v>14</v>
      </c>
      <c r="S32" s="706">
        <f t="shared" si="12"/>
        <v>100</v>
      </c>
      <c r="T32" s="705" t="s">
        <v>14</v>
      </c>
      <c r="U32" s="706">
        <f t="shared" si="13"/>
        <v>100</v>
      </c>
      <c r="V32" s="705" t="s">
        <v>14</v>
      </c>
      <c r="W32" s="706">
        <f t="shared" si="14"/>
        <v>100</v>
      </c>
      <c r="X32" s="1351"/>
      <c r="Y32" s="373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5"/>
      <c r="Q33" s="1348" t="str">
        <f t="shared" si="11"/>
        <v>成新度</v>
      </c>
      <c r="R33" s="705" t="s">
        <v>14</v>
      </c>
      <c r="S33" s="706" t="e">
        <f t="shared" si="12"/>
        <v>#N/A</v>
      </c>
      <c r="T33" s="705" t="s">
        <v>14</v>
      </c>
      <c r="U33" s="706" t="e">
        <f t="shared" si="13"/>
        <v>#N/A</v>
      </c>
      <c r="V33" s="705" t="s">
        <v>14</v>
      </c>
      <c r="W33" s="706" t="e">
        <f t="shared" si="14"/>
        <v>#N/A</v>
      </c>
      <c r="X33" s="1351"/>
      <c r="Y33" s="373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5"/>
      <c r="Q34" s="1339"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5" t="s">
        <v>1696</v>
      </c>
      <c r="Q35" s="1348" t="str">
        <f t="shared" si="11"/>
        <v>市政基础设施</v>
      </c>
      <c r="R35" s="705" t="s">
        <v>14</v>
      </c>
      <c r="S35" s="706">
        <f t="shared" si="12"/>
        <v>100</v>
      </c>
      <c r="T35" s="705" t="s">
        <v>14</v>
      </c>
      <c r="U35" s="706">
        <f t="shared" si="13"/>
        <v>100</v>
      </c>
      <c r="V35" s="705" t="s">
        <v>14</v>
      </c>
      <c r="W35" s="706">
        <f t="shared" si="14"/>
        <v>100</v>
      </c>
      <c r="X35" s="1351"/>
      <c r="Y35" s="373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5"/>
      <c r="Q36" s="1348" t="str">
        <f t="shared" si="11"/>
        <v>内部装修</v>
      </c>
      <c r="R36" s="705" t="s">
        <v>14</v>
      </c>
      <c r="S36" s="706">
        <f t="shared" si="12"/>
        <v>100</v>
      </c>
      <c r="T36" s="705" t="s">
        <v>14</v>
      </c>
      <c r="U36" s="706">
        <f t="shared" si="13"/>
        <v>100</v>
      </c>
      <c r="V36" s="705" t="s">
        <v>14</v>
      </c>
      <c r="W36" s="706">
        <f t="shared" si="14"/>
        <v>100</v>
      </c>
      <c r="X36" s="1351"/>
      <c r="Y36" s="373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5"/>
      <c r="Q37" s="1348" t="str">
        <f t="shared" si="11"/>
        <v>内部装修状况</v>
      </c>
      <c r="R37" s="705" t="s">
        <v>14</v>
      </c>
      <c r="S37" s="706">
        <f t="shared" si="12"/>
        <v>100</v>
      </c>
      <c r="T37" s="705" t="s">
        <v>14</v>
      </c>
      <c r="U37" s="706">
        <f t="shared" si="13"/>
        <v>100</v>
      </c>
      <c r="V37" s="705" t="s">
        <v>14</v>
      </c>
      <c r="W37" s="706">
        <f t="shared" si="14"/>
        <v>100</v>
      </c>
      <c r="X37" s="1351"/>
      <c r="Y37" s="3735"/>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5"/>
      <c r="Q39" s="1348">
        <f t="shared" si="11"/>
        <v>111</v>
      </c>
      <c r="R39" s="705" t="s">
        <v>14</v>
      </c>
      <c r="S39" s="706">
        <f t="shared" si="12"/>
        <v>100</v>
      </c>
      <c r="T39" s="705" t="s">
        <v>14</v>
      </c>
      <c r="U39" s="706">
        <f t="shared" si="13"/>
        <v>100</v>
      </c>
      <c r="V39" s="705" t="s">
        <v>14</v>
      </c>
      <c r="W39" s="706">
        <f t="shared" si="14"/>
        <v>100</v>
      </c>
      <c r="X39" s="1351"/>
      <c r="Y39" s="373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73"/>
      <c r="Q40" s="1348">
        <f t="shared" si="11"/>
        <v>111</v>
      </c>
      <c r="R40" s="705" t="s">
        <v>14</v>
      </c>
      <c r="S40" s="706">
        <f t="shared" si="12"/>
        <v>100</v>
      </c>
      <c r="T40" s="705" t="s">
        <v>14</v>
      </c>
      <c r="U40" s="706">
        <f t="shared" si="13"/>
        <v>100</v>
      </c>
      <c r="V40" s="705" t="s">
        <v>14</v>
      </c>
      <c r="W40" s="706">
        <f t="shared" si="14"/>
        <v>100</v>
      </c>
      <c r="X40" s="1351"/>
      <c r="Y40" s="3773"/>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7" t="str">
        <f>A41</f>
        <v>成交单价（元/平方米）</v>
      </c>
      <c r="Q41" s="3717"/>
      <c r="R41" s="3769">
        <f>E41</f>
        <v>0</v>
      </c>
      <c r="S41" s="3769"/>
      <c r="T41" s="3769">
        <f>G41</f>
        <v>0</v>
      </c>
      <c r="U41" s="3769"/>
      <c r="V41" s="3769">
        <f>I41</f>
        <v>0</v>
      </c>
      <c r="W41" s="3769"/>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7" t="str">
        <f>A42</f>
        <v>比较价值（元/平方米）</v>
      </c>
      <c r="Q42" s="3717"/>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37" t="str">
        <f>A43</f>
        <v>估价对象XX用房的比较价值（楼面单价，元/平方米）</v>
      </c>
      <c r="Q43" s="3738"/>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6" t="s">
        <v>2084</v>
      </c>
      <c r="D1" s="3797"/>
      <c r="E1" s="3797"/>
      <c r="F1" s="3797"/>
      <c r="G1" s="3797"/>
      <c r="H1" s="3797"/>
      <c r="I1" s="3797"/>
      <c r="J1" s="3797"/>
      <c r="K1" s="3797"/>
      <c r="L1" s="3797"/>
      <c r="M1" s="3797"/>
      <c r="N1" s="3797"/>
      <c r="O1" s="3797"/>
      <c r="P1" s="3797"/>
      <c r="Q1" s="3797"/>
      <c r="R1" s="3797"/>
      <c r="S1" s="3798"/>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93" t="s">
        <v>27</v>
      </c>
      <c r="D22" s="3794"/>
      <c r="E22" s="3794"/>
      <c r="F22" s="3794"/>
      <c r="G22" s="3794"/>
      <c r="H22" s="3794"/>
      <c r="I22" s="3794"/>
      <c r="J22" s="3794"/>
      <c r="K22" s="3794"/>
      <c r="L22" s="3794"/>
      <c r="M22" s="3794"/>
      <c r="N22" s="3794"/>
      <c r="O22" s="3794"/>
      <c r="P22" s="3794"/>
      <c r="Q22" s="3795"/>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tr">
        <f>仓储案例!$A$2</f>
        <v>永威时代中心</v>
      </c>
      <c r="F5" s="3710"/>
      <c r="G5" s="3711" t="str">
        <f>仓储案例!$A$21</f>
        <v>万达西安One</v>
      </c>
      <c r="H5" s="3712"/>
      <c r="I5" s="3780" t="s">
        <v>3981</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03" t="s">
        <v>1680</v>
      </c>
      <c r="Q7" s="3731"/>
      <c r="R7" s="701" t="s">
        <v>14</v>
      </c>
      <c r="S7" s="702">
        <f t="shared" ref="S7:S14" si="0">F7</f>
        <v>100</v>
      </c>
      <c r="T7" s="701" t="s">
        <v>14</v>
      </c>
      <c r="U7" s="702">
        <f t="shared" ref="U7:U14" si="1">H7</f>
        <v>100</v>
      </c>
      <c r="V7" s="701" t="s">
        <v>14</v>
      </c>
      <c r="W7" s="702">
        <f t="shared" ref="W7:W14"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39" t="str">
        <f t="shared" ref="Q9:Q14" si="6">B9</f>
        <v>用途</v>
      </c>
      <c r="R9" s="701" t="s">
        <v>14</v>
      </c>
      <c r="S9" s="702">
        <f t="shared" si="0"/>
        <v>100</v>
      </c>
      <c r="T9" s="701" t="s">
        <v>14</v>
      </c>
      <c r="U9" s="702">
        <f t="shared" si="1"/>
        <v>100</v>
      </c>
      <c r="V9" s="701" t="s">
        <v>14</v>
      </c>
      <c r="W9" s="702">
        <f t="shared" si="2"/>
        <v>100</v>
      </c>
      <c r="X9" s="703"/>
      <c r="Y9" s="3673"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39">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2" t="s">
        <v>1691</v>
      </c>
      <c r="Q14" s="1348" t="str">
        <f t="shared" si="6"/>
        <v>交通便捷度</v>
      </c>
      <c r="R14" s="705" t="s">
        <v>14</v>
      </c>
      <c r="S14" s="706">
        <f t="shared" si="0"/>
        <v>100</v>
      </c>
      <c r="T14" s="705" t="s">
        <v>14</v>
      </c>
      <c r="U14" s="706">
        <f t="shared" si="1"/>
        <v>100</v>
      </c>
      <c r="V14" s="705" t="s">
        <v>14</v>
      </c>
      <c r="W14" s="706">
        <f t="shared" si="2"/>
        <v>100</v>
      </c>
      <c r="X14" s="1351"/>
      <c r="Y14" s="373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3"/>
      <c r="Q15" s="1348"/>
      <c r="R15" s="705"/>
      <c r="S15" s="706"/>
      <c r="T15" s="705"/>
      <c r="U15" s="706"/>
      <c r="V15" s="705"/>
      <c r="W15" s="706"/>
      <c r="X15" s="1351"/>
      <c r="Y15" s="3733"/>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3"/>
      <c r="Q16" s="1348" t="str">
        <f>B16</f>
        <v>公共配套设施</v>
      </c>
      <c r="R16" s="705" t="s">
        <v>14</v>
      </c>
      <c r="S16" s="706">
        <f>F16</f>
        <v>100</v>
      </c>
      <c r="T16" s="705" t="s">
        <v>14</v>
      </c>
      <c r="U16" s="706">
        <f>H16</f>
        <v>100</v>
      </c>
      <c r="V16" s="705" t="s">
        <v>14</v>
      </c>
      <c r="W16" s="706">
        <f>J16</f>
        <v>100</v>
      </c>
      <c r="X16" s="1351"/>
      <c r="Y16" s="373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3"/>
      <c r="Q17" s="1348"/>
      <c r="R17" s="705"/>
      <c r="S17" s="706"/>
      <c r="T17" s="705"/>
      <c r="U17" s="706"/>
      <c r="V17" s="705"/>
      <c r="W17" s="706"/>
      <c r="X17" s="1351"/>
      <c r="Y17" s="3733"/>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3"/>
      <c r="Q18" s="1348" t="str">
        <f>B18</f>
        <v>基础设施水平</v>
      </c>
      <c r="R18" s="705" t="s">
        <v>14</v>
      </c>
      <c r="S18" s="706">
        <f>F18</f>
        <v>100</v>
      </c>
      <c r="T18" s="705" t="s">
        <v>14</v>
      </c>
      <c r="U18" s="706">
        <f>H18</f>
        <v>100</v>
      </c>
      <c r="V18" s="705" t="s">
        <v>14</v>
      </c>
      <c r="W18" s="706">
        <f>J18</f>
        <v>100</v>
      </c>
      <c r="X18" s="1351"/>
      <c r="Y18" s="373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33"/>
      <c r="Q19" s="1348"/>
      <c r="R19" s="705"/>
      <c r="S19" s="706"/>
      <c r="T19" s="705"/>
      <c r="U19" s="706"/>
      <c r="V19" s="705"/>
      <c r="W19" s="706"/>
      <c r="X19" s="1351"/>
      <c r="Y19" s="3733"/>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3"/>
      <c r="Q20" s="1348" t="str">
        <f>B20</f>
        <v>自然及人文环境</v>
      </c>
      <c r="R20" s="705" t="s">
        <v>14</v>
      </c>
      <c r="S20" s="706">
        <f>F20</f>
        <v>100</v>
      </c>
      <c r="T20" s="705" t="s">
        <v>14</v>
      </c>
      <c r="U20" s="706">
        <f>H20</f>
        <v>100</v>
      </c>
      <c r="V20" s="705" t="s">
        <v>14</v>
      </c>
      <c r="W20" s="706">
        <f>J20</f>
        <v>100</v>
      </c>
      <c r="X20" s="1351"/>
      <c r="Y20" s="373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3"/>
      <c r="Q21" s="1348"/>
      <c r="R21" s="705"/>
      <c r="S21" s="706"/>
      <c r="T21" s="705"/>
      <c r="U21" s="706"/>
      <c r="V21" s="705"/>
      <c r="W21" s="706"/>
      <c r="X21" s="1351"/>
      <c r="Y21" s="373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3"/>
      <c r="Q22" s="1348" t="str">
        <f>B22</f>
        <v>楼层</v>
      </c>
      <c r="R22" s="705" t="s">
        <v>14</v>
      </c>
      <c r="S22" s="706">
        <f>F22</f>
        <v>100</v>
      </c>
      <c r="T22" s="705" t="s">
        <v>14</v>
      </c>
      <c r="U22" s="706">
        <f>H22</f>
        <v>100</v>
      </c>
      <c r="V22" s="705" t="s">
        <v>14</v>
      </c>
      <c r="W22" s="706">
        <f>J22</f>
        <v>100</v>
      </c>
      <c r="X22" s="1351"/>
      <c r="Y22" s="373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3"/>
      <c r="Q23" s="1348">
        <f>B23</f>
        <v>111</v>
      </c>
      <c r="R23" s="705" t="s">
        <v>14</v>
      </c>
      <c r="S23" s="706">
        <f>F23</f>
        <v>100</v>
      </c>
      <c r="T23" s="705" t="s">
        <v>14</v>
      </c>
      <c r="U23" s="706">
        <f>H23</f>
        <v>100</v>
      </c>
      <c r="V23" s="705" t="s">
        <v>14</v>
      </c>
      <c r="W23" s="706">
        <f>J23</f>
        <v>100</v>
      </c>
      <c r="X23" s="1351"/>
      <c r="Y23" s="373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3"/>
      <c r="Q24" s="1348">
        <f t="shared" ref="Q24:Q34" si="11">B24</f>
        <v>111</v>
      </c>
      <c r="R24" s="705" t="s">
        <v>14</v>
      </c>
      <c r="S24" s="706">
        <f>F24</f>
        <v>100</v>
      </c>
      <c r="T24" s="705" t="s">
        <v>14</v>
      </c>
      <c r="U24" s="706">
        <f>H24</f>
        <v>100</v>
      </c>
      <c r="V24" s="705" t="s">
        <v>14</v>
      </c>
      <c r="W24" s="706">
        <f>J24</f>
        <v>100</v>
      </c>
      <c r="X24" s="1351"/>
      <c r="Y24" s="3733"/>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3"/>
      <c r="Q25" s="1339">
        <f t="shared" si="11"/>
        <v>111</v>
      </c>
      <c r="R25" s="701" t="s">
        <v>14</v>
      </c>
      <c r="S25" s="702">
        <f>F25</f>
        <v>100</v>
      </c>
      <c r="T25" s="701" t="s">
        <v>14</v>
      </c>
      <c r="U25" s="702">
        <f>H25</f>
        <v>100</v>
      </c>
      <c r="V25" s="701" t="s">
        <v>14</v>
      </c>
      <c r="W25" s="702">
        <f>J25</f>
        <v>100</v>
      </c>
      <c r="X25" s="703"/>
      <c r="Y25" s="3733"/>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4"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5"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5"/>
      <c r="Q27" s="707" t="str">
        <f t="shared" si="11"/>
        <v>成新率</v>
      </c>
      <c r="R27" s="708" t="s">
        <v>14</v>
      </c>
      <c r="S27" s="709">
        <f t="shared" si="12"/>
        <v>100</v>
      </c>
      <c r="T27" s="708" t="s">
        <v>14</v>
      </c>
      <c r="U27" s="709">
        <f t="shared" si="13"/>
        <v>100</v>
      </c>
      <c r="V27" s="708" t="s">
        <v>14</v>
      </c>
      <c r="W27" s="709">
        <f t="shared" si="14"/>
        <v>100</v>
      </c>
      <c r="X27" s="710"/>
      <c r="Y27" s="3735"/>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5"/>
      <c r="Q28" s="1348" t="str">
        <f t="shared" si="11"/>
        <v>物业等级</v>
      </c>
      <c r="R28" s="705" t="s">
        <v>14</v>
      </c>
      <c r="S28" s="706">
        <f t="shared" si="12"/>
        <v>100</v>
      </c>
      <c r="T28" s="705" t="s">
        <v>14</v>
      </c>
      <c r="U28" s="706">
        <f t="shared" si="13"/>
        <v>100</v>
      </c>
      <c r="V28" s="705" t="s">
        <v>14</v>
      </c>
      <c r="W28" s="706">
        <f t="shared" si="14"/>
        <v>100</v>
      </c>
      <c r="X28" s="1351"/>
      <c r="Y28" s="373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5"/>
      <c r="Q29" s="1348" t="str">
        <f t="shared" si="11"/>
        <v>有无电梯</v>
      </c>
      <c r="R29" s="705" t="s">
        <v>14</v>
      </c>
      <c r="S29" s="706">
        <f t="shared" si="12"/>
        <v>100</v>
      </c>
      <c r="T29" s="705" t="s">
        <v>14</v>
      </c>
      <c r="U29" s="706">
        <f t="shared" si="13"/>
        <v>100</v>
      </c>
      <c r="V29" s="705" t="s">
        <v>14</v>
      </c>
      <c r="W29" s="706">
        <f t="shared" si="14"/>
        <v>100</v>
      </c>
      <c r="X29" s="1351"/>
      <c r="Y29" s="3735"/>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5"/>
      <c r="Q30" s="1348" t="str">
        <f t="shared" si="11"/>
        <v>建筑面积</v>
      </c>
      <c r="R30" s="705" t="s">
        <v>14</v>
      </c>
      <c r="S30" s="706">
        <f t="shared" si="12"/>
        <v>100</v>
      </c>
      <c r="T30" s="705" t="s">
        <v>14</v>
      </c>
      <c r="U30" s="706">
        <f t="shared" si="13"/>
        <v>100</v>
      </c>
      <c r="V30" s="705" t="s">
        <v>14</v>
      </c>
      <c r="W30" s="706">
        <f t="shared" si="14"/>
        <v>100</v>
      </c>
      <c r="X30" s="1351"/>
      <c r="Y30" s="3735"/>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5"/>
      <c r="Q31" s="1339"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5" t="s">
        <v>1696</v>
      </c>
      <c r="Q32" s="1348">
        <f t="shared" si="11"/>
        <v>111</v>
      </c>
      <c r="R32" s="705" t="s">
        <v>14</v>
      </c>
      <c r="S32" s="706">
        <f t="shared" si="12"/>
        <v>100</v>
      </c>
      <c r="T32" s="705" t="s">
        <v>14</v>
      </c>
      <c r="U32" s="706">
        <f t="shared" si="13"/>
        <v>100</v>
      </c>
      <c r="V32" s="705" t="s">
        <v>14</v>
      </c>
      <c r="W32" s="706">
        <f t="shared" si="14"/>
        <v>100</v>
      </c>
      <c r="X32" s="1351"/>
      <c r="Y32" s="373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5"/>
      <c r="Q33" s="1348">
        <f t="shared" si="11"/>
        <v>111</v>
      </c>
      <c r="R33" s="705" t="s">
        <v>14</v>
      </c>
      <c r="S33" s="706">
        <f t="shared" si="12"/>
        <v>100</v>
      </c>
      <c r="T33" s="705" t="s">
        <v>14</v>
      </c>
      <c r="U33" s="706">
        <f t="shared" si="13"/>
        <v>100</v>
      </c>
      <c r="V33" s="705" t="s">
        <v>14</v>
      </c>
      <c r="W33" s="706">
        <f t="shared" si="14"/>
        <v>100</v>
      </c>
      <c r="X33" s="1351"/>
      <c r="Y33" s="373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5"/>
      <c r="Q34" s="1348">
        <f t="shared" si="11"/>
        <v>111</v>
      </c>
      <c r="R34" s="705" t="s">
        <v>14</v>
      </c>
      <c r="S34" s="706">
        <f t="shared" si="12"/>
        <v>100</v>
      </c>
      <c r="T34" s="705" t="s">
        <v>14</v>
      </c>
      <c r="U34" s="706">
        <f t="shared" si="13"/>
        <v>100</v>
      </c>
      <c r="V34" s="705" t="s">
        <v>14</v>
      </c>
      <c r="W34" s="706">
        <f t="shared" si="14"/>
        <v>100</v>
      </c>
      <c r="X34" s="1351"/>
      <c r="Y34" s="3735"/>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17" t="str">
        <f>A35</f>
        <v>成交单价（元/平方米）</v>
      </c>
      <c r="Q35" s="3717"/>
      <c r="R35" s="3769">
        <f>E35</f>
        <v>10000</v>
      </c>
      <c r="S35" s="3769"/>
      <c r="T35" s="3769">
        <f>G35</f>
        <v>12000</v>
      </c>
      <c r="U35" s="3769"/>
      <c r="V35" s="3769">
        <f>I35</f>
        <v>10000</v>
      </c>
      <c r="W35" s="3769"/>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17" t="str">
        <f>A36</f>
        <v>比较价值（元/平方米）</v>
      </c>
      <c r="Q36" s="3717"/>
      <c r="R36" s="3769">
        <f>IF(F1="售价",ROUND(PRODUCT(R35,AA7:AA34),0),ROUND(PRODUCT(R35,AA7:AA34),1))</f>
        <v>10000</v>
      </c>
      <c r="S36" s="3769"/>
      <c r="T36" s="3769">
        <f>IF(F1="售价",ROUND(PRODUCT(T35,AB7:AB34),0),ROUND(PRODUCT(T35,AB7:AB34),1))</f>
        <v>12000</v>
      </c>
      <c r="U36" s="3769"/>
      <c r="V36" s="3769">
        <f>IF(F1="售价",ROUND(PRODUCT(V35,AC7:AC34),0),ROUND(PRODUCT(V35,AC7:AC34),1))</f>
        <v>10000</v>
      </c>
      <c r="W36" s="3769"/>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37" t="str">
        <f>A37</f>
        <v>估价对象XX用房的比较价值（楼面单价，元/平方米）</v>
      </c>
      <c r="Q37" s="3738"/>
      <c r="R37" s="3799">
        <f>IF(F1="售价",ROUND(IF(D36="简单平均",AVERAGE(R36:W36),R36*F36+T36*H36+V36*J36),0),ROUND(IF(D36="简单平均",AVERAGE(R36:V36),R36*F36+T36*H36+V36*J36),1))</f>
        <v>10667</v>
      </c>
      <c r="S37" s="3799"/>
      <c r="T37" s="3799"/>
      <c r="U37" s="3799"/>
      <c r="V37" s="3799"/>
      <c r="W37" s="379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800" t="s">
        <v>1919</v>
      </c>
      <c r="D6" s="3801"/>
      <c r="E6" s="3802" t="s">
        <v>1919</v>
      </c>
      <c r="F6" s="3803"/>
      <c r="G6" s="3800" t="s">
        <v>1919</v>
      </c>
      <c r="H6" s="3801"/>
      <c r="I6" s="3800" t="s">
        <v>1919</v>
      </c>
      <c r="J6" s="3801"/>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17"/>
      <c r="Q10" s="1339" t="str">
        <f t="shared" si="6"/>
        <v>土地使用年限（年）</v>
      </c>
      <c r="R10" s="701" t="s">
        <v>14</v>
      </c>
      <c r="S10" s="702">
        <f t="shared" si="0"/>
        <v>114</v>
      </c>
      <c r="T10" s="701" t="s">
        <v>14</v>
      </c>
      <c r="U10" s="702">
        <f t="shared" si="1"/>
        <v>114</v>
      </c>
      <c r="V10" s="701" t="s">
        <v>14</v>
      </c>
      <c r="W10" s="702">
        <f t="shared" si="2"/>
        <v>114</v>
      </c>
      <c r="X10" s="703"/>
      <c r="Y10" s="3673"/>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39" t="str">
        <f t="shared" si="6"/>
        <v>容积率</v>
      </c>
      <c r="R11" s="701" t="s">
        <v>14</v>
      </c>
      <c r="S11" s="702" t="e">
        <f t="shared" si="0"/>
        <v>#N/A</v>
      </c>
      <c r="T11" s="701" t="s">
        <v>14</v>
      </c>
      <c r="U11" s="702" t="e">
        <f t="shared" si="1"/>
        <v>#N/A</v>
      </c>
      <c r="V11" s="701" t="s">
        <v>14</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2" t="s">
        <v>1691</v>
      </c>
      <c r="Q15" s="1348" t="str">
        <f t="shared" si="6"/>
        <v>产业集聚程度</v>
      </c>
      <c r="R15" s="705" t="s">
        <v>14</v>
      </c>
      <c r="S15" s="706">
        <f t="shared" si="0"/>
        <v>100</v>
      </c>
      <c r="T15" s="705" t="s">
        <v>14</v>
      </c>
      <c r="U15" s="706">
        <f t="shared" si="1"/>
        <v>100</v>
      </c>
      <c r="V15" s="705" t="s">
        <v>14</v>
      </c>
      <c r="W15" s="706">
        <f t="shared" si="2"/>
        <v>100</v>
      </c>
      <c r="X15" s="1351"/>
      <c r="Y15" s="373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33"/>
      <c r="Q16" s="1348"/>
      <c r="R16" s="705"/>
      <c r="S16" s="706"/>
      <c r="T16" s="705"/>
      <c r="U16" s="706"/>
      <c r="V16" s="705"/>
      <c r="W16" s="706"/>
      <c r="X16" s="1351"/>
      <c r="Y16" s="3733"/>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3"/>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33"/>
      <c r="Q18" s="1348"/>
      <c r="R18" s="705"/>
      <c r="S18" s="706"/>
      <c r="T18" s="705"/>
      <c r="U18" s="706"/>
      <c r="V18" s="705"/>
      <c r="W18" s="706"/>
      <c r="X18" s="1351"/>
      <c r="Y18" s="3733"/>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3"/>
      <c r="Q19" s="1348" t="str">
        <f t="shared" ref="Q19:Q33" si="8">B19</f>
        <v>区域土地利用方向</v>
      </c>
      <c r="R19" s="705" t="s">
        <v>14</v>
      </c>
      <c r="S19" s="706">
        <f>F19</f>
        <v>100</v>
      </c>
      <c r="T19" s="705" t="s">
        <v>14</v>
      </c>
      <c r="U19" s="706">
        <f>H19</f>
        <v>100</v>
      </c>
      <c r="V19" s="705" t="s">
        <v>14</v>
      </c>
      <c r="W19" s="706">
        <f>J19</f>
        <v>100</v>
      </c>
      <c r="X19" s="1351"/>
      <c r="Y19" s="373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33"/>
      <c r="Q20" s="1348"/>
      <c r="R20" s="705"/>
      <c r="S20" s="706"/>
      <c r="T20" s="705"/>
      <c r="U20" s="706"/>
      <c r="V20" s="705"/>
      <c r="W20" s="706"/>
      <c r="X20" s="1351"/>
      <c r="Y20" s="3733"/>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3"/>
      <c r="Q21" s="1348" t="str">
        <f t="shared" si="8"/>
        <v>环境状况</v>
      </c>
      <c r="R21" s="705" t="s">
        <v>14</v>
      </c>
      <c r="S21" s="706">
        <f>F21</f>
        <v>100</v>
      </c>
      <c r="T21" s="705" t="s">
        <v>14</v>
      </c>
      <c r="U21" s="706">
        <f>H21</f>
        <v>100</v>
      </c>
      <c r="V21" s="705" t="s">
        <v>14</v>
      </c>
      <c r="W21" s="706">
        <f>J21</f>
        <v>100</v>
      </c>
      <c r="X21" s="1351"/>
      <c r="Y21" s="373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33"/>
      <c r="Q22" s="1348"/>
      <c r="R22" s="705"/>
      <c r="S22" s="706"/>
      <c r="T22" s="705"/>
      <c r="U22" s="706"/>
      <c r="V22" s="705"/>
      <c r="W22" s="706"/>
      <c r="X22" s="1351"/>
      <c r="Y22" s="3733"/>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3"/>
      <c r="Q23" s="1339" t="str">
        <f t="shared" si="8"/>
        <v>公共配套设施</v>
      </c>
      <c r="R23" s="701" t="s">
        <v>14</v>
      </c>
      <c r="S23" s="702">
        <f>F23</f>
        <v>100</v>
      </c>
      <c r="T23" s="701" t="s">
        <v>14</v>
      </c>
      <c r="U23" s="702">
        <f>H23</f>
        <v>100</v>
      </c>
      <c r="V23" s="701" t="s">
        <v>14</v>
      </c>
      <c r="W23" s="702">
        <f>J23</f>
        <v>100</v>
      </c>
      <c r="X23" s="703"/>
      <c r="Y23" s="373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33"/>
      <c r="Q24" s="1339"/>
      <c r="R24" s="701"/>
      <c r="S24" s="702"/>
      <c r="T24" s="701"/>
      <c r="U24" s="702"/>
      <c r="V24" s="701"/>
      <c r="W24" s="702"/>
      <c r="X24" s="703"/>
      <c r="Y24" s="3733"/>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3"/>
      <c r="Q25" s="1339" t="str">
        <f t="shared" ref="Q25" si="9">B25</f>
        <v>基础设施水平</v>
      </c>
      <c r="R25" s="701" t="s">
        <v>14</v>
      </c>
      <c r="S25" s="702">
        <f>F25</f>
        <v>100</v>
      </c>
      <c r="T25" s="701" t="s">
        <v>14</v>
      </c>
      <c r="U25" s="702">
        <f>H25</f>
        <v>100</v>
      </c>
      <c r="V25" s="701" t="s">
        <v>14</v>
      </c>
      <c r="W25" s="702">
        <f>J25</f>
        <v>100</v>
      </c>
      <c r="X25" s="703"/>
      <c r="Y25" s="373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33"/>
      <c r="Q26" s="1339"/>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3"/>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33"/>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3"/>
      <c r="Q28" s="1348" t="str">
        <f t="shared" si="8"/>
        <v>毗邻道路的类型与等级</v>
      </c>
      <c r="R28" s="705" t="s">
        <v>14</v>
      </c>
      <c r="S28" s="706">
        <f t="shared" si="10"/>
        <v>100</v>
      </c>
      <c r="T28" s="705" t="s">
        <v>14</v>
      </c>
      <c r="U28" s="706">
        <f t="shared" si="11"/>
        <v>100</v>
      </c>
      <c r="V28" s="705" t="s">
        <v>14</v>
      </c>
      <c r="W28" s="706">
        <f t="shared" si="12"/>
        <v>100</v>
      </c>
      <c r="X28" s="1351"/>
      <c r="Y28" s="373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33"/>
      <c r="Q29" s="1348"/>
      <c r="R29" s="705"/>
      <c r="S29" s="706"/>
      <c r="T29" s="705"/>
      <c r="U29" s="706"/>
      <c r="V29" s="705"/>
      <c r="W29" s="706"/>
      <c r="X29" s="1351"/>
      <c r="Y29" s="3733"/>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3"/>
      <c r="Q30" s="1348" t="str">
        <f t="shared" si="8"/>
        <v>土地级别</v>
      </c>
      <c r="R30" s="705" t="s">
        <v>14</v>
      </c>
      <c r="S30" s="706">
        <f t="shared" si="10"/>
        <v>100</v>
      </c>
      <c r="T30" s="705" t="s">
        <v>14</v>
      </c>
      <c r="U30" s="706">
        <f t="shared" si="11"/>
        <v>100</v>
      </c>
      <c r="V30" s="705" t="s">
        <v>14</v>
      </c>
      <c r="W30" s="706">
        <f t="shared" si="12"/>
        <v>100</v>
      </c>
      <c r="X30" s="1351"/>
      <c r="Y30" s="373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3"/>
      <c r="Q31" s="1348">
        <f t="shared" si="8"/>
        <v>111</v>
      </c>
      <c r="R31" s="705" t="s">
        <v>14</v>
      </c>
      <c r="S31" s="706">
        <f t="shared" si="10"/>
        <v>100</v>
      </c>
      <c r="T31" s="705" t="s">
        <v>14</v>
      </c>
      <c r="U31" s="706">
        <f t="shared" si="11"/>
        <v>100</v>
      </c>
      <c r="V31" s="705" t="s">
        <v>14</v>
      </c>
      <c r="W31" s="706">
        <f t="shared" si="12"/>
        <v>100</v>
      </c>
      <c r="X31" s="1351"/>
      <c r="Y31" s="373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4" t="s">
        <v>1696</v>
      </c>
      <c r="Q32" s="1348">
        <f t="shared" si="8"/>
        <v>111</v>
      </c>
      <c r="R32" s="705" t="s">
        <v>14</v>
      </c>
      <c r="S32" s="706">
        <f t="shared" si="10"/>
        <v>100</v>
      </c>
      <c r="T32" s="705" t="s">
        <v>14</v>
      </c>
      <c r="U32" s="706">
        <f t="shared" si="11"/>
        <v>100</v>
      </c>
      <c r="V32" s="705" t="s">
        <v>14</v>
      </c>
      <c r="W32" s="706">
        <f t="shared" si="12"/>
        <v>100</v>
      </c>
      <c r="X32" s="1351"/>
      <c r="Y32" s="373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5"/>
      <c r="Q33" s="1348">
        <f t="shared" si="8"/>
        <v>111</v>
      </c>
      <c r="R33" s="708" t="s">
        <v>14</v>
      </c>
      <c r="S33" s="709">
        <f t="shared" si="10"/>
        <v>100</v>
      </c>
      <c r="T33" s="708" t="s">
        <v>14</v>
      </c>
      <c r="U33" s="709">
        <f t="shared" si="11"/>
        <v>100</v>
      </c>
      <c r="V33" s="708" t="s">
        <v>14</v>
      </c>
      <c r="W33" s="709">
        <f t="shared" si="12"/>
        <v>100</v>
      </c>
      <c r="X33" s="710"/>
      <c r="Y33" s="3735"/>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5"/>
      <c r="Q34" s="1348" t="str">
        <f>B34</f>
        <v>宗地面积</v>
      </c>
      <c r="R34" s="705" t="s">
        <v>14</v>
      </c>
      <c r="S34" s="706" t="e">
        <f t="shared" si="10"/>
        <v>#N/A</v>
      </c>
      <c r="T34" s="705" t="s">
        <v>14</v>
      </c>
      <c r="U34" s="706" t="e">
        <f t="shared" si="11"/>
        <v>#N/A</v>
      </c>
      <c r="V34" s="705" t="s">
        <v>14</v>
      </c>
      <c r="W34" s="706" t="e">
        <f t="shared" si="12"/>
        <v>#N/A</v>
      </c>
      <c r="X34" s="1351"/>
      <c r="Y34" s="373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5"/>
      <c r="Q35" s="1348" t="str">
        <f t="shared" ref="Q35:Q40" si="14">B35</f>
        <v>宗地形状</v>
      </c>
      <c r="R35" s="705" t="s">
        <v>14</v>
      </c>
      <c r="S35" s="706">
        <f t="shared" si="10"/>
        <v>100</v>
      </c>
      <c r="T35" s="705" t="s">
        <v>14</v>
      </c>
      <c r="U35" s="706">
        <f t="shared" si="11"/>
        <v>100</v>
      </c>
      <c r="V35" s="705" t="s">
        <v>14</v>
      </c>
      <c r="W35" s="706">
        <f t="shared" si="12"/>
        <v>100</v>
      </c>
      <c r="X35" s="1351"/>
      <c r="Y35" s="373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5"/>
      <c r="Q36" s="1348"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5" t="s">
        <v>1696</v>
      </c>
      <c r="Q37" s="1348" t="str">
        <f t="shared" si="14"/>
        <v>工程地质条件</v>
      </c>
      <c r="R37" s="705" t="s">
        <v>14</v>
      </c>
      <c r="S37" s="706">
        <f t="shared" si="10"/>
        <v>100</v>
      </c>
      <c r="T37" s="705" t="s">
        <v>14</v>
      </c>
      <c r="U37" s="706">
        <f t="shared" si="11"/>
        <v>100</v>
      </c>
      <c r="V37" s="705" t="s">
        <v>14</v>
      </c>
      <c r="W37" s="706">
        <f t="shared" si="12"/>
        <v>100</v>
      </c>
      <c r="X37" s="1351"/>
      <c r="Y37" s="3735"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5"/>
      <c r="Q38" s="1348">
        <f t="shared" si="14"/>
        <v>111</v>
      </c>
      <c r="R38" s="705" t="s">
        <v>14</v>
      </c>
      <c r="S38" s="706">
        <f t="shared" si="10"/>
        <v>100</v>
      </c>
      <c r="T38" s="705" t="s">
        <v>14</v>
      </c>
      <c r="U38" s="706">
        <f t="shared" si="11"/>
        <v>100</v>
      </c>
      <c r="V38" s="705" t="s">
        <v>14</v>
      </c>
      <c r="W38" s="706">
        <f t="shared" si="12"/>
        <v>100</v>
      </c>
      <c r="X38" s="1351"/>
      <c r="Y38" s="3735"/>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5"/>
      <c r="Q39" s="1348">
        <f t="shared" si="14"/>
        <v>111</v>
      </c>
      <c r="R39" s="705" t="s">
        <v>14</v>
      </c>
      <c r="S39" s="706">
        <f t="shared" si="10"/>
        <v>100</v>
      </c>
      <c r="T39" s="705" t="s">
        <v>14</v>
      </c>
      <c r="U39" s="706">
        <f t="shared" si="11"/>
        <v>100</v>
      </c>
      <c r="V39" s="705" t="s">
        <v>14</v>
      </c>
      <c r="W39" s="706">
        <f t="shared" si="12"/>
        <v>100</v>
      </c>
      <c r="X39" s="1351"/>
      <c r="Y39" s="3735"/>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5"/>
      <c r="Q40" s="1348">
        <f t="shared" si="14"/>
        <v>111</v>
      </c>
      <c r="R40" s="708" t="s">
        <v>14</v>
      </c>
      <c r="S40" s="709">
        <f t="shared" si="10"/>
        <v>100</v>
      </c>
      <c r="T40" s="708" t="s">
        <v>14</v>
      </c>
      <c r="U40" s="709">
        <f t="shared" si="11"/>
        <v>100</v>
      </c>
      <c r="V40" s="708" t="s">
        <v>14</v>
      </c>
      <c r="W40" s="709">
        <f t="shared" si="12"/>
        <v>100</v>
      </c>
      <c r="X40" s="710"/>
      <c r="Y40" s="3735"/>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7" t="str">
        <f>A41</f>
        <v>成交单价</v>
      </c>
      <c r="Q41" s="3717"/>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7" t="str">
        <f>A42</f>
        <v>比较价值（元/平方米）</v>
      </c>
      <c r="Q42" s="3717"/>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7" t="str">
        <f>A43</f>
        <v>估价对象XX用房的比较价值（楼面单价，元/平方米）</v>
      </c>
      <c r="Q43" s="3738"/>
      <c r="R43" s="3739" t="e">
        <f>ROUND(IF(D42="简单平均",AVERAGE(R42:W42),R42*F42+T42*H42+V42*J42),0)</f>
        <v>#DIV/0!</v>
      </c>
      <c r="S43" s="3739"/>
      <c r="T43" s="3739"/>
      <c r="U43" s="3739"/>
      <c r="V43" s="3739"/>
      <c r="W43" s="373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8" t="s">
        <v>1887</v>
      </c>
      <c r="H50" s="374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41"/>
      <c r="H51" s="3717"/>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3954</v>
      </c>
      <c r="D1" s="1358" t="s">
        <v>3955</v>
      </c>
      <c r="E1" s="1359" t="s">
        <v>678</v>
      </c>
      <c r="F1" s="1059">
        <f ca="1">J53</f>
        <v>28.729999999999997</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-9175</v>
      </c>
      <c r="C2" s="1383" t="s">
        <v>805</v>
      </c>
      <c r="D2" s="1383"/>
      <c r="E2" s="1384"/>
      <c r="F2" s="1385"/>
      <c r="G2" s="2702"/>
      <c r="H2" s="2691"/>
      <c r="I2" s="2691"/>
      <c r="J2" s="2691"/>
      <c r="K2" s="2692"/>
      <c r="L2" s="2691"/>
      <c r="M2" s="2691"/>
    </row>
    <row r="3" spans="1:37" ht="18" customHeight="1" thickBot="1">
      <c r="A3" s="1386" t="s">
        <v>806</v>
      </c>
      <c r="B3" s="1387">
        <f ca="1">IF(ISERROR(B2*10000/F43),0,ROUND(B2*10000/F43,0))</f>
        <v>-1993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42" t="s">
        <v>694</v>
      </c>
      <c r="C6" s="1071">
        <f ca="1">ROUND(F6*F8*F7*(1-F9)/10000,0)</f>
        <v>1</v>
      </c>
      <c r="D6" s="155" t="s">
        <v>2108</v>
      </c>
      <c r="E6" s="302" t="s">
        <v>696</v>
      </c>
      <c r="F6" s="303">
        <f ca="1">INDIRECT("'数据-取费表'!u"&amp;$G$1)</f>
        <v>1</v>
      </c>
      <c r="G6" s="1380"/>
      <c r="H6" s="1066" t="s">
        <v>398</v>
      </c>
      <c r="I6" s="3742" t="s">
        <v>694</v>
      </c>
      <c r="J6" s="301">
        <f ca="1">ROUND(M6*M8*M7*(1-M9)/10000,0)</f>
        <v>0</v>
      </c>
      <c r="K6" s="155" t="s">
        <v>2107</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976</v>
      </c>
      <c r="G7" s="1380"/>
      <c r="H7" s="304"/>
      <c r="I7" s="3743"/>
      <c r="J7" s="306"/>
      <c r="K7" s="307"/>
      <c r="L7" s="302" t="s">
        <v>697</v>
      </c>
      <c r="M7" s="303">
        <f ca="1">F7</f>
        <v>976</v>
      </c>
    </row>
    <row r="8" spans="1:37" ht="18" customHeight="1">
      <c r="A8" s="304"/>
      <c r="B8" s="3743"/>
      <c r="C8" s="306"/>
      <c r="D8" s="307"/>
      <c r="E8" s="302" t="s">
        <v>698</v>
      </c>
      <c r="F8" s="303">
        <f ca="1">INDIRECT("'数据-取费表'!ai"&amp;$G$1)</f>
        <v>12</v>
      </c>
      <c r="G8" s="1380"/>
      <c r="H8" s="304"/>
      <c r="I8" s="3743"/>
      <c r="J8" s="306"/>
      <c r="K8" s="307"/>
      <c r="L8" s="302" t="s">
        <v>698</v>
      </c>
      <c r="M8" s="303">
        <f ca="1">INDIRECT("'数据-取费表'!ai"&amp;$G$1)</f>
        <v>12</v>
      </c>
    </row>
    <row r="9" spans="1:37" ht="18" customHeight="1">
      <c r="A9" s="304"/>
      <c r="B9" s="3744"/>
      <c r="C9" s="306"/>
      <c r="D9" s="307"/>
      <c r="E9" s="302" t="s">
        <v>699</v>
      </c>
      <c r="F9" s="312">
        <f ca="1">INDIRECT("'数据-取费表'!w"&amp;$G$1)</f>
        <v>0.1</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-9175</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28.729999999999997</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-1993</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1818</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3957</v>
      </c>
      <c r="K47" s="1412" t="s">
        <v>816</v>
      </c>
      <c r="L47" s="1413">
        <f ca="1">INDIRECT("'数据-取费表'!d"&amp;$G$1)</f>
        <v>40</v>
      </c>
      <c r="M47" s="1376" t="str">
        <f>IF(ISNUMBER(FIND("住宅",C1)),"住宅","非住宅")</f>
        <v>非住宅</v>
      </c>
      <c r="O47" s="1414" t="s">
        <v>403</v>
      </c>
      <c r="P47" s="1415" t="s">
        <v>817</v>
      </c>
      <c r="Q47" s="1416">
        <f ca="1">C40+J29</f>
        <v>-9175</v>
      </c>
      <c r="R47" s="1416" t="s">
        <v>818</v>
      </c>
    </row>
    <row r="48" spans="1:18" s="1380" customFormat="1" ht="28.5" thickBot="1">
      <c r="A48" s="1107" t="s">
        <v>438</v>
      </c>
      <c r="B48" s="300" t="s">
        <v>692</v>
      </c>
      <c r="C48" s="1355">
        <f ca="1">C49+C53+C55</f>
        <v>0</v>
      </c>
      <c r="D48" s="1109"/>
      <c r="E48" s="1110"/>
      <c r="F48" s="959"/>
      <c r="G48" s="722"/>
      <c r="H48" s="723"/>
      <c r="I48" s="1417" t="s">
        <v>819</v>
      </c>
      <c r="J48" s="1418" t="s">
        <v>3958</v>
      </c>
      <c r="K48" s="1419" t="s">
        <v>820</v>
      </c>
      <c r="L48" s="1420">
        <f ca="1">INDIRECT("'数据-取费表'!f"&amp;$G$1)</f>
        <v>28.88</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28.729999999999997</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28.729999999999997</v>
      </c>
      <c r="K53" s="3745" t="s">
        <v>837</v>
      </c>
      <c r="L53" s="3746"/>
      <c r="O53" s="1414" t="s">
        <v>409</v>
      </c>
      <c r="P53" s="1415" t="s">
        <v>838</v>
      </c>
      <c r="Q53" s="1416">
        <f ca="1">Q47+Q48</f>
        <v>-9175</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-9175</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-9175</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-9175</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-7357</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28.729999999999997</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-1598</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-9175</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5.8179999999999996</v>
      </c>
    </row>
    <row r="83" spans="2:3">
      <c r="B83" s="273" t="s">
        <v>803</v>
      </c>
      <c r="C83" s="274">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11</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11"/>
      <c r="B4" s="3812"/>
      <c r="C4" s="3812"/>
      <c r="D4" s="3813"/>
      <c r="E4" s="3813"/>
      <c r="F4" s="3813"/>
      <c r="G4" s="3813"/>
      <c r="H4" s="3813"/>
      <c r="I4" s="3813"/>
      <c r="J4" s="3814"/>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11</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8" t="s">
        <v>1960</v>
      </c>
      <c r="X8" s="380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1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1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5" t="s">
        <v>3260</v>
      </c>
      <c r="B20" s="167" t="s">
        <v>1994</v>
      </c>
      <c r="C20" s="3321" t="e">
        <f>ROUND(IF(F21="与级别开发程度一致",0,(G21-E21)/C21),0)</f>
        <v>#DIV/0!</v>
      </c>
      <c r="D20" s="3337" t="s">
        <v>1998</v>
      </c>
      <c r="E20" s="3338"/>
      <c r="F20" s="3821" t="s">
        <v>1995</v>
      </c>
      <c r="G20" s="3822"/>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45005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t="str">
        <f>IF(E26=G26,F26,IF(G3&lt;10,ROUND(F26+(H26-F26)*(G3-E26)/(G26-E26),4),"——"))</f>
        <v>--</v>
      </c>
      <c r="E26" s="749">
        <f>ROUNDDOWN(G3,1)</f>
        <v>11</v>
      </c>
      <c r="F26" s="1348"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49">
        <f>ROUNDUP(G3,1)</f>
        <v>11</v>
      </c>
      <c r="H26" s="1348"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3264</v>
      </c>
      <c r="J26" s="769">
        <f>IF(G3&gt;=10,D115,"——")</f>
        <v>0</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2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0"/>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7" t="s">
        <v>3300</v>
      </c>
      <c r="B103" s="3817"/>
      <c r="C103" s="3817"/>
      <c r="D103" s="3817"/>
      <c r="E103" s="3817"/>
      <c r="F103" s="3817"/>
      <c r="G103" s="3817"/>
      <c r="H103" s="3817"/>
      <c r="I103" s="3817"/>
      <c r="J103" s="3817"/>
      <c r="K103" s="3386"/>
      <c r="L103" s="3386"/>
      <c r="M103" s="3386"/>
      <c r="N103" s="3386"/>
    </row>
    <row r="104" spans="1:14">
      <c r="A104" s="3818" t="s">
        <v>3301</v>
      </c>
      <c r="B104" s="3818" t="s">
        <v>3302</v>
      </c>
      <c r="C104" s="3387" t="s">
        <v>3303</v>
      </c>
      <c r="D104" s="3388"/>
      <c r="E104" s="3388"/>
      <c r="F104" s="3388"/>
      <c r="G104" s="3388"/>
      <c r="H104" s="3388"/>
      <c r="I104" s="3388"/>
      <c r="J104" s="3389"/>
      <c r="K104" s="3390"/>
      <c r="L104" s="3390"/>
      <c r="M104" s="3390"/>
      <c r="N104" s="3390"/>
    </row>
    <row r="105" spans="1:14">
      <c r="A105" s="3818"/>
      <c r="B105" s="381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80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7" t="s">
        <v>3317</v>
      </c>
      <c r="B113" s="3807"/>
      <c r="C113" s="3807"/>
      <c r="D113" s="3807"/>
      <c r="E113" s="3807"/>
      <c r="F113" s="3807"/>
      <c r="G113" s="3807"/>
      <c r="H113" s="3807"/>
      <c r="I113" s="3807"/>
      <c r="J113" s="380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11</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0.87580000000000002</v>
      </c>
      <c r="C118" s="3384">
        <f>B118</f>
        <v>0.87580000000000002</v>
      </c>
      <c r="D118" s="3384">
        <f>ROUND(0.949-0.014*B116,4)</f>
        <v>0.79500000000000004</v>
      </c>
      <c r="E118" s="3384">
        <f>D118</f>
        <v>0.79500000000000004</v>
      </c>
      <c r="F118" s="3384">
        <f>E118</f>
        <v>0.79500000000000004</v>
      </c>
      <c r="G118" s="3384">
        <f>F118</f>
        <v>0.79500000000000004</v>
      </c>
      <c r="H118" s="3384">
        <f>G118</f>
        <v>0.79500000000000004</v>
      </c>
      <c r="I118" s="3384">
        <f>ROUND(0.8486-0.018*B116,4)</f>
        <v>0.65059999999999996</v>
      </c>
      <c r="J118" s="3384">
        <f t="shared" ref="J118:M122" si="35">I118</f>
        <v>0.65059999999999996</v>
      </c>
      <c r="K118" s="3384">
        <f t="shared" si="35"/>
        <v>0.65059999999999996</v>
      </c>
      <c r="L118" s="3384">
        <f t="shared" si="35"/>
        <v>0.65059999999999996</v>
      </c>
      <c r="M118" s="3407">
        <f t="shared" si="35"/>
        <v>0.65059999999999996</v>
      </c>
      <c r="N118" s="3394"/>
    </row>
    <row r="119" spans="1:14">
      <c r="A119" s="3406" t="s">
        <v>3335</v>
      </c>
      <c r="B119" s="3384">
        <f>ROUND(0.993-0.0112*B116,4)</f>
        <v>0.86980000000000002</v>
      </c>
      <c r="C119" s="3384">
        <f>B119</f>
        <v>0.86980000000000002</v>
      </c>
      <c r="D119" s="3384">
        <f>ROUND(0.9415-0.0142*B116,4)</f>
        <v>0.7853</v>
      </c>
      <c r="E119" s="3384">
        <f t="shared" ref="E119:H120" si="36">D119</f>
        <v>0.7853</v>
      </c>
      <c r="F119" s="3384">
        <f t="shared" si="36"/>
        <v>0.7853</v>
      </c>
      <c r="G119" s="3384">
        <f t="shared" si="36"/>
        <v>0.7853</v>
      </c>
      <c r="H119" s="3384">
        <f t="shared" si="36"/>
        <v>0.7853</v>
      </c>
      <c r="I119" s="3384">
        <f>ROUND(0.838-0.0182*B116,4)</f>
        <v>0.63780000000000003</v>
      </c>
      <c r="J119" s="3384">
        <f t="shared" si="35"/>
        <v>0.63780000000000003</v>
      </c>
      <c r="K119" s="3384">
        <f t="shared" si="35"/>
        <v>0.63780000000000003</v>
      </c>
      <c r="L119" s="3384">
        <f t="shared" si="35"/>
        <v>0.63780000000000003</v>
      </c>
      <c r="M119" s="3407">
        <f t="shared" si="35"/>
        <v>0.63780000000000003</v>
      </c>
      <c r="N119" s="3394"/>
    </row>
    <row r="120" spans="1:14">
      <c r="A120" s="3406" t="s">
        <v>3336</v>
      </c>
      <c r="B120" s="3384">
        <f>ROUND(0.9448-0.0115*B116,4)</f>
        <v>0.81830000000000003</v>
      </c>
      <c r="C120" s="3384">
        <f>B120</f>
        <v>0.81830000000000003</v>
      </c>
      <c r="D120" s="3384">
        <f>ROUND(0.937-0.0145*B116,4)</f>
        <v>0.77749999999999997</v>
      </c>
      <c r="E120" s="3384">
        <f t="shared" si="36"/>
        <v>0.77749999999999997</v>
      </c>
      <c r="F120" s="3384">
        <f t="shared" si="36"/>
        <v>0.77749999999999997</v>
      </c>
      <c r="G120" s="3384">
        <f t="shared" si="36"/>
        <v>0.77749999999999997</v>
      </c>
      <c r="H120" s="3384">
        <f t="shared" si="36"/>
        <v>0.77749999999999997</v>
      </c>
      <c r="I120" s="3384">
        <f>ROUND(0.7965-0.0185*B116,4)</f>
        <v>0.59299999999999997</v>
      </c>
      <c r="J120" s="3384">
        <f t="shared" si="35"/>
        <v>0.59299999999999997</v>
      </c>
      <c r="K120" s="3384">
        <f t="shared" si="35"/>
        <v>0.59299999999999997</v>
      </c>
      <c r="L120" s="3384">
        <f t="shared" si="35"/>
        <v>0.59299999999999997</v>
      </c>
      <c r="M120" s="3407">
        <f t="shared" si="35"/>
        <v>0.59299999999999997</v>
      </c>
      <c r="N120" s="3394"/>
    </row>
    <row r="121" spans="1:14" ht="13.5" thickBot="1">
      <c r="A121" s="3408" t="s">
        <v>3337</v>
      </c>
      <c r="B121" s="3409">
        <f>ROUND(0.7836-0.012*B116,4)</f>
        <v>0.65159999999999996</v>
      </c>
      <c r="C121" s="3409">
        <f>B121</f>
        <v>0.65159999999999996</v>
      </c>
      <c r="D121" s="3409">
        <f>ROUND(0.753-0.015*B116,4)</f>
        <v>0.58799999999999997</v>
      </c>
      <c r="E121" s="3409">
        <f>D121</f>
        <v>0.58799999999999997</v>
      </c>
      <c r="F121" s="3409">
        <f>E121</f>
        <v>0.58799999999999997</v>
      </c>
      <c r="G121" s="3409">
        <f>ROUND(0.6612-0.018*B116,4)</f>
        <v>0.4632</v>
      </c>
      <c r="H121" s="3409">
        <f>G121</f>
        <v>0.4632</v>
      </c>
      <c r="I121" s="3409">
        <f>ROUND(0.5905-0.019*B116,4)</f>
        <v>0.38150000000000001</v>
      </c>
      <c r="J121" s="3409">
        <f t="shared" si="35"/>
        <v>0.38150000000000001</v>
      </c>
      <c r="K121" s="3409">
        <f t="shared" si="35"/>
        <v>0.38150000000000001</v>
      </c>
      <c r="L121" s="3409">
        <f t="shared" si="35"/>
        <v>0.38150000000000001</v>
      </c>
      <c r="M121" s="3410">
        <f t="shared" si="35"/>
        <v>0.38150000000000001</v>
      </c>
      <c r="N121" s="3394"/>
    </row>
    <row r="122" spans="1:14">
      <c r="A122" s="3411" t="s">
        <v>2614</v>
      </c>
      <c r="B122" s="3384">
        <f>ROUND(0.9404-0.0106*B116,4)</f>
        <v>0.82379999999999998</v>
      </c>
      <c r="C122" s="3384">
        <f>B122</f>
        <v>0.82379999999999998</v>
      </c>
      <c r="D122" s="3384">
        <f>ROUND(0.8955-0.0135*B116,4)</f>
        <v>0.747</v>
      </c>
      <c r="E122" s="3384">
        <f t="shared" ref="E122:H122" si="37">D122</f>
        <v>0.747</v>
      </c>
      <c r="F122" s="3384">
        <f t="shared" si="37"/>
        <v>0.747</v>
      </c>
      <c r="G122" s="3384">
        <f t="shared" si="37"/>
        <v>0.747</v>
      </c>
      <c r="H122" s="3384">
        <f t="shared" si="37"/>
        <v>0.747</v>
      </c>
      <c r="I122" s="3384">
        <f>ROUND(0.7632-0.0166*B116,4)</f>
        <v>0.5806</v>
      </c>
      <c r="J122" s="3384">
        <f t="shared" si="35"/>
        <v>0.5806</v>
      </c>
      <c r="K122" s="3384">
        <f t="shared" si="35"/>
        <v>0.5806</v>
      </c>
      <c r="L122" s="3384">
        <f t="shared" si="35"/>
        <v>0.5806</v>
      </c>
      <c r="M122" s="3407">
        <f t="shared" si="35"/>
        <v>0.5806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30" t="s">
        <v>2609</v>
      </c>
      <c r="B20" s="3823" t="s">
        <v>2630</v>
      </c>
      <c r="C20" s="3099" t="s">
        <v>2441</v>
      </c>
      <c r="D20" s="3100"/>
      <c r="E20" s="3101">
        <v>1</v>
      </c>
      <c r="F20" s="3102" t="s">
        <v>2442</v>
      </c>
      <c r="G20" s="3102"/>
    </row>
    <row r="21" spans="1:13" ht="19.5" customHeight="1">
      <c r="A21" s="3831"/>
      <c r="B21" s="3824"/>
      <c r="C21" s="3103" t="s">
        <v>2443</v>
      </c>
      <c r="D21" s="3104"/>
      <c r="E21" s="3105">
        <v>1</v>
      </c>
      <c r="F21" s="3102" t="s">
        <v>2444</v>
      </c>
      <c r="G21" s="3102"/>
    </row>
    <row r="22" spans="1:13" ht="19.5" customHeight="1">
      <c r="A22" s="3831"/>
      <c r="B22" s="3824"/>
      <c r="C22" s="3103" t="s">
        <v>2445</v>
      </c>
      <c r="D22" s="3104"/>
      <c r="E22" s="3105">
        <v>0.9</v>
      </c>
      <c r="F22" s="3102" t="s">
        <v>2446</v>
      </c>
      <c r="G22" s="3102"/>
    </row>
    <row r="23" spans="1:13" ht="19.5" customHeight="1">
      <c r="A23" s="3831"/>
      <c r="B23" s="3824"/>
      <c r="C23" s="3103" t="s">
        <v>2447</v>
      </c>
      <c r="D23" s="3104"/>
      <c r="E23" s="3105">
        <v>0.9</v>
      </c>
      <c r="F23" s="3102" t="s">
        <v>2448</v>
      </c>
      <c r="G23" s="3102"/>
    </row>
    <row r="24" spans="1:13" ht="19.5" customHeight="1">
      <c r="A24" s="3831"/>
      <c r="B24" s="3824"/>
      <c r="C24" s="3103" t="s">
        <v>2449</v>
      </c>
      <c r="D24" s="3104"/>
      <c r="E24" s="3105">
        <v>0.8</v>
      </c>
      <c r="F24" s="3102" t="s">
        <v>2450</v>
      </c>
      <c r="G24" s="3102"/>
    </row>
    <row r="25" spans="1:13" ht="19.5" customHeight="1" thickBot="1">
      <c r="A25" s="3832"/>
      <c r="B25" s="3825"/>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6" t="s">
        <v>2633</v>
      </c>
      <c r="B27" s="3823" t="s">
        <v>2614</v>
      </c>
      <c r="C27" s="3099" t="s">
        <v>2454</v>
      </c>
      <c r="D27" s="3100"/>
      <c r="E27" s="3101">
        <v>1</v>
      </c>
      <c r="F27" s="3102" t="s">
        <v>2455</v>
      </c>
      <c r="G27" s="3102"/>
    </row>
    <row r="28" spans="1:13" ht="19.5" customHeight="1">
      <c r="A28" s="3827"/>
      <c r="B28" s="3824"/>
      <c r="C28" s="3103" t="s">
        <v>2456</v>
      </c>
      <c r="D28" s="3104"/>
      <c r="E28" s="3105">
        <v>1</v>
      </c>
      <c r="F28" s="3102" t="s">
        <v>2457</v>
      </c>
      <c r="G28" s="3102"/>
    </row>
    <row r="29" spans="1:13" ht="19.5" customHeight="1">
      <c r="A29" s="3827"/>
      <c r="B29" s="3824"/>
      <c r="C29" s="3103" t="s">
        <v>2458</v>
      </c>
      <c r="D29" s="3104"/>
      <c r="E29" s="3105">
        <v>0.8</v>
      </c>
      <c r="F29" s="3102" t="s">
        <v>2459</v>
      </c>
      <c r="G29" s="3102"/>
    </row>
    <row r="30" spans="1:13" ht="19.5" customHeight="1">
      <c r="A30" s="3827"/>
      <c r="B30" s="3824"/>
      <c r="C30" s="3103" t="s">
        <v>2460</v>
      </c>
      <c r="D30" s="3104"/>
      <c r="E30" s="3105">
        <v>0.8</v>
      </c>
      <c r="F30" s="3102" t="s">
        <v>2461</v>
      </c>
      <c r="G30" s="3102"/>
    </row>
    <row r="31" spans="1:13" ht="19.5" customHeight="1">
      <c r="A31" s="3827"/>
      <c r="B31" s="3824"/>
      <c r="C31" s="3103" t="s">
        <v>2462</v>
      </c>
      <c r="D31" s="3104"/>
      <c r="E31" s="3105">
        <v>0.8</v>
      </c>
      <c r="F31" s="3102" t="s">
        <v>2463</v>
      </c>
      <c r="G31" s="3102"/>
    </row>
    <row r="32" spans="1:13" ht="19.5" customHeight="1">
      <c r="A32" s="3827"/>
      <c r="B32" s="3824"/>
      <c r="C32" s="3103" t="s">
        <v>2464</v>
      </c>
      <c r="D32" s="3104"/>
      <c r="E32" s="3105">
        <v>0.7</v>
      </c>
      <c r="F32" s="3102" t="s">
        <v>2465</v>
      </c>
      <c r="G32" s="3102"/>
    </row>
    <row r="33" spans="1:7" ht="19.5" customHeight="1">
      <c r="A33" s="3827"/>
      <c r="B33" s="3824"/>
      <c r="C33" s="3103" t="s">
        <v>2466</v>
      </c>
      <c r="D33" s="3104"/>
      <c r="E33" s="3105">
        <v>0.8</v>
      </c>
      <c r="F33" s="3102" t="s">
        <v>2467</v>
      </c>
      <c r="G33" s="3102"/>
    </row>
    <row r="34" spans="1:7" ht="19.5" customHeight="1">
      <c r="A34" s="3827"/>
      <c r="B34" s="3824"/>
      <c r="C34" s="3103" t="s">
        <v>2468</v>
      </c>
      <c r="D34" s="3104"/>
      <c r="E34" s="3105">
        <v>0.6</v>
      </c>
      <c r="F34" s="3102" t="s">
        <v>2469</v>
      </c>
      <c r="G34" s="3102"/>
    </row>
    <row r="35" spans="1:7" ht="19.5" customHeight="1">
      <c r="A35" s="3827"/>
      <c r="B35" s="3824"/>
      <c r="C35" s="3103" t="s">
        <v>2470</v>
      </c>
      <c r="D35" s="3104"/>
      <c r="E35" s="3105">
        <v>0.2</v>
      </c>
      <c r="F35" s="3102" t="s">
        <v>2471</v>
      </c>
      <c r="G35" s="3102"/>
    </row>
    <row r="36" spans="1:7" ht="19.5" customHeight="1">
      <c r="A36" s="3827"/>
      <c r="B36" s="3824"/>
      <c r="C36" s="3103" t="s">
        <v>2472</v>
      </c>
      <c r="D36" s="3104"/>
      <c r="E36" s="3105">
        <v>0.2</v>
      </c>
      <c r="F36" s="3102" t="s">
        <v>2473</v>
      </c>
      <c r="G36" s="3102"/>
    </row>
    <row r="37" spans="1:7" ht="19.5" customHeight="1">
      <c r="A37" s="3827"/>
      <c r="B37" s="3829" t="s">
        <v>2634</v>
      </c>
      <c r="C37" s="3103" t="s">
        <v>2474</v>
      </c>
      <c r="D37" s="3104"/>
      <c r="E37" s="3105">
        <v>0.6</v>
      </c>
      <c r="F37" s="3102" t="s">
        <v>2475</v>
      </c>
      <c r="G37" s="3102"/>
    </row>
    <row r="38" spans="1:7" ht="19.5" customHeight="1">
      <c r="A38" s="3827"/>
      <c r="B38" s="3824"/>
      <c r="C38" s="3103" t="s">
        <v>2476</v>
      </c>
      <c r="D38" s="3104"/>
      <c r="E38" s="3105">
        <v>0.6</v>
      </c>
      <c r="F38" s="3102" t="s">
        <v>2477</v>
      </c>
      <c r="G38" s="3102"/>
    </row>
    <row r="39" spans="1:7" ht="19.5" customHeight="1" thickBot="1">
      <c r="A39" s="3828"/>
      <c r="B39" s="3825"/>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30" t="s">
        <v>2612</v>
      </c>
      <c r="B41" s="3823" t="s">
        <v>2636</v>
      </c>
      <c r="C41" s="3099" t="s">
        <v>2481</v>
      </c>
      <c r="D41" s="3100"/>
      <c r="E41" s="3101">
        <v>1</v>
      </c>
      <c r="F41" s="3102" t="s">
        <v>2482</v>
      </c>
      <c r="G41" s="3102"/>
    </row>
    <row r="42" spans="1:7" ht="19.5" customHeight="1">
      <c r="A42" s="3831"/>
      <c r="B42" s="3824"/>
      <c r="C42" s="3103" t="s">
        <v>2483</v>
      </c>
      <c r="D42" s="3104"/>
      <c r="E42" s="3105">
        <v>1</v>
      </c>
      <c r="F42" s="3102" t="s">
        <v>2484</v>
      </c>
      <c r="G42" s="3102"/>
    </row>
    <row r="43" spans="1:7" ht="19.5" customHeight="1">
      <c r="A43" s="3831"/>
      <c r="B43" s="3833"/>
      <c r="C43" s="3103" t="s">
        <v>2485</v>
      </c>
      <c r="D43" s="3104"/>
      <c r="E43" s="3105">
        <v>1.5</v>
      </c>
      <c r="F43" s="3102" t="s">
        <v>2486</v>
      </c>
      <c r="G43" s="3102"/>
    </row>
    <row r="44" spans="1:7" ht="19.5" customHeight="1">
      <c r="A44" s="3831"/>
      <c r="B44" s="3114" t="s">
        <v>2637</v>
      </c>
      <c r="C44" s="3103" t="s">
        <v>2638</v>
      </c>
      <c r="D44" s="3104"/>
      <c r="E44" s="3105">
        <v>2</v>
      </c>
      <c r="F44" s="3102" t="s">
        <v>2487</v>
      </c>
      <c r="G44" s="3102"/>
    </row>
    <row r="45" spans="1:7" ht="19.5" customHeight="1">
      <c r="A45" s="3831"/>
      <c r="B45" s="3829" t="s">
        <v>2639</v>
      </c>
      <c r="C45" s="3103" t="s">
        <v>2488</v>
      </c>
      <c r="D45" s="3104"/>
      <c r="E45" s="3105">
        <v>1</v>
      </c>
      <c r="F45" s="3102" t="s">
        <v>2489</v>
      </c>
      <c r="G45" s="3102"/>
    </row>
    <row r="46" spans="1:7" ht="19.5" customHeight="1">
      <c r="A46" s="3831"/>
      <c r="B46" s="3824"/>
      <c r="C46" s="3103" t="s">
        <v>2490</v>
      </c>
      <c r="D46" s="3104"/>
      <c r="E46" s="3105">
        <v>1</v>
      </c>
      <c r="F46" s="3102" t="s">
        <v>2491</v>
      </c>
      <c r="G46" s="3102"/>
    </row>
    <row r="47" spans="1:7" ht="19.5" customHeight="1">
      <c r="A47" s="3831"/>
      <c r="B47" s="3824"/>
      <c r="C47" s="3103" t="s">
        <v>2492</v>
      </c>
      <c r="D47" s="3104"/>
      <c r="E47" s="3105">
        <v>1</v>
      </c>
      <c r="F47" s="3102" t="s">
        <v>2493</v>
      </c>
      <c r="G47" s="3102"/>
    </row>
    <row r="48" spans="1:7" ht="19.5" customHeight="1">
      <c r="A48" s="3831"/>
      <c r="B48" s="3824"/>
      <c r="C48" s="3103" t="s">
        <v>2494</v>
      </c>
      <c r="D48" s="3104"/>
      <c r="E48" s="3105">
        <v>1</v>
      </c>
      <c r="F48" s="3102" t="s">
        <v>2495</v>
      </c>
      <c r="G48" s="3102"/>
    </row>
    <row r="49" spans="1:7" ht="19.5" customHeight="1">
      <c r="A49" s="3831"/>
      <c r="B49" s="3824"/>
      <c r="C49" s="3103" t="s">
        <v>2496</v>
      </c>
      <c r="D49" s="3104"/>
      <c r="E49" s="3105">
        <v>1</v>
      </c>
      <c r="F49" s="3102" t="s">
        <v>2497</v>
      </c>
      <c r="G49" s="3102"/>
    </row>
    <row r="50" spans="1:7" ht="19.5" customHeight="1">
      <c r="A50" s="3831"/>
      <c r="B50" s="3824"/>
      <c r="C50" s="3103" t="s">
        <v>2498</v>
      </c>
      <c r="D50" s="3104"/>
      <c r="E50" s="3105">
        <v>1</v>
      </c>
      <c r="F50" s="3102" t="s">
        <v>2499</v>
      </c>
      <c r="G50" s="3102"/>
    </row>
    <row r="51" spans="1:7" ht="19.5" customHeight="1" thickBot="1">
      <c r="A51" s="3832"/>
      <c r="B51" s="3825"/>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29" t="s">
        <v>2653</v>
      </c>
      <c r="C73" s="3088" t="s">
        <v>2654</v>
      </c>
      <c r="D73" s="3088" t="s">
        <v>2655</v>
      </c>
      <c r="E73" s="3114">
        <v>0.2</v>
      </c>
      <c r="F73" s="3114">
        <v>25</v>
      </c>
    </row>
    <row r="74" spans="1:7" ht="24">
      <c r="A74" s="3114">
        <v>2</v>
      </c>
      <c r="B74" s="3824"/>
      <c r="C74" s="3088" t="s">
        <v>2656</v>
      </c>
      <c r="D74" s="3088" t="s">
        <v>2657</v>
      </c>
      <c r="E74" s="3114">
        <v>0.2</v>
      </c>
      <c r="F74" s="3114">
        <v>25</v>
      </c>
    </row>
    <row r="75" spans="1:7" ht="24">
      <c r="A75" s="3114">
        <v>3</v>
      </c>
      <c r="B75" s="3824"/>
      <c r="C75" s="3088" t="s">
        <v>2658</v>
      </c>
      <c r="D75" s="3088" t="s">
        <v>2659</v>
      </c>
      <c r="E75" s="3114">
        <v>0.2</v>
      </c>
      <c r="F75" s="3114">
        <v>25</v>
      </c>
    </row>
    <row r="76" spans="1:7" ht="13.5">
      <c r="A76" s="3114">
        <v>4</v>
      </c>
      <c r="B76" s="3824"/>
      <c r="C76" s="3088" t="s">
        <v>2660</v>
      </c>
      <c r="D76" s="3088" t="s">
        <v>2661</v>
      </c>
      <c r="E76" s="3114">
        <v>0.15</v>
      </c>
      <c r="F76" s="3114">
        <v>20</v>
      </c>
    </row>
    <row r="77" spans="1:7" ht="24">
      <c r="A77" s="3114">
        <v>5</v>
      </c>
      <c r="B77" s="3824"/>
      <c r="C77" s="3088" t="s">
        <v>2662</v>
      </c>
      <c r="D77" s="3088" t="s">
        <v>2663</v>
      </c>
      <c r="E77" s="3114">
        <v>0.15</v>
      </c>
      <c r="F77" s="3114">
        <v>20</v>
      </c>
    </row>
    <row r="78" spans="1:7" ht="24">
      <c r="A78" s="3114">
        <v>6</v>
      </c>
      <c r="B78" s="3824"/>
      <c r="C78" s="3088" t="s">
        <v>2664</v>
      </c>
      <c r="D78" s="3088" t="s">
        <v>2665</v>
      </c>
      <c r="E78" s="3114">
        <v>0.15</v>
      </c>
      <c r="F78" s="3114">
        <v>20</v>
      </c>
    </row>
    <row r="79" spans="1:7" ht="24">
      <c r="A79" s="3114">
        <v>7</v>
      </c>
      <c r="B79" s="3824"/>
      <c r="C79" s="3088" t="s">
        <v>2666</v>
      </c>
      <c r="D79" s="3088" t="s">
        <v>2667</v>
      </c>
      <c r="E79" s="3114">
        <v>0.15</v>
      </c>
      <c r="F79" s="3114">
        <v>20</v>
      </c>
    </row>
    <row r="80" spans="1:7" ht="24">
      <c r="A80" s="3114">
        <v>8</v>
      </c>
      <c r="B80" s="3824"/>
      <c r="C80" s="3088" t="s">
        <v>2668</v>
      </c>
      <c r="D80" s="3088" t="s">
        <v>2669</v>
      </c>
      <c r="E80" s="3114">
        <v>0.1</v>
      </c>
      <c r="F80" s="3114">
        <v>15</v>
      </c>
    </row>
    <row r="81" spans="1:6" ht="24">
      <c r="A81" s="3114">
        <v>9</v>
      </c>
      <c r="B81" s="3824"/>
      <c r="C81" s="3088" t="s">
        <v>2670</v>
      </c>
      <c r="D81" s="3088" t="s">
        <v>2671</v>
      </c>
      <c r="E81" s="3114">
        <v>0.1</v>
      </c>
      <c r="F81" s="3114">
        <v>15</v>
      </c>
    </row>
    <row r="82" spans="1:6" ht="24">
      <c r="A82" s="3114">
        <v>10</v>
      </c>
      <c r="B82" s="3824"/>
      <c r="C82" s="3088" t="s">
        <v>2672</v>
      </c>
      <c r="D82" s="3088" t="s">
        <v>2673</v>
      </c>
      <c r="E82" s="3114">
        <v>0.1</v>
      </c>
      <c r="F82" s="3114">
        <v>15</v>
      </c>
    </row>
    <row r="83" spans="1:6" ht="24">
      <c r="A83" s="3114">
        <v>11</v>
      </c>
      <c r="B83" s="3824"/>
      <c r="C83" s="3088" t="s">
        <v>2674</v>
      </c>
      <c r="D83" s="3088" t="s">
        <v>2675</v>
      </c>
      <c r="E83" s="3114">
        <v>0.1</v>
      </c>
      <c r="F83" s="3114">
        <v>15</v>
      </c>
    </row>
    <row r="84" spans="1:6" ht="24">
      <c r="A84" s="3114">
        <v>12</v>
      </c>
      <c r="B84" s="3824"/>
      <c r="C84" s="3088" t="s">
        <v>2676</v>
      </c>
      <c r="D84" s="3088" t="s">
        <v>2677</v>
      </c>
      <c r="E84" s="3114">
        <v>0.1</v>
      </c>
      <c r="F84" s="3114">
        <v>15</v>
      </c>
    </row>
    <row r="85" spans="1:6" ht="13.5">
      <c r="A85" s="3114">
        <v>13</v>
      </c>
      <c r="B85" s="3824"/>
      <c r="C85" s="3088" t="s">
        <v>2678</v>
      </c>
      <c r="D85" s="3088" t="s">
        <v>2679</v>
      </c>
      <c r="E85" s="3114">
        <v>0.1</v>
      </c>
      <c r="F85" s="3114">
        <v>15</v>
      </c>
    </row>
    <row r="86" spans="1:6" ht="13.5">
      <c r="A86" s="3114">
        <v>14</v>
      </c>
      <c r="B86" s="3824"/>
      <c r="C86" s="3088" t="s">
        <v>2680</v>
      </c>
      <c r="D86" s="3088" t="s">
        <v>2681</v>
      </c>
      <c r="E86" s="3114">
        <v>0.1</v>
      </c>
      <c r="F86" s="3114">
        <v>15</v>
      </c>
    </row>
    <row r="87" spans="1:6" ht="13.5">
      <c r="A87" s="3114">
        <v>15</v>
      </c>
      <c r="B87" s="3824"/>
      <c r="C87" s="3088" t="s">
        <v>2682</v>
      </c>
      <c r="D87" s="3088" t="s">
        <v>2683</v>
      </c>
      <c r="E87" s="3114">
        <v>0.1</v>
      </c>
      <c r="F87" s="3114">
        <v>15</v>
      </c>
    </row>
    <row r="88" spans="1:6" ht="24">
      <c r="A88" s="3114">
        <v>16</v>
      </c>
      <c r="B88" s="3824"/>
      <c r="C88" s="3088" t="s">
        <v>2684</v>
      </c>
      <c r="D88" s="3088" t="s">
        <v>2685</v>
      </c>
      <c r="E88" s="3114">
        <v>0.1</v>
      </c>
      <c r="F88" s="3114">
        <v>15</v>
      </c>
    </row>
    <row r="89" spans="1:6" ht="24">
      <c r="A89" s="3114">
        <v>17</v>
      </c>
      <c r="B89" s="3833"/>
      <c r="C89" s="3088" t="s">
        <v>2686</v>
      </c>
      <c r="D89" s="3088" t="s">
        <v>2687</v>
      </c>
      <c r="E89" s="3114">
        <v>0.1</v>
      </c>
      <c r="F89" s="3114">
        <v>15</v>
      </c>
    </row>
    <row r="90" spans="1:6" ht="13.5">
      <c r="A90" s="3114">
        <v>18</v>
      </c>
      <c r="B90" s="3829" t="s">
        <v>2688</v>
      </c>
      <c r="C90" s="3088" t="s">
        <v>2689</v>
      </c>
      <c r="D90" s="3088" t="s">
        <v>2690</v>
      </c>
      <c r="E90" s="3114">
        <v>0.2</v>
      </c>
      <c r="F90" s="3114">
        <v>25</v>
      </c>
    </row>
    <row r="91" spans="1:6" ht="24">
      <c r="A91" s="3114">
        <v>19</v>
      </c>
      <c r="B91" s="3824"/>
      <c r="C91" s="3088" t="s">
        <v>2691</v>
      </c>
      <c r="D91" s="3088" t="s">
        <v>2692</v>
      </c>
      <c r="E91" s="3114">
        <v>0.2</v>
      </c>
      <c r="F91" s="3114">
        <v>25</v>
      </c>
    </row>
    <row r="92" spans="1:6" ht="13.5">
      <c r="A92" s="3114">
        <v>20</v>
      </c>
      <c r="B92" s="3824"/>
      <c r="C92" s="3088" t="s">
        <v>2693</v>
      </c>
      <c r="D92" s="3088" t="s">
        <v>2694</v>
      </c>
      <c r="E92" s="3114">
        <v>0.15</v>
      </c>
      <c r="F92" s="3114">
        <v>20</v>
      </c>
    </row>
    <row r="93" spans="1:6" ht="13.5">
      <c r="A93" s="3114">
        <v>21</v>
      </c>
      <c r="B93" s="3824"/>
      <c r="C93" s="3088" t="s">
        <v>2695</v>
      </c>
      <c r="D93" s="3088" t="s">
        <v>2696</v>
      </c>
      <c r="E93" s="3114">
        <v>0.15</v>
      </c>
      <c r="F93" s="3114">
        <v>20</v>
      </c>
    </row>
    <row r="94" spans="1:6" ht="13.5">
      <c r="A94" s="3114">
        <v>22</v>
      </c>
      <c r="B94" s="3824"/>
      <c r="C94" s="3088" t="s">
        <v>2697</v>
      </c>
      <c r="D94" s="3088" t="s">
        <v>2698</v>
      </c>
      <c r="E94" s="3114">
        <v>0.15</v>
      </c>
      <c r="F94" s="3114">
        <v>20</v>
      </c>
    </row>
    <row r="95" spans="1:6" ht="36">
      <c r="A95" s="3114">
        <v>23</v>
      </c>
      <c r="B95" s="3824"/>
      <c r="C95" s="3088" t="s">
        <v>2699</v>
      </c>
      <c r="D95" s="3088" t="s">
        <v>2700</v>
      </c>
      <c r="E95" s="3114">
        <v>0.15</v>
      </c>
      <c r="F95" s="3114">
        <v>20</v>
      </c>
    </row>
    <row r="96" spans="1:6" ht="13.5">
      <c r="A96" s="3114">
        <v>24</v>
      </c>
      <c r="B96" s="3824"/>
      <c r="C96" s="3088" t="s">
        <v>2701</v>
      </c>
      <c r="D96" s="3088" t="s">
        <v>2702</v>
      </c>
      <c r="E96" s="3114">
        <v>0.1</v>
      </c>
      <c r="F96" s="3114">
        <v>15</v>
      </c>
    </row>
    <row r="97" spans="1:6" ht="13.5">
      <c r="A97" s="3114">
        <v>25</v>
      </c>
      <c r="B97" s="3824"/>
      <c r="C97" s="3088" t="s">
        <v>2703</v>
      </c>
      <c r="D97" s="3088" t="s">
        <v>2704</v>
      </c>
      <c r="E97" s="3114">
        <v>0.1</v>
      </c>
      <c r="F97" s="3114">
        <v>15</v>
      </c>
    </row>
    <row r="98" spans="1:6" ht="24">
      <c r="A98" s="3114">
        <v>26</v>
      </c>
      <c r="B98" s="3824"/>
      <c r="C98" s="3088" t="s">
        <v>2705</v>
      </c>
      <c r="D98" s="3088" t="s">
        <v>2706</v>
      </c>
      <c r="E98" s="3114">
        <v>0.1</v>
      </c>
      <c r="F98" s="3114">
        <v>15</v>
      </c>
    </row>
    <row r="99" spans="1:6" ht="24">
      <c r="A99" s="3114">
        <v>27</v>
      </c>
      <c r="B99" s="3824"/>
      <c r="C99" s="3088" t="s">
        <v>2707</v>
      </c>
      <c r="D99" s="3088" t="s">
        <v>2708</v>
      </c>
      <c r="E99" s="3114">
        <v>0.1</v>
      </c>
      <c r="F99" s="3114">
        <v>15</v>
      </c>
    </row>
    <row r="100" spans="1:6" ht="13.5">
      <c r="A100" s="3114">
        <v>28</v>
      </c>
      <c r="B100" s="3824"/>
      <c r="C100" s="3088" t="s">
        <v>2709</v>
      </c>
      <c r="D100" s="3088" t="s">
        <v>2710</v>
      </c>
      <c r="E100" s="3114">
        <v>0.1</v>
      </c>
      <c r="F100" s="3114">
        <v>15</v>
      </c>
    </row>
    <row r="101" spans="1:6" ht="13.5">
      <c r="A101" s="3114">
        <v>29</v>
      </c>
      <c r="B101" s="3824"/>
      <c r="C101" s="3088" t="s">
        <v>2711</v>
      </c>
      <c r="D101" s="3088" t="s">
        <v>2712</v>
      </c>
      <c r="E101" s="3114">
        <v>0.1</v>
      </c>
      <c r="F101" s="3114">
        <v>15</v>
      </c>
    </row>
    <row r="102" spans="1:6" ht="13.5">
      <c r="A102" s="3114">
        <v>30</v>
      </c>
      <c r="B102" s="3824"/>
      <c r="C102" s="3088" t="s">
        <v>2713</v>
      </c>
      <c r="D102" s="3088" t="s">
        <v>2714</v>
      </c>
      <c r="E102" s="3114">
        <v>0.1</v>
      </c>
      <c r="F102" s="3114">
        <v>15</v>
      </c>
    </row>
    <row r="103" spans="1:6" ht="24">
      <c r="A103" s="3114">
        <v>31</v>
      </c>
      <c r="B103" s="3824"/>
      <c r="C103" s="3088" t="s">
        <v>2715</v>
      </c>
      <c r="D103" s="3088" t="s">
        <v>2716</v>
      </c>
      <c r="E103" s="3114">
        <v>0.1</v>
      </c>
      <c r="F103" s="3114">
        <v>15</v>
      </c>
    </row>
    <row r="104" spans="1:6" ht="24">
      <c r="A104" s="3114">
        <v>32</v>
      </c>
      <c r="B104" s="3824"/>
      <c r="C104" s="3088" t="s">
        <v>2717</v>
      </c>
      <c r="D104" s="3088" t="s">
        <v>2718</v>
      </c>
      <c r="E104" s="3114">
        <v>0.1</v>
      </c>
      <c r="F104" s="3114">
        <v>15</v>
      </c>
    </row>
    <row r="105" spans="1:6" ht="24">
      <c r="A105" s="3114">
        <v>33</v>
      </c>
      <c r="B105" s="3824"/>
      <c r="C105" s="3088" t="s">
        <v>2719</v>
      </c>
      <c r="D105" s="3088" t="s">
        <v>2720</v>
      </c>
      <c r="E105" s="3114">
        <v>0.1</v>
      </c>
      <c r="F105" s="3114">
        <v>15</v>
      </c>
    </row>
    <row r="106" spans="1:6" ht="24">
      <c r="A106" s="3114">
        <v>34</v>
      </c>
      <c r="B106" s="3833"/>
      <c r="C106" s="3088" t="s">
        <v>2721</v>
      </c>
      <c r="D106" s="3088" t="s">
        <v>2722</v>
      </c>
      <c r="E106" s="3114">
        <v>0.1</v>
      </c>
      <c r="F106" s="3114">
        <v>15</v>
      </c>
    </row>
    <row r="107" spans="1:6" ht="24">
      <c r="A107" s="3114">
        <v>35</v>
      </c>
      <c r="B107" s="3829" t="s">
        <v>2723</v>
      </c>
      <c r="C107" s="3114" t="s">
        <v>2724</v>
      </c>
      <c r="D107" s="3088" t="s">
        <v>2725</v>
      </c>
      <c r="E107" s="3114">
        <v>0.15</v>
      </c>
      <c r="F107" s="3114">
        <v>20</v>
      </c>
    </row>
    <row r="108" spans="1:6" ht="13.5">
      <c r="A108" s="3114">
        <v>36</v>
      </c>
      <c r="B108" s="3824"/>
      <c r="C108" s="3114" t="s">
        <v>2726</v>
      </c>
      <c r="D108" s="3088" t="s">
        <v>2727</v>
      </c>
      <c r="E108" s="3114">
        <v>0.15</v>
      </c>
      <c r="F108" s="3114">
        <v>20</v>
      </c>
    </row>
    <row r="109" spans="1:6" ht="13.5">
      <c r="A109" s="3114">
        <v>37</v>
      </c>
      <c r="B109" s="3824"/>
      <c r="C109" s="3114" t="s">
        <v>2728</v>
      </c>
      <c r="D109" s="3088" t="s">
        <v>2729</v>
      </c>
      <c r="E109" s="3114">
        <v>0.15</v>
      </c>
      <c r="F109" s="3114">
        <v>20</v>
      </c>
    </row>
    <row r="110" spans="1:6" ht="13.5">
      <c r="A110" s="3114">
        <v>38</v>
      </c>
      <c r="B110" s="3824"/>
      <c r="C110" s="3114" t="s">
        <v>2730</v>
      </c>
      <c r="D110" s="3088" t="s">
        <v>2731</v>
      </c>
      <c r="E110" s="3114">
        <v>0.1</v>
      </c>
      <c r="F110" s="3114">
        <v>15</v>
      </c>
    </row>
    <row r="111" spans="1:6" ht="24">
      <c r="A111" s="3114">
        <v>39</v>
      </c>
      <c r="B111" s="3824"/>
      <c r="C111" s="3114" t="s">
        <v>2732</v>
      </c>
      <c r="D111" s="3088" t="s">
        <v>2733</v>
      </c>
      <c r="E111" s="3114">
        <v>0.1</v>
      </c>
      <c r="F111" s="3114">
        <v>15</v>
      </c>
    </row>
    <row r="112" spans="1:6" ht="24">
      <c r="A112" s="3114">
        <v>40</v>
      </c>
      <c r="B112" s="3833"/>
      <c r="C112" s="3114" t="s">
        <v>2734</v>
      </c>
      <c r="D112" s="3088" t="s">
        <v>2735</v>
      </c>
      <c r="E112" s="3114">
        <v>0.1</v>
      </c>
      <c r="F112" s="3114">
        <v>15</v>
      </c>
    </row>
    <row r="113" spans="1:6" ht="13.5">
      <c r="A113" s="3114">
        <v>41</v>
      </c>
      <c r="B113" s="3834" t="s">
        <v>2736</v>
      </c>
      <c r="C113" s="3114" t="s">
        <v>2737</v>
      </c>
      <c r="D113" s="3088" t="s">
        <v>2738</v>
      </c>
      <c r="E113" s="3114">
        <v>0.1</v>
      </c>
      <c r="F113" s="3114">
        <v>15</v>
      </c>
    </row>
    <row r="114" spans="1:6" ht="13.5">
      <c r="A114" s="3114">
        <v>42</v>
      </c>
      <c r="B114" s="3834"/>
      <c r="C114" s="3114" t="s">
        <v>2739</v>
      </c>
      <c r="D114" s="3088" t="s">
        <v>2740</v>
      </c>
      <c r="E114" s="3114">
        <v>0.1</v>
      </c>
      <c r="F114" s="3114">
        <v>15</v>
      </c>
    </row>
    <row r="115" spans="1:6" ht="24">
      <c r="A115" s="3114">
        <v>43</v>
      </c>
      <c r="B115" s="3834"/>
      <c r="C115" s="3114" t="s">
        <v>2741</v>
      </c>
      <c r="D115" s="3088" t="s">
        <v>2742</v>
      </c>
      <c r="E115" s="3114">
        <v>0.1</v>
      </c>
      <c r="F115" s="3114">
        <v>15</v>
      </c>
    </row>
    <row r="116" spans="1:6" ht="13.5">
      <c r="A116" s="3114">
        <v>44</v>
      </c>
      <c r="B116" s="3829" t="s">
        <v>2743</v>
      </c>
      <c r="C116" s="3114" t="s">
        <v>2744</v>
      </c>
      <c r="D116" s="3088" t="s">
        <v>2745</v>
      </c>
      <c r="E116" s="3114">
        <v>0.1</v>
      </c>
      <c r="F116" s="3114">
        <v>15</v>
      </c>
    </row>
    <row r="117" spans="1:6" ht="24">
      <c r="A117" s="3114">
        <v>45</v>
      </c>
      <c r="B117" s="3833"/>
      <c r="C117" s="3088" t="s">
        <v>2746</v>
      </c>
      <c r="D117" s="3088" t="s">
        <v>2747</v>
      </c>
      <c r="E117" s="3114">
        <v>0.1</v>
      </c>
      <c r="F117" s="3114">
        <v>15</v>
      </c>
    </row>
    <row r="118" spans="1:6" ht="24">
      <c r="A118" s="3114">
        <v>46</v>
      </c>
      <c r="B118" s="3829" t="s">
        <v>2748</v>
      </c>
      <c r="C118" s="3114" t="s">
        <v>2749</v>
      </c>
      <c r="D118" s="3088" t="s">
        <v>2750</v>
      </c>
      <c r="E118" s="3114">
        <v>0.1</v>
      </c>
      <c r="F118" s="3114">
        <v>15</v>
      </c>
    </row>
    <row r="119" spans="1:6" ht="24">
      <c r="A119" s="3114">
        <v>47</v>
      </c>
      <c r="B119" s="3833"/>
      <c r="C119" s="3114" t="s">
        <v>2751</v>
      </c>
      <c r="D119" s="3088" t="s">
        <v>2752</v>
      </c>
      <c r="E119" s="3114">
        <v>0.1</v>
      </c>
      <c r="F119" s="3114">
        <v>15</v>
      </c>
    </row>
    <row r="120" spans="1:6" ht="13.5">
      <c r="A120" s="3114">
        <v>48</v>
      </c>
      <c r="B120" s="3829" t="s">
        <v>2753</v>
      </c>
      <c r="C120" s="3114" t="s">
        <v>2754</v>
      </c>
      <c r="D120" s="3088" t="s">
        <v>2755</v>
      </c>
      <c r="E120" s="3114">
        <v>0.1</v>
      </c>
      <c r="F120" s="3114">
        <v>15</v>
      </c>
    </row>
    <row r="121" spans="1:6" ht="13.5">
      <c r="A121" s="3114">
        <v>49</v>
      </c>
      <c r="B121" s="3833"/>
      <c r="C121" s="3114" t="s">
        <v>2756</v>
      </c>
      <c r="D121" s="3088" t="s">
        <v>2757</v>
      </c>
      <c r="E121" s="3114">
        <v>0.1</v>
      </c>
      <c r="F121" s="3114">
        <v>15</v>
      </c>
    </row>
    <row r="122" spans="1:6" ht="24">
      <c r="A122" s="3114">
        <v>50</v>
      </c>
      <c r="B122" s="3834" t="s">
        <v>2758</v>
      </c>
      <c r="C122" s="3114" t="s">
        <v>2759</v>
      </c>
      <c r="D122" s="3088" t="s">
        <v>2760</v>
      </c>
      <c r="E122" s="3114">
        <v>0.1</v>
      </c>
      <c r="F122" s="3114">
        <v>15</v>
      </c>
    </row>
    <row r="123" spans="1:6" ht="24">
      <c r="A123" s="3114">
        <v>51</v>
      </c>
      <c r="B123" s="3834"/>
      <c r="C123" s="3114" t="s">
        <v>2761</v>
      </c>
      <c r="D123" s="3088" t="s">
        <v>2762</v>
      </c>
      <c r="E123" s="3114">
        <v>0.1</v>
      </c>
      <c r="F123" s="3114">
        <v>15</v>
      </c>
    </row>
    <row r="124" spans="1:6" ht="24">
      <c r="A124" s="3114">
        <v>52</v>
      </c>
      <c r="B124" s="3834" t="s">
        <v>2763</v>
      </c>
      <c r="C124" s="3114" t="s">
        <v>2764</v>
      </c>
      <c r="D124" s="3088" t="s">
        <v>2765</v>
      </c>
      <c r="E124" s="3114">
        <v>0.1</v>
      </c>
      <c r="F124" s="3114">
        <v>15</v>
      </c>
    </row>
    <row r="125" spans="1:6" ht="24">
      <c r="A125" s="3114">
        <v>53</v>
      </c>
      <c r="B125" s="3834"/>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34" t="s">
        <v>2771</v>
      </c>
      <c r="C127" s="3114" t="s">
        <v>2772</v>
      </c>
      <c r="D127" s="3088" t="s">
        <v>2773</v>
      </c>
      <c r="E127" s="3114">
        <v>0.1</v>
      </c>
      <c r="F127" s="3114">
        <v>15</v>
      </c>
    </row>
    <row r="128" spans="1:6" ht="13.5">
      <c r="A128" s="3114">
        <v>56</v>
      </c>
      <c r="B128" s="3834"/>
      <c r="C128" s="3114" t="s">
        <v>2774</v>
      </c>
      <c r="D128" s="3088" t="s">
        <v>2775</v>
      </c>
      <c r="E128" s="3114">
        <v>0.1</v>
      </c>
      <c r="F128" s="3114">
        <v>15</v>
      </c>
    </row>
    <row r="129" spans="1:6" ht="24">
      <c r="A129" s="3114">
        <v>57</v>
      </c>
      <c r="B129" s="3834"/>
      <c r="C129" s="3114" t="s">
        <v>2776</v>
      </c>
      <c r="D129" s="3088" t="s">
        <v>2777</v>
      </c>
      <c r="E129" s="3114">
        <v>0.1</v>
      </c>
      <c r="F129" s="3114">
        <v>15</v>
      </c>
    </row>
    <row r="130" spans="1:6" ht="24">
      <c r="A130" s="3114">
        <v>58</v>
      </c>
      <c r="B130" s="3834" t="s">
        <v>2778</v>
      </c>
      <c r="C130" s="3114" t="s">
        <v>2779</v>
      </c>
      <c r="D130" s="3088" t="s">
        <v>2780</v>
      </c>
      <c r="E130" s="3114">
        <v>0.1</v>
      </c>
      <c r="F130" s="3114">
        <v>15</v>
      </c>
    </row>
    <row r="131" spans="1:6" ht="13.5">
      <c r="A131" s="3114">
        <v>59</v>
      </c>
      <c r="B131" s="3834"/>
      <c r="C131" s="3114" t="s">
        <v>2781</v>
      </c>
      <c r="D131" s="3088" t="s">
        <v>2782</v>
      </c>
      <c r="E131" s="3114">
        <v>0.1</v>
      </c>
      <c r="F131" s="3114">
        <v>15</v>
      </c>
    </row>
    <row r="132" spans="1:6" ht="13.5">
      <c r="A132" s="3114">
        <v>60</v>
      </c>
      <c r="B132" s="3829" t="s">
        <v>2783</v>
      </c>
      <c r="C132" s="3114" t="s">
        <v>2784</v>
      </c>
      <c r="D132" s="3088" t="s">
        <v>2785</v>
      </c>
      <c r="E132" s="3114">
        <v>0.1</v>
      </c>
      <c r="F132" s="3114">
        <v>15</v>
      </c>
    </row>
    <row r="133" spans="1:6" ht="13.5">
      <c r="A133" s="3114">
        <v>61</v>
      </c>
      <c r="B133" s="3833"/>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34" t="s">
        <v>2791</v>
      </c>
      <c r="C135" s="3114" t="s">
        <v>2792</v>
      </c>
      <c r="D135" s="3088" t="s">
        <v>2793</v>
      </c>
      <c r="E135" s="3114">
        <v>0.1</v>
      </c>
      <c r="F135" s="3114">
        <v>15</v>
      </c>
    </row>
    <row r="136" spans="1:6" ht="13.5">
      <c r="A136" s="3114">
        <v>64</v>
      </c>
      <c r="B136" s="3834"/>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9"/>
      <c r="B4" s="3512" t="s">
        <v>917</v>
      </c>
      <c r="C4" s="3512"/>
      <c r="D4" s="3512"/>
      <c r="E4" s="1489"/>
    </row>
    <row r="5" spans="1:5" ht="16.5" thickTop="1">
      <c r="A5" s="1487"/>
      <c r="B5" s="3510" t="s">
        <v>909</v>
      </c>
      <c r="C5" s="1490" t="s">
        <v>910</v>
      </c>
      <c r="D5" s="847">
        <f ca="1">结果表!H101</f>
        <v>355043</v>
      </c>
      <c r="E5" s="1487"/>
    </row>
    <row r="6" spans="1:5" ht="15.75">
      <c r="A6" s="1487"/>
      <c r="B6" s="3510"/>
      <c r="C6" s="1490" t="s">
        <v>911</v>
      </c>
      <c r="D6" s="847" t="str">
        <f ca="1">NUMBERSTRING(INT(D5*10000),2)&amp;"元整"</f>
        <v>叁拾伍亿伍仟零肆拾叁万元整</v>
      </c>
      <c r="E6" s="1487"/>
    </row>
    <row r="7" spans="1:5" ht="15.75">
      <c r="A7" s="1487"/>
      <c r="B7" s="3515"/>
      <c r="C7" s="1491" t="s">
        <v>912</v>
      </c>
      <c r="D7" s="848">
        <f ca="1">结果表!H102</f>
        <v>15651</v>
      </c>
      <c r="E7" s="1487"/>
    </row>
    <row r="8" spans="1:5" ht="15.75">
      <c r="A8" s="1487"/>
      <c r="B8" s="3516" t="str">
        <f>结果表!E103</f>
        <v>2.估价师知悉的法定优先受偿款</v>
      </c>
      <c r="C8" s="1492" t="s">
        <v>913</v>
      </c>
      <c r="D8" s="848">
        <f>结果表!H103</f>
        <v>4000</v>
      </c>
      <c r="E8" s="1487"/>
    </row>
    <row r="9" spans="1:5" ht="15.75">
      <c r="A9" s="1487"/>
      <c r="B9" s="3518"/>
      <c r="C9" s="1490" t="s">
        <v>911</v>
      </c>
      <c r="D9" s="847" t="str">
        <f>NUMBERSTRING(INT(D8*10000),2)&amp;"元整"</f>
        <v>肆仟万元整</v>
      </c>
      <c r="E9" s="1487"/>
    </row>
    <row r="10" spans="1:5" ht="15">
      <c r="A10" s="1487"/>
      <c r="B10" s="1493" t="s">
        <v>916</v>
      </c>
      <c r="C10" s="1494" t="s">
        <v>914</v>
      </c>
      <c r="D10" s="849">
        <f>结果表!H104</f>
        <v>0</v>
      </c>
      <c r="E10" s="1487"/>
    </row>
    <row r="11" spans="1:5" ht="15">
      <c r="A11" s="1487"/>
      <c r="B11" s="1493" t="s">
        <v>918</v>
      </c>
      <c r="C11" s="1494" t="s">
        <v>919</v>
      </c>
      <c r="D11" s="849">
        <f>结果表!H105</f>
        <v>4000</v>
      </c>
      <c r="E11" s="1487"/>
    </row>
    <row r="12" spans="1:5" ht="15">
      <c r="A12" s="1487"/>
      <c r="B12" s="1493" t="s">
        <v>920</v>
      </c>
      <c r="C12" s="1494" t="s">
        <v>919</v>
      </c>
      <c r="D12" s="849">
        <f>结果表!H106</f>
        <v>0</v>
      </c>
      <c r="E12" s="1487"/>
    </row>
    <row r="13" spans="1:5" ht="15.75">
      <c r="A13" s="1487"/>
      <c r="B13" s="3509" t="str">
        <f>结果表!E107</f>
        <v>3.房地产抵押价值</v>
      </c>
      <c r="C13" s="1495" t="s">
        <v>910</v>
      </c>
      <c r="D13" s="850">
        <f ca="1">结果表!H107</f>
        <v>351043</v>
      </c>
      <c r="E13" s="1487"/>
    </row>
    <row r="14" spans="1:5" ht="15.75">
      <c r="A14" s="1487"/>
      <c r="B14" s="3510"/>
      <c r="C14" s="1490" t="s">
        <v>911</v>
      </c>
      <c r="D14" s="847" t="str">
        <f ca="1">NUMBERSTRING(INT(D13*10000),2)&amp;"元整"</f>
        <v>叁拾伍亿壹仟零肆拾叁万元整</v>
      </c>
      <c r="E14" s="1487"/>
    </row>
    <row r="15" spans="1:5" ht="15">
      <c r="A15" s="1487"/>
      <c r="B15" s="3515"/>
      <c r="C15" s="1491" t="s">
        <v>921</v>
      </c>
      <c r="D15" s="856">
        <f ca="1">结果表!H108</f>
        <v>15475</v>
      </c>
      <c r="E15" s="1487"/>
    </row>
    <row r="16" spans="1:5" ht="15">
      <c r="A16" s="1487"/>
      <c r="B16" s="3516" t="str">
        <f>结果表!E109</f>
        <v>——</v>
      </c>
      <c r="C16" s="1495" t="s">
        <v>922</v>
      </c>
      <c r="D16" s="1496" t="str">
        <f>结果表!H109</f>
        <v>——</v>
      </c>
      <c r="E16" s="1487"/>
    </row>
    <row r="17" spans="1:5" ht="15.75">
      <c r="A17" s="1487"/>
      <c r="B17" s="3517"/>
      <c r="C17" s="1490" t="s">
        <v>923</v>
      </c>
      <c r="D17" s="847" t="e">
        <f>NUMBERSTRING(INT(D16*10000),2)&amp;"元整"</f>
        <v>#VALUE!</v>
      </c>
      <c r="E17" s="1487"/>
    </row>
    <row r="18" spans="1:5" ht="15">
      <c r="A18" s="1487"/>
      <c r="B18" s="3518"/>
      <c r="C18" s="1491" t="s">
        <v>912</v>
      </c>
      <c r="D18" s="856" t="str">
        <f>结果表!H110</f>
        <v>——</v>
      </c>
      <c r="E18" s="1487"/>
    </row>
    <row r="19" spans="1:5" ht="15.75">
      <c r="A19" s="1487"/>
      <c r="B19" s="3509" t="str">
        <f>结果表!E111</f>
        <v>——</v>
      </c>
      <c r="C19" s="1495" t="s">
        <v>910</v>
      </c>
      <c r="D19" s="848" t="str">
        <f>结果表!H111</f>
        <v>——</v>
      </c>
      <c r="E19" s="1487"/>
    </row>
    <row r="20" spans="1:5" ht="15.75">
      <c r="A20" s="1487"/>
      <c r="B20" s="3510"/>
      <c r="C20" s="1490" t="s">
        <v>923</v>
      </c>
      <c r="D20" s="847" t="e">
        <f>NUMBERSTRING(INT(D19*10000),2)&amp;"元整"</f>
        <v>#VALUE!</v>
      </c>
      <c r="E20" s="1487"/>
    </row>
    <row r="21" spans="1:5" ht="15.75" thickBot="1">
      <c r="A21" s="1487"/>
      <c r="B21" s="351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319543</v>
      </c>
      <c r="C2" s="2" t="s">
        <v>106</v>
      </c>
      <c r="D2" s="199"/>
      <c r="E2" s="199"/>
      <c r="F2" s="199"/>
      <c r="G2" s="199"/>
    </row>
    <row r="3" spans="1:7" s="200" customFormat="1" ht="18" customHeight="1" thickBot="1">
      <c r="A3" s="203" t="s">
        <v>58</v>
      </c>
      <c r="B3" s="204">
        <f ca="1">ROUND(B2*10000/'数据-汇总表'!E3,0)</f>
        <v>14086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210637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197442</v>
      </c>
      <c r="D34" s="217"/>
      <c r="E34" s="220"/>
      <c r="F34" s="257">
        <f>IF('数据-取费表'!B24=0,1,'数据-取费表'!N16)</f>
        <v>0.95</v>
      </c>
      <c r="G34" s="219" t="s">
        <v>89</v>
      </c>
    </row>
    <row r="35" spans="1:7" ht="13.5" customHeight="1">
      <c r="A35" s="777" t="s">
        <v>351</v>
      </c>
      <c r="B35" s="215" t="s">
        <v>33</v>
      </c>
      <c r="C35" s="220">
        <f>ROUND(C34*F35,0)</f>
        <v>5923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2962</v>
      </c>
      <c r="D38" s="220"/>
      <c r="E38" s="220"/>
      <c r="F38" s="259">
        <f>'数据-取费表'!B36</f>
        <v>1.4999999999999999E-2</v>
      </c>
      <c r="G38" s="219" t="s">
        <v>90</v>
      </c>
    </row>
    <row r="39" spans="1:7" s="214" customFormat="1" ht="13.5" customHeight="1">
      <c r="A39" s="774" t="s">
        <v>338</v>
      </c>
      <c r="B39" s="210" t="s">
        <v>77</v>
      </c>
      <c r="C39" s="232">
        <f>ROUND(C33*F20,0)</f>
        <v>4213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12817</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12566</v>
      </c>
      <c r="D42" s="238"/>
      <c r="E42" s="238"/>
      <c r="F42" s="239"/>
      <c r="G42" s="3697" t="s">
        <v>94</v>
      </c>
    </row>
    <row r="43" spans="1:7" ht="13.5" customHeight="1">
      <c r="A43" s="777" t="s">
        <v>347</v>
      </c>
      <c r="B43" s="215" t="s">
        <v>426</v>
      </c>
      <c r="C43" s="238">
        <f ca="1">ROUND(IF('数据-取费表'!B22&lt;=1,C39*F22*'数据-取费表'!B21/2,C39*(POWER((1+F22),'数据-取费表'!B21/2)-1)),0)</f>
        <v>251</v>
      </c>
      <c r="D43" s="238"/>
      <c r="E43" s="238"/>
      <c r="F43" s="239"/>
      <c r="G43" s="3698"/>
    </row>
    <row r="44" spans="1:7" ht="13.5" customHeight="1">
      <c r="A44" s="777" t="s">
        <v>348</v>
      </c>
      <c r="B44" s="215" t="s">
        <v>428</v>
      </c>
      <c r="C44" s="238">
        <f ca="1">ROUND(IF('数据-取费表'!B22&lt;=1,C40*F22*'数据-取费表'!B21/2,C40*(POWER((1+F22),'数据-取费表'!B21/2)-1)),4)</f>
        <v>1.1999999999999999E-3</v>
      </c>
      <c r="D44" s="238"/>
      <c r="E44" s="238"/>
      <c r="F44" s="239"/>
      <c r="G44" s="3699"/>
    </row>
    <row r="45" spans="1:7" s="214" customFormat="1" ht="13.5" customHeight="1">
      <c r="A45" s="774" t="s">
        <v>341</v>
      </c>
      <c r="B45" s="244" t="s">
        <v>85</v>
      </c>
      <c r="C45" s="245">
        <f>C46</f>
        <v>34376</v>
      </c>
      <c r="D45" s="235">
        <f>C47</f>
        <v>3.2000000000000002E-3</v>
      </c>
      <c r="E45" s="236" t="s">
        <v>102</v>
      </c>
      <c r="F45" s="246"/>
      <c r="G45" s="247" t="s">
        <v>434</v>
      </c>
    </row>
    <row r="46" spans="1:7" s="214" customFormat="1" ht="13.5" customHeight="1">
      <c r="A46" s="777" t="s">
        <v>349</v>
      </c>
      <c r="B46" s="248" t="s">
        <v>427</v>
      </c>
      <c r="C46" s="249">
        <f>ROUND((C33+C39)*F27,0)</f>
        <v>34376</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284129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284129</v>
      </c>
      <c r="D51" s="232"/>
      <c r="E51" s="232"/>
      <c r="F51" s="264"/>
      <c r="G51" s="234" t="s">
        <v>37</v>
      </c>
    </row>
    <row r="52" spans="1:7" s="208" customFormat="1" ht="16.5" thickBot="1">
      <c r="A52" s="265" t="s">
        <v>38</v>
      </c>
      <c r="B52" s="266"/>
      <c r="C52" s="267">
        <f ca="1">C31+C51</f>
        <v>319543</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2845</v>
      </c>
      <c r="B1" s="3837"/>
      <c r="C1" s="3837"/>
      <c r="D1" s="3837"/>
      <c r="E1" s="3837"/>
      <c r="F1" s="3837"/>
      <c r="G1" s="383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5"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3187</v>
      </c>
      <c r="B1" s="3839"/>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3238</v>
      </c>
      <c r="B1" s="3840"/>
      <c r="C1" s="3840"/>
      <c r="D1" s="3840"/>
      <c r="E1" s="3840"/>
      <c r="F1" s="3841"/>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2844</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42" t="s">
        <v>2832</v>
      </c>
      <c r="S21" s="3843"/>
      <c r="T21" s="3843"/>
      <c r="U21" s="3843"/>
      <c r="V21" s="3843"/>
      <c r="W21" s="3843"/>
      <c r="X21" s="3161"/>
      <c r="Y21" s="3842" t="s">
        <v>2833</v>
      </c>
      <c r="Z21" s="3843"/>
      <c r="AA21" s="3843"/>
      <c r="AB21" s="3843"/>
      <c r="AC21" s="3843"/>
      <c r="AD21" s="384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3954</v>
      </c>
      <c r="E1" s="3429" t="s">
        <v>3940</v>
      </c>
      <c r="F1" s="1875" t="s">
        <v>3941</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79" t="s">
        <v>3982</v>
      </c>
      <c r="F5" s="3710"/>
      <c r="G5" s="3711" t="str">
        <f>车位案例!$A$48</f>
        <v>新一代伟业国际</v>
      </c>
      <c r="H5" s="3712"/>
      <c r="I5" s="3711" t="str">
        <f>车位案例!$A$102</f>
        <v>万达西安One</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03" t="s">
        <v>1680</v>
      </c>
      <c r="Q7" s="3731"/>
      <c r="R7" s="701" t="s">
        <v>14</v>
      </c>
      <c r="S7" s="702">
        <f t="shared" ref="S7:S14" si="0">F7</f>
        <v>100</v>
      </c>
      <c r="T7" s="701" t="s">
        <v>14</v>
      </c>
      <c r="U7" s="702">
        <f t="shared" ref="U7:U14" si="1">H7</f>
        <v>100</v>
      </c>
      <c r="V7" s="701" t="s">
        <v>14</v>
      </c>
      <c r="W7" s="702">
        <f t="shared" ref="W7:W14"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39" t="str">
        <f t="shared" ref="Q9:Q14" si="6">B9</f>
        <v>用途</v>
      </c>
      <c r="R9" s="701" t="s">
        <v>14</v>
      </c>
      <c r="S9" s="702">
        <f t="shared" si="0"/>
        <v>100</v>
      </c>
      <c r="T9" s="701" t="s">
        <v>14</v>
      </c>
      <c r="U9" s="702">
        <f t="shared" si="1"/>
        <v>100</v>
      </c>
      <c r="V9" s="701" t="s">
        <v>14</v>
      </c>
      <c r="W9" s="702">
        <f t="shared" si="2"/>
        <v>100</v>
      </c>
      <c r="X9" s="703"/>
      <c r="Y9" s="3673"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39">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2" t="s">
        <v>1691</v>
      </c>
      <c r="Q14" s="1348" t="str">
        <f t="shared" si="6"/>
        <v>交通便捷度</v>
      </c>
      <c r="R14" s="705" t="s">
        <v>14</v>
      </c>
      <c r="S14" s="706">
        <f t="shared" si="0"/>
        <v>100</v>
      </c>
      <c r="T14" s="705" t="s">
        <v>14</v>
      </c>
      <c r="U14" s="706">
        <f t="shared" si="1"/>
        <v>100</v>
      </c>
      <c r="V14" s="705" t="s">
        <v>14</v>
      </c>
      <c r="W14" s="706">
        <f t="shared" si="2"/>
        <v>100</v>
      </c>
      <c r="X14" s="1351"/>
      <c r="Y14" s="373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33"/>
      <c r="Q15" s="1348"/>
      <c r="R15" s="705"/>
      <c r="S15" s="706"/>
      <c r="T15" s="705"/>
      <c r="U15" s="706"/>
      <c r="V15" s="705"/>
      <c r="W15" s="706"/>
      <c r="X15" s="1351"/>
      <c r="Y15" s="3733"/>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3"/>
      <c r="Q16" s="1348" t="str">
        <f>B16</f>
        <v>公共配套设施</v>
      </c>
      <c r="R16" s="705" t="s">
        <v>14</v>
      </c>
      <c r="S16" s="706">
        <f>F16</f>
        <v>100</v>
      </c>
      <c r="T16" s="705" t="s">
        <v>14</v>
      </c>
      <c r="U16" s="706">
        <f>H16</f>
        <v>100</v>
      </c>
      <c r="V16" s="705" t="s">
        <v>14</v>
      </c>
      <c r="W16" s="706">
        <f>J16</f>
        <v>100</v>
      </c>
      <c r="X16" s="1351"/>
      <c r="Y16" s="373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33"/>
      <c r="Q17" s="1348"/>
      <c r="R17" s="705"/>
      <c r="S17" s="706"/>
      <c r="T17" s="705"/>
      <c r="U17" s="706"/>
      <c r="V17" s="705"/>
      <c r="W17" s="706"/>
      <c r="X17" s="1351"/>
      <c r="Y17" s="3733"/>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3"/>
      <c r="Q18" s="1348" t="str">
        <f>B18</f>
        <v>基础设施水平</v>
      </c>
      <c r="R18" s="705" t="s">
        <v>14</v>
      </c>
      <c r="S18" s="706">
        <f>F18</f>
        <v>100</v>
      </c>
      <c r="T18" s="705" t="s">
        <v>14</v>
      </c>
      <c r="U18" s="706">
        <f>H18</f>
        <v>100</v>
      </c>
      <c r="V18" s="705" t="s">
        <v>14</v>
      </c>
      <c r="W18" s="706">
        <f>J18</f>
        <v>100</v>
      </c>
      <c r="X18" s="1351"/>
      <c r="Y18" s="373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33"/>
      <c r="Q19" s="1348"/>
      <c r="R19" s="705"/>
      <c r="S19" s="706"/>
      <c r="T19" s="705"/>
      <c r="U19" s="706"/>
      <c r="V19" s="705"/>
      <c r="W19" s="706"/>
      <c r="X19" s="1351"/>
      <c r="Y19" s="3733"/>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3"/>
      <c r="Q20" s="1348" t="str">
        <f>B20</f>
        <v>自然及人文环境</v>
      </c>
      <c r="R20" s="705" t="s">
        <v>14</v>
      </c>
      <c r="S20" s="706">
        <f>F20</f>
        <v>100</v>
      </c>
      <c r="T20" s="705" t="s">
        <v>14</v>
      </c>
      <c r="U20" s="706">
        <f>H20</f>
        <v>100</v>
      </c>
      <c r="V20" s="705" t="s">
        <v>14</v>
      </c>
      <c r="W20" s="706">
        <f>J20</f>
        <v>100</v>
      </c>
      <c r="X20" s="1351"/>
      <c r="Y20" s="373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33"/>
      <c r="Q21" s="1348"/>
      <c r="R21" s="705"/>
      <c r="S21" s="706"/>
      <c r="T21" s="705"/>
      <c r="U21" s="706"/>
      <c r="V21" s="705"/>
      <c r="W21" s="706"/>
      <c r="X21" s="1351"/>
      <c r="Y21" s="373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3"/>
      <c r="Q22" s="1348" t="str">
        <f>B22</f>
        <v>楼层</v>
      </c>
      <c r="R22" s="705" t="s">
        <v>14</v>
      </c>
      <c r="S22" s="706">
        <f>F22</f>
        <v>100</v>
      </c>
      <c r="T22" s="705" t="s">
        <v>14</v>
      </c>
      <c r="U22" s="706">
        <f>H22</f>
        <v>100</v>
      </c>
      <c r="V22" s="705" t="s">
        <v>14</v>
      </c>
      <c r="W22" s="706">
        <f>J22</f>
        <v>100</v>
      </c>
      <c r="X22" s="1351"/>
      <c r="Y22" s="373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3"/>
      <c r="Q23" s="1348">
        <f>B23</f>
        <v>111</v>
      </c>
      <c r="R23" s="705" t="s">
        <v>14</v>
      </c>
      <c r="S23" s="706">
        <f>F23</f>
        <v>100</v>
      </c>
      <c r="T23" s="705" t="s">
        <v>14</v>
      </c>
      <c r="U23" s="706">
        <f>H23</f>
        <v>100</v>
      </c>
      <c r="V23" s="705" t="s">
        <v>14</v>
      </c>
      <c r="W23" s="706">
        <f>J23</f>
        <v>100</v>
      </c>
      <c r="X23" s="1351"/>
      <c r="Y23" s="373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3"/>
      <c r="Q24" s="1348">
        <f t="shared" ref="Q24:Q36" si="11">B24</f>
        <v>111</v>
      </c>
      <c r="R24" s="705" t="s">
        <v>14</v>
      </c>
      <c r="S24" s="706">
        <f>F24</f>
        <v>100</v>
      </c>
      <c r="T24" s="705" t="s">
        <v>14</v>
      </c>
      <c r="U24" s="706">
        <f>H24</f>
        <v>100</v>
      </c>
      <c r="V24" s="705" t="s">
        <v>14</v>
      </c>
      <c r="W24" s="706">
        <f>J24</f>
        <v>100</v>
      </c>
      <c r="X24" s="1351"/>
      <c r="Y24" s="3733"/>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3"/>
      <c r="Q25" s="1339">
        <f t="shared" si="11"/>
        <v>111</v>
      </c>
      <c r="R25" s="701" t="s">
        <v>14</v>
      </c>
      <c r="S25" s="702">
        <f>F25</f>
        <v>100</v>
      </c>
      <c r="T25" s="701" t="s">
        <v>14</v>
      </c>
      <c r="U25" s="702">
        <f>H25</f>
        <v>100</v>
      </c>
      <c r="V25" s="701" t="s">
        <v>14</v>
      </c>
      <c r="W25" s="702">
        <f>J25</f>
        <v>100</v>
      </c>
      <c r="X25" s="703"/>
      <c r="Y25" s="3733"/>
      <c r="Z25" s="52">
        <f>Q25</f>
        <v>111</v>
      </c>
      <c r="AA25" s="1349">
        <f>D25/F25</f>
        <v>1</v>
      </c>
      <c r="AB25" s="1349">
        <f>D25/H25</f>
        <v>1</v>
      </c>
      <c r="AC25" s="1349">
        <f>D25/J25</f>
        <v>1</v>
      </c>
    </row>
    <row r="26" spans="1:29" ht="28.5">
      <c r="A26" s="600" t="s">
        <v>1694</v>
      </c>
      <c r="B26" s="62" t="s">
        <v>1836</v>
      </c>
      <c r="C26" s="1968" t="str">
        <f>B1</f>
        <v>办公</v>
      </c>
      <c r="D26" s="399">
        <v>100</v>
      </c>
      <c r="E26" s="3487" t="s">
        <v>3983</v>
      </c>
      <c r="F26" s="400">
        <f>SUMIF(79:79,E26,80:80)-SUMIF(79:79,C26,80:80)+100</f>
        <v>105</v>
      </c>
      <c r="G26" s="3487" t="s">
        <v>3983</v>
      </c>
      <c r="H26" s="399">
        <f>SUMIF(79:79,G26,80:80)-SUMIF(79:79,C26,80:80)+100</f>
        <v>105</v>
      </c>
      <c r="I26" s="3487" t="s">
        <v>3983</v>
      </c>
      <c r="J26" s="399">
        <f>SUMIF(79:79,I26,80:80)-SUMIF(79:79,C26,80:80)+100</f>
        <v>105</v>
      </c>
      <c r="K26" s="561">
        <v>-5</v>
      </c>
      <c r="L26" s="2718"/>
      <c r="M26" s="2712"/>
      <c r="N26" s="2712"/>
      <c r="O26" s="2712"/>
      <c r="P26" s="3734"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35"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5"/>
      <c r="Q28" s="1348" t="str">
        <f t="shared" si="11"/>
        <v>公共部分装修</v>
      </c>
      <c r="R28" s="705" t="s">
        <v>14</v>
      </c>
      <c r="S28" s="706">
        <f t="shared" si="12"/>
        <v>100</v>
      </c>
      <c r="T28" s="705" t="s">
        <v>14</v>
      </c>
      <c r="U28" s="706">
        <f t="shared" si="13"/>
        <v>100</v>
      </c>
      <c r="V28" s="705" t="s">
        <v>14</v>
      </c>
      <c r="W28" s="706">
        <f t="shared" si="14"/>
        <v>100</v>
      </c>
      <c r="X28" s="1351"/>
      <c r="Y28" s="3735"/>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5"/>
      <c r="Q29" s="1348" t="str">
        <f t="shared" si="11"/>
        <v>成新率</v>
      </c>
      <c r="R29" s="705" t="s">
        <v>14</v>
      </c>
      <c r="S29" s="706">
        <f t="shared" si="12"/>
        <v>100</v>
      </c>
      <c r="T29" s="705" t="s">
        <v>14</v>
      </c>
      <c r="U29" s="706">
        <f t="shared" si="13"/>
        <v>100</v>
      </c>
      <c r="V29" s="705" t="s">
        <v>14</v>
      </c>
      <c r="W29" s="706">
        <f t="shared" si="14"/>
        <v>100</v>
      </c>
      <c r="X29" s="1351"/>
      <c r="Y29" s="3735"/>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5"/>
      <c r="Q30" s="1348" t="str">
        <f t="shared" si="11"/>
        <v>物业等级</v>
      </c>
      <c r="R30" s="705" t="s">
        <v>14</v>
      </c>
      <c r="S30" s="706">
        <f t="shared" si="12"/>
        <v>100</v>
      </c>
      <c r="T30" s="705" t="s">
        <v>14</v>
      </c>
      <c r="U30" s="706">
        <f t="shared" si="13"/>
        <v>100</v>
      </c>
      <c r="V30" s="705" t="s">
        <v>14</v>
      </c>
      <c r="W30" s="706">
        <f t="shared" si="14"/>
        <v>100</v>
      </c>
      <c r="X30" s="1351"/>
      <c r="Y30" s="3735"/>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5"/>
      <c r="Q31" s="1339" t="str">
        <f t="shared" si="11"/>
        <v>停车位面积</v>
      </c>
      <c r="R31" s="701" t="s">
        <v>14</v>
      </c>
      <c r="S31" s="702">
        <f t="shared" si="12"/>
        <v>100</v>
      </c>
      <c r="T31" s="701" t="s">
        <v>14</v>
      </c>
      <c r="U31" s="702">
        <f t="shared" si="13"/>
        <v>100</v>
      </c>
      <c r="V31" s="701" t="s">
        <v>14</v>
      </c>
      <c r="W31" s="702">
        <f t="shared" si="14"/>
        <v>100</v>
      </c>
      <c r="X31" s="703"/>
      <c r="Y31" s="3735"/>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5" t="s">
        <v>1696</v>
      </c>
      <c r="Q32" s="1348" t="str">
        <f t="shared" si="11"/>
        <v>车位类型</v>
      </c>
      <c r="R32" s="705" t="s">
        <v>14</v>
      </c>
      <c r="S32" s="706">
        <f t="shared" si="12"/>
        <v>100</v>
      </c>
      <c r="T32" s="705" t="s">
        <v>14</v>
      </c>
      <c r="U32" s="706">
        <f t="shared" si="13"/>
        <v>100</v>
      </c>
      <c r="V32" s="705" t="s">
        <v>14</v>
      </c>
      <c r="W32" s="706">
        <f t="shared" si="14"/>
        <v>100</v>
      </c>
      <c r="X32" s="1351"/>
      <c r="Y32" s="373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5"/>
      <c r="Q33" s="1348" t="str">
        <f t="shared" si="11"/>
        <v>是否直接入户</v>
      </c>
      <c r="R33" s="705" t="s">
        <v>14</v>
      </c>
      <c r="S33" s="706">
        <f t="shared" si="12"/>
        <v>100</v>
      </c>
      <c r="T33" s="705" t="s">
        <v>14</v>
      </c>
      <c r="U33" s="706">
        <f t="shared" si="13"/>
        <v>100</v>
      </c>
      <c r="V33" s="705" t="s">
        <v>14</v>
      </c>
      <c r="W33" s="706">
        <f t="shared" si="14"/>
        <v>100</v>
      </c>
      <c r="X33" s="1351"/>
      <c r="Y33" s="373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5"/>
      <c r="Q34" s="1348">
        <f t="shared" si="11"/>
        <v>111</v>
      </c>
      <c r="R34" s="705" t="s">
        <v>14</v>
      </c>
      <c r="S34" s="706">
        <f t="shared" si="12"/>
        <v>100</v>
      </c>
      <c r="T34" s="705" t="s">
        <v>14</v>
      </c>
      <c r="U34" s="706">
        <f t="shared" si="13"/>
        <v>100</v>
      </c>
      <c r="V34" s="705" t="s">
        <v>14</v>
      </c>
      <c r="W34" s="706">
        <f t="shared" si="14"/>
        <v>100</v>
      </c>
      <c r="X34" s="1351"/>
      <c r="Y34" s="373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5"/>
      <c r="Q36" s="1348">
        <f t="shared" si="11"/>
        <v>111</v>
      </c>
      <c r="R36" s="705" t="s">
        <v>14</v>
      </c>
      <c r="S36" s="706">
        <f t="shared" si="12"/>
        <v>100</v>
      </c>
      <c r="T36" s="705" t="s">
        <v>14</v>
      </c>
      <c r="U36" s="706">
        <f t="shared" si="13"/>
        <v>100</v>
      </c>
      <c r="V36" s="705" t="s">
        <v>14</v>
      </c>
      <c r="W36" s="706">
        <f t="shared" si="14"/>
        <v>100</v>
      </c>
      <c r="X36" s="1351"/>
      <c r="Y36" s="3735"/>
      <c r="Z36" s="1352">
        <f t="shared" si="15"/>
        <v>111</v>
      </c>
      <c r="AA36" s="1349">
        <f t="shared" si="3"/>
        <v>1</v>
      </c>
      <c r="AB36" s="1349">
        <f t="shared" si="4"/>
        <v>1</v>
      </c>
      <c r="AC36" s="1349">
        <f t="shared" si="5"/>
        <v>1</v>
      </c>
    </row>
    <row r="37" spans="1:29" ht="15">
      <c r="A37" s="430" t="s">
        <v>1844</v>
      </c>
      <c r="B37" s="1969" t="s">
        <v>3985</v>
      </c>
      <c r="C37" s="1151" t="s">
        <v>0</v>
      </c>
      <c r="D37" s="1152"/>
      <c r="E37" s="1153">
        <v>199000</v>
      </c>
      <c r="F37" s="1154"/>
      <c r="G37" s="1155">
        <v>250000</v>
      </c>
      <c r="H37" s="1156"/>
      <c r="I37" s="1153">
        <v>200000</v>
      </c>
      <c r="J37" s="1156"/>
      <c r="K37" s="568"/>
      <c r="L37" s="2720"/>
      <c r="M37" s="2721"/>
      <c r="N37" s="2712"/>
      <c r="O37" s="2721"/>
      <c r="P37" s="3717" t="str">
        <f>A37</f>
        <v>成交单价</v>
      </c>
      <c r="Q37" s="3717"/>
      <c r="R37" s="3769">
        <f>E37</f>
        <v>199000</v>
      </c>
      <c r="S37" s="3769"/>
      <c r="T37" s="3769">
        <f>G37</f>
        <v>250000</v>
      </c>
      <c r="U37" s="3769"/>
      <c r="V37" s="3769">
        <f>I37</f>
        <v>200000</v>
      </c>
      <c r="W37" s="3769"/>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17" t="str">
        <f>A38</f>
        <v>比较价值（元/平方米）</v>
      </c>
      <c r="Q38" s="3717"/>
      <c r="R38" s="3769">
        <f>IF(F1="售价",ROUND(PRODUCT(R37,AA7:AA36),0),ROUND(PRODUCT(R37,AA7:AA36),1))</f>
        <v>189524</v>
      </c>
      <c r="S38" s="3769"/>
      <c r="T38" s="3769">
        <f>IF(F1="售价",ROUND(PRODUCT(T37,AB7:AB36),0),ROUND(PRODUCT(T37,AB7:AB36),1))</f>
        <v>238095</v>
      </c>
      <c r="U38" s="3769"/>
      <c r="V38" s="3769">
        <f>IF(F1="售价",ROUND(PRODUCT(V37,AC7:AC36),0),ROUND(PRODUCT(V37,AC7:AC36),1))</f>
        <v>190476</v>
      </c>
      <c r="W38" s="3769"/>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37" t="str">
        <f>A39</f>
        <v>估价对象XX用房的比较价值（楼面单价，元/平方米）</v>
      </c>
      <c r="Q39" s="3738"/>
      <c r="R39" s="3799">
        <f>IF(F1="售价",ROUND(IF(D38="简单平均",AVERAGE(R38:W38),R38*F38+T38*H38+V38*J38),0),ROUND(IF(D38="简单平均",AVERAGE(R38:V38),R38*F38+T38*H38+V38*J38),1))</f>
        <v>206032</v>
      </c>
      <c r="S39" s="3799"/>
      <c r="T39" s="3799"/>
      <c r="U39" s="3799"/>
      <c r="V39" s="3799"/>
      <c r="W39" s="379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3984</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3938</v>
      </c>
    </row>
    <row r="61" spans="1:1">
      <c r="A61" s="3496" t="s">
        <v>3952</v>
      </c>
    </row>
    <row r="85" spans="1:1">
      <c r="A85" s="3496" t="s">
        <v>3951</v>
      </c>
    </row>
    <row r="106" spans="1:1">
      <c r="A106" s="3496" t="s">
        <v>3961</v>
      </c>
    </row>
    <row r="122" spans="1:1">
      <c r="A122" s="3496" t="s">
        <v>3962</v>
      </c>
    </row>
    <row r="151" spans="1:1">
      <c r="A151" s="3496"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3964</v>
      </c>
    </row>
    <row r="23" spans="1:1">
      <c r="A23" s="3496"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77754</v>
      </c>
      <c r="E4" s="851">
        <f ca="1">结果表!E118</f>
        <v>3427</v>
      </c>
      <c r="F4" s="851">
        <f ca="1">结果表!F118</f>
        <v>277289</v>
      </c>
      <c r="G4" s="851">
        <f ca="1">结果表!G118</f>
        <v>12224</v>
      </c>
      <c r="H4" s="851">
        <f ca="1">结果表!H118</f>
        <v>355043</v>
      </c>
      <c r="I4" s="851">
        <f ca="1">结果表!I118</f>
        <v>15651</v>
      </c>
    </row>
    <row r="5" spans="1:9" ht="30" customHeight="1">
      <c r="A5" s="3521" t="s">
        <v>927</v>
      </c>
      <c r="B5" s="3521"/>
      <c r="C5" s="3521"/>
      <c r="D5" s="3521" t="str">
        <f ca="1">结果表!D119</f>
        <v>柒亿柒仟柒佰伍拾肆万元整</v>
      </c>
      <c r="E5" s="3521"/>
      <c r="F5" s="3521" t="str">
        <f ca="1">结果表!F119</f>
        <v>贰拾柒亿柒仟贰佰捌拾玖万元整</v>
      </c>
      <c r="G5" s="3521"/>
      <c r="H5" s="3521" t="str">
        <f ca="1">结果表!H119</f>
        <v>叁拾伍亿伍仟零肆拾叁万元整</v>
      </c>
      <c r="I5" s="3521"/>
    </row>
    <row r="6" spans="1:9" ht="15.75">
      <c r="A6" s="3522" t="str">
        <f>结果表!A120</f>
        <v>估价师知悉的法定优先受偿款</v>
      </c>
      <c r="B6" s="3522"/>
      <c r="C6" s="3522"/>
      <c r="D6" s="3522">
        <f>结果表!D120</f>
        <v>4000</v>
      </c>
      <c r="E6" s="3522"/>
      <c r="F6" s="3522"/>
      <c r="G6" s="3522"/>
      <c r="H6" s="3522"/>
      <c r="I6" s="3522"/>
    </row>
    <row r="7" spans="1:9" ht="15">
      <c r="A7" s="3521" t="s">
        <v>927</v>
      </c>
      <c r="B7" s="3521"/>
      <c r="C7" s="3521"/>
      <c r="D7" s="3523" t="str">
        <f>结果表!D121</f>
        <v>肆仟万元整</v>
      </c>
      <c r="E7" s="3524"/>
      <c r="F7" s="3524"/>
      <c r="G7" s="3524"/>
      <c r="H7" s="3524"/>
      <c r="I7" s="3525"/>
    </row>
    <row r="8" spans="1:9" ht="15.75">
      <c r="A8" s="3522" t="str">
        <f>结果表!A122</f>
        <v>房地产抵押价值</v>
      </c>
      <c r="B8" s="3522"/>
      <c r="C8" s="3522"/>
      <c r="D8" s="3522">
        <f ca="1">结果表!D122</f>
        <v>351043</v>
      </c>
      <c r="E8" s="3522"/>
      <c r="F8" s="3522"/>
      <c r="G8" s="3522"/>
      <c r="H8" s="3522"/>
      <c r="I8" s="3522"/>
    </row>
    <row r="9" spans="1:9" ht="15">
      <c r="A9" s="3521" t="s">
        <v>927</v>
      </c>
      <c r="B9" s="3521"/>
      <c r="C9" s="3521"/>
      <c r="D9" s="3521" t="str">
        <f ca="1">结果表!D123</f>
        <v>叁拾伍亿壹仟零肆拾叁万元整</v>
      </c>
      <c r="E9" s="3521"/>
      <c r="F9" s="3521"/>
      <c r="G9" s="3521"/>
      <c r="H9" s="3521"/>
      <c r="I9" s="3521"/>
    </row>
    <row r="10" spans="1:9" ht="15.75">
      <c r="A10" s="3522" t="str">
        <f>结果表!A124</f>
        <v/>
      </c>
      <c r="B10" s="3522"/>
      <c r="C10" s="3522"/>
      <c r="D10" s="3522" t="str">
        <f>结果表!D124</f>
        <v>——</v>
      </c>
      <c r="E10" s="3522"/>
      <c r="F10" s="3522"/>
      <c r="G10" s="3522"/>
      <c r="H10" s="3522"/>
      <c r="I10" s="3522"/>
    </row>
    <row r="11" spans="1:9" ht="15">
      <c r="A11" s="3521" t="s">
        <v>927</v>
      </c>
      <c r="B11" s="3521"/>
      <c r="C11" s="3521"/>
      <c r="D11" s="3521" t="e">
        <f>结果表!D125</f>
        <v>#VALUE!</v>
      </c>
      <c r="E11" s="3521"/>
      <c r="F11" s="3521"/>
      <c r="G11" s="3521"/>
      <c r="H11" s="3521"/>
      <c r="I11" s="3521"/>
    </row>
    <row r="12" spans="1:9" ht="15.75">
      <c r="A12" s="3522" t="str">
        <f>结果表!A126</f>
        <v/>
      </c>
      <c r="B12" s="3522"/>
      <c r="C12" s="3522"/>
      <c r="D12" s="3522" t="str">
        <f>结果表!D126</f>
        <v>——</v>
      </c>
      <c r="E12" s="3522"/>
      <c r="F12" s="3522"/>
      <c r="G12" s="3522"/>
      <c r="H12" s="3522"/>
      <c r="I12" s="3522"/>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3939</v>
      </c>
    </row>
    <row r="21" spans="1:3">
      <c r="A21" s="3496" t="s">
        <v>3970</v>
      </c>
      <c r="C21" s="3496" t="s">
        <v>3971</v>
      </c>
    </row>
    <row r="37" spans="3:3">
      <c r="C37" s="3496"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3966</v>
      </c>
      <c r="C2" s="3496" t="s">
        <v>3967</v>
      </c>
    </row>
    <row r="48" spans="1:1">
      <c r="A48" s="3496" t="s">
        <v>3968</v>
      </c>
    </row>
    <row r="102" spans="1:3">
      <c r="A102" s="3496" t="s">
        <v>3969</v>
      </c>
      <c r="C102" s="3496"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8" t="s">
        <v>949</v>
      </c>
      <c r="B1" s="3528"/>
      <c r="C1" s="3528"/>
      <c r="D1" s="3528"/>
    </row>
    <row r="2" spans="1:4" ht="18">
      <c r="A2" s="3529" t="s">
        <v>933</v>
      </c>
      <c r="B2" s="3529"/>
      <c r="C2" s="3529"/>
      <c r="D2" s="3529"/>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9" t="s">
        <v>939</v>
      </c>
      <c r="B6" s="3529"/>
      <c r="C6" s="3529"/>
      <c r="D6" s="3529"/>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0"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943</v>
      </c>
      <c r="B16" s="3534"/>
      <c r="C16" s="3534"/>
      <c r="D16" s="3534"/>
    </row>
    <row r="17" spans="1:4" ht="144" customHeight="1">
      <c r="A17" s="3534" t="s">
        <v>944</v>
      </c>
      <c r="B17" s="3534"/>
      <c r="C17" s="3534"/>
      <c r="D17" s="3534"/>
    </row>
    <row r="18" spans="1:4" ht="15.75" customHeight="1">
      <c r="A18" s="3531" t="str">
        <f>IF(项目基本情况!B8="抵押",结果表!K120,"——")</f>
        <v>故，本次评估估价师知悉的法定优先受偿款为人民币4000万元整。</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945</v>
      </c>
      <c r="B22" s="3536"/>
      <c r="C22" s="3536"/>
      <c r="D22" s="353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2" t="s">
        <v>956</v>
      </c>
      <c r="B15" s="3537" t="s">
        <v>109</v>
      </c>
      <c r="C15" s="3538"/>
    </row>
    <row r="16" spans="1:7" ht="13.5">
      <c r="A16" s="3543"/>
      <c r="B16" s="3537" t="s">
        <v>42</v>
      </c>
      <c r="C16" s="3538"/>
    </row>
    <row r="17" spans="1:3" ht="13.5">
      <c r="A17" s="3543"/>
      <c r="B17" s="3540" t="s">
        <v>957</v>
      </c>
      <c r="C17" s="1528" t="s">
        <v>956</v>
      </c>
    </row>
    <row r="18" spans="1:3" ht="13.5">
      <c r="A18" s="3543"/>
      <c r="B18" s="3540"/>
      <c r="C18" s="1528" t="s">
        <v>958</v>
      </c>
    </row>
    <row r="19" spans="1:3" ht="13.5">
      <c r="A19" s="3543"/>
      <c r="B19" s="3540"/>
      <c r="C19" s="1528" t="s">
        <v>959</v>
      </c>
    </row>
    <row r="20" spans="1:3" ht="13.5">
      <c r="A20" s="3544"/>
      <c r="B20" s="3539" t="s">
        <v>960</v>
      </c>
      <c r="C20" s="3538"/>
    </row>
    <row r="21" spans="1:3" ht="13.5">
      <c r="A21" s="1529" t="s">
        <v>961</v>
      </c>
      <c r="B21" s="1530"/>
      <c r="C21" s="1531"/>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8" t="s">
        <v>967</v>
      </c>
    </row>
    <row r="26" spans="1:3" ht="13.5">
      <c r="A26" s="3541"/>
      <c r="B26" s="3540"/>
      <c r="C26" s="1528" t="s">
        <v>968</v>
      </c>
    </row>
    <row r="27" spans="1:3" ht="13.5">
      <c r="A27" s="3541"/>
      <c r="B27" s="3540"/>
      <c r="C27" s="1528" t="s">
        <v>969</v>
      </c>
    </row>
    <row r="28" spans="1:3" ht="13.5">
      <c r="A28" s="3541"/>
      <c r="B28" s="3540"/>
      <c r="C28" s="1528" t="s">
        <v>970</v>
      </c>
    </row>
    <row r="29" spans="1:3" ht="13.5">
      <c r="A29" s="3541"/>
      <c r="B29" s="3540"/>
      <c r="C29" s="1528" t="s">
        <v>971</v>
      </c>
    </row>
    <row r="30" spans="1:3" ht="13.5">
      <c r="A30" s="3541"/>
      <c r="B30" s="3540"/>
      <c r="C30" s="1528" t="s">
        <v>972</v>
      </c>
    </row>
    <row r="31" spans="1:3" ht="13.5">
      <c r="A31" s="3541"/>
      <c r="B31" s="3540"/>
      <c r="C31" s="1528" t="s">
        <v>973</v>
      </c>
    </row>
    <row r="32" spans="1:3" ht="13.5">
      <c r="A32" s="3541"/>
      <c r="B32" s="3540"/>
      <c r="C32" s="1528" t="s">
        <v>974</v>
      </c>
    </row>
    <row r="33" spans="1:3" ht="13.5">
      <c r="A33" s="3541"/>
      <c r="B33" s="354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45005</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5" t="s">
        <v>2159</v>
      </c>
      <c r="B17" s="3545"/>
      <c r="C17" s="3545"/>
      <c r="D17" s="3545"/>
      <c r="E17" s="3545"/>
      <c r="F17" s="3545"/>
      <c r="G17" s="3545"/>
      <c r="H17" s="3545"/>
    </row>
    <row r="18" spans="1:8" ht="24" customHeight="1">
      <c r="A18" s="3546" t="s">
        <v>2160</v>
      </c>
      <c r="B18" s="3546"/>
      <c r="C18" s="3546"/>
      <c r="D18" s="2339"/>
      <c r="E18" s="3547" t="s">
        <v>2161</v>
      </c>
      <c r="F18" s="3546"/>
      <c r="G18" s="3546"/>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2023-03-20T03:36:55Z</dcterms:modified>
</cp:coreProperties>
</file>