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17"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'数据-基础表'!$A$1:$AM$16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7" i="40" l="1"/>
  <c r="C36" i="40" l="1"/>
  <c r="C12" i="40"/>
  <c r="F19" i="6"/>
  <c r="D7" i="59" l="1"/>
  <c r="AH5" i="59"/>
  <c r="AG5" i="59"/>
  <c r="AE5" i="59"/>
  <c r="AF5" i="59"/>
  <c r="AD5" i="59"/>
  <c r="Q5" i="59"/>
  <c r="P5" i="59"/>
  <c r="O5" i="59"/>
  <c r="N5" i="59"/>
  <c r="I3" i="59"/>
  <c r="L3" i="59"/>
  <c r="K3" i="59"/>
  <c r="J3" i="59"/>
  <c r="AE6" i="59"/>
  <c r="AF6" i="59" s="1"/>
  <c r="AG6" i="59"/>
  <c r="AH6" i="59"/>
  <c r="AD6" i="59"/>
  <c r="Q6" i="59"/>
  <c r="P6" i="59"/>
  <c r="O6" i="59"/>
  <c r="N6" i="59"/>
  <c r="N7" i="59"/>
  <c r="Q7" i="59"/>
  <c r="P7" i="59"/>
  <c r="O7" i="59"/>
  <c r="K59" i="15"/>
  <c r="P62" i="15" s="1"/>
  <c r="Q74" i="44"/>
  <c r="Q61" i="44"/>
  <c r="Q60" i="44"/>
  <c r="Q53" i="44"/>
  <c r="J51" i="44"/>
  <c r="J52" i="44"/>
  <c r="M48" i="44"/>
  <c r="A16" i="55"/>
  <c r="B67" i="63" s="1"/>
  <c r="A15" i="55"/>
  <c r="B66" i="63" s="1"/>
  <c r="A10" i="55"/>
  <c r="B61" i="63" s="1"/>
  <c r="A9" i="55"/>
  <c r="B60" i="63" s="1"/>
  <c r="A8" i="55"/>
  <c r="A6" i="54"/>
  <c r="A8" i="54"/>
  <c r="A7" i="54"/>
  <c r="B51" i="63" s="1"/>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s="1"/>
  <c r="C5" i="59"/>
  <c r="D5" i="59" s="1"/>
  <c r="T6" i="59"/>
  <c r="D6" i="59"/>
  <c r="B76" i="63"/>
  <c r="M5" i="54"/>
  <c r="A23" i="51"/>
  <c r="B17" i="63" s="1"/>
  <c r="Y12" i="46"/>
  <c r="AA9" i="46"/>
  <c r="AA10" i="46" s="1"/>
  <c r="AB9" i="46"/>
  <c r="AC9" i="46"/>
  <c r="AC10" i="46" s="1"/>
  <c r="AD9" i="46"/>
  <c r="AE9" i="46"/>
  <c r="AE10" i="46" s="1"/>
  <c r="AF9" i="46"/>
  <c r="AG9" i="46"/>
  <c r="AG10" i="46" s="1"/>
  <c r="AH9" i="46"/>
  <c r="AI9" i="46"/>
  <c r="AJ9" i="46"/>
  <c r="Z9" i="46"/>
  <c r="Z10" i="46" s="1"/>
  <c r="AJ10" i="46"/>
  <c r="AH10" i="46"/>
  <c r="AF10" i="46"/>
  <c r="AD10" i="46"/>
  <c r="AB10" i="46"/>
  <c r="Y10" i="46"/>
  <c r="AJ12" i="46"/>
  <c r="AH12" i="46"/>
  <c r="AF12" i="46"/>
  <c r="AD12" i="46"/>
  <c r="AB12" i="46"/>
  <c r="Z12" i="46"/>
  <c r="AE12" i="46"/>
  <c r="AA12" i="46"/>
  <c r="B73" i="63"/>
  <c r="A21" i="64"/>
  <c r="B75" i="63" s="1"/>
  <c r="A27" i="64"/>
  <c r="A15" i="64"/>
  <c r="A14" i="64"/>
  <c r="A11" i="64"/>
  <c r="A3" i="64"/>
  <c r="A45" i="9"/>
  <c r="A44" i="9"/>
  <c r="C57" i="10"/>
  <c r="A28" i="51" s="1"/>
  <c r="N4" i="63" s="1"/>
  <c r="C56" i="10"/>
  <c r="C55" i="10"/>
  <c r="A26" i="64" s="1"/>
  <c r="C54" i="10"/>
  <c r="B49" i="63"/>
  <c r="B44" i="63"/>
  <c r="B40" i="63"/>
  <c r="B30" i="63"/>
  <c r="B27" i="63"/>
  <c r="B25" i="63"/>
  <c r="A11" i="51"/>
  <c r="B10" i="63" s="1"/>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20" i="63"/>
  <c r="A15" i="51"/>
  <c r="B12" i="63" s="1"/>
  <c r="A14" i="51"/>
  <c r="B11" i="63" s="1"/>
  <c r="A4" i="55"/>
  <c r="B57" i="63"/>
  <c r="B41" i="63"/>
  <c r="G5" i="54"/>
  <c r="B34" i="63" s="1"/>
  <c r="E5" i="54"/>
  <c r="B32" i="63" s="1"/>
  <c r="R2" i="54"/>
  <c r="B24" i="63" s="1"/>
  <c r="B49" i="50"/>
  <c r="B5" i="63"/>
  <c r="B40" i="50"/>
  <c r="B3" i="63"/>
  <c r="B21" i="63"/>
  <c r="I19" i="46"/>
  <c r="Q10" i="59"/>
  <c r="P10" i="59"/>
  <c r="E10" i="59" s="1"/>
  <c r="O10" i="59"/>
  <c r="N10" i="59"/>
  <c r="B10" i="59" s="1"/>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c r="F49" i="59"/>
  <c r="F48" i="59"/>
  <c r="B49" i="59"/>
  <c r="N49" i="59" s="1"/>
  <c r="D47" i="59"/>
  <c r="Q46" i="59"/>
  <c r="P46" i="59"/>
  <c r="O46" i="59"/>
  <c r="N46" i="59"/>
  <c r="Q45" i="59"/>
  <c r="P45" i="59"/>
  <c r="O45" i="59"/>
  <c r="N45" i="59"/>
  <c r="Q44" i="59"/>
  <c r="P44" i="59"/>
  <c r="O44" i="59"/>
  <c r="N44" i="59"/>
  <c r="Q43" i="59"/>
  <c r="F44" i="59"/>
  <c r="P43" i="59"/>
  <c r="E44" i="59"/>
  <c r="E45" i="59" s="1"/>
  <c r="E46" i="59"/>
  <c r="U46" i="59" s="1"/>
  <c r="O43" i="59"/>
  <c r="C44" i="59" s="1"/>
  <c r="D44" i="59" s="1"/>
  <c r="N43" i="59"/>
  <c r="B44" i="59" s="1"/>
  <c r="B45" i="59" s="1"/>
  <c r="B46" i="59" s="1"/>
  <c r="S46" i="59" s="1"/>
  <c r="D43" i="59"/>
  <c r="Q42" i="59"/>
  <c r="P42" i="59"/>
  <c r="O42" i="59"/>
  <c r="N42" i="59"/>
  <c r="Q41" i="59"/>
  <c r="P41" i="59"/>
  <c r="O41" i="59"/>
  <c r="N41" i="59"/>
  <c r="Q40" i="59"/>
  <c r="P40" i="59"/>
  <c r="O40" i="59"/>
  <c r="C41" i="59" s="1"/>
  <c r="N40" i="59"/>
  <c r="Q39" i="59"/>
  <c r="F40" i="59" s="1"/>
  <c r="F41" i="59" s="1"/>
  <c r="P39" i="59"/>
  <c r="E40" i="59" s="1"/>
  <c r="E41" i="59"/>
  <c r="E42" i="59" s="1"/>
  <c r="U42" i="59" s="1"/>
  <c r="O39" i="59"/>
  <c r="C40" i="59"/>
  <c r="D40" i="59" s="1"/>
  <c r="N39" i="59"/>
  <c r="B40" i="59"/>
  <c r="B41" i="59" s="1"/>
  <c r="B42" i="59"/>
  <c r="S42" i="59" s="1"/>
  <c r="D39" i="59"/>
  <c r="Q38" i="59"/>
  <c r="P38" i="59"/>
  <c r="O38" i="59"/>
  <c r="N38" i="59"/>
  <c r="Q37" i="59"/>
  <c r="P37" i="59"/>
  <c r="O37" i="59"/>
  <c r="N37" i="59"/>
  <c r="Q36" i="59"/>
  <c r="P36" i="59"/>
  <c r="O36" i="59"/>
  <c r="N36" i="59"/>
  <c r="Q35" i="59"/>
  <c r="F36" i="59"/>
  <c r="P35" i="59"/>
  <c r="E36" i="59"/>
  <c r="E37" i="59" s="1"/>
  <c r="E38" i="59"/>
  <c r="U38" i="59" s="1"/>
  <c r="O35" i="59"/>
  <c r="C36" i="59" s="1"/>
  <c r="D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O31" i="59"/>
  <c r="C32" i="59"/>
  <c r="D32" i="59" s="1"/>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c r="E30" i="59" s="1"/>
  <c r="U30" i="59" s="1"/>
  <c r="O27" i="59"/>
  <c r="C28" i="59"/>
  <c r="N27" i="59"/>
  <c r="B28" i="59"/>
  <c r="B29" i="59" s="1"/>
  <c r="B30" i="59"/>
  <c r="S30" i="59" s="1"/>
  <c r="D27" i="59"/>
  <c r="Q26" i="59"/>
  <c r="P26" i="59"/>
  <c r="O26" i="59"/>
  <c r="N26" i="59"/>
  <c r="Q25" i="59"/>
  <c r="P25" i="59"/>
  <c r="O25" i="59"/>
  <c r="N25" i="59"/>
  <c r="Q24" i="59"/>
  <c r="P24" i="59"/>
  <c r="O24" i="59"/>
  <c r="N24" i="59"/>
  <c r="Q23" i="59"/>
  <c r="F24" i="59"/>
  <c r="P23" i="59"/>
  <c r="E24" i="59"/>
  <c r="E25" i="59" s="1"/>
  <c r="E26" i="59"/>
  <c r="U26" i="59" s="1"/>
  <c r="O23" i="59"/>
  <c r="C24" i="59" s="1"/>
  <c r="C25" i="59" s="1"/>
  <c r="C26" i="59" s="1"/>
  <c r="N23" i="59"/>
  <c r="B24" i="59" s="1"/>
  <c r="B25" i="59" s="1"/>
  <c r="B26" i="59" s="1"/>
  <c r="S26" i="59" s="1"/>
  <c r="D23" i="59"/>
  <c r="Q22" i="59"/>
  <c r="P22" i="59"/>
  <c r="O22" i="59"/>
  <c r="N22" i="59"/>
  <c r="Q21" i="59"/>
  <c r="AB21" i="59" s="1"/>
  <c r="P21" i="59"/>
  <c r="O21" i="59"/>
  <c r="Y21" i="59"/>
  <c r="Z21" i="59" s="1"/>
  <c r="N21" i="59"/>
  <c r="X21" i="59" s="1"/>
  <c r="Q20" i="59"/>
  <c r="P20" i="59"/>
  <c r="AA20" i="59" s="1"/>
  <c r="O20" i="59"/>
  <c r="Y20" i="59" s="1"/>
  <c r="Z20" i="59" s="1"/>
  <c r="N20" i="59"/>
  <c r="X20" i="59" s="1"/>
  <c r="Q19" i="59"/>
  <c r="P19" i="59"/>
  <c r="O19" i="59"/>
  <c r="C20" i="59"/>
  <c r="C21" i="59" s="1"/>
  <c r="C22" i="59" s="1"/>
  <c r="D22" i="59" s="1"/>
  <c r="N19" i="59"/>
  <c r="B20" i="59"/>
  <c r="B21" i="59" s="1"/>
  <c r="B22" i="59" s="1"/>
  <c r="S22" i="59" s="1"/>
  <c r="D19" i="59"/>
  <c r="Q18" i="59"/>
  <c r="P18" i="59"/>
  <c r="AA18" i="59" s="1"/>
  <c r="O18" i="59"/>
  <c r="Y18" i="59" s="1"/>
  <c r="Z18" i="59" s="1"/>
  <c r="N18" i="59"/>
  <c r="X18" i="59" s="1"/>
  <c r="Q17" i="59"/>
  <c r="P17" i="59"/>
  <c r="AA17" i="59" s="1"/>
  <c r="O17" i="59"/>
  <c r="N17" i="59"/>
  <c r="X17" i="59" s="1"/>
  <c r="Q16" i="59"/>
  <c r="P16" i="59"/>
  <c r="AA16" i="59" s="1"/>
  <c r="O16" i="59"/>
  <c r="Y16" i="59" s="1"/>
  <c r="Z16" i="59" s="1"/>
  <c r="N16" i="59"/>
  <c r="X16" i="59" s="1"/>
  <c r="Q15" i="59"/>
  <c r="F16" i="59"/>
  <c r="P15" i="59"/>
  <c r="E16" i="59"/>
  <c r="E17" i="59" s="1"/>
  <c r="E18" i="59" s="1"/>
  <c r="U18" i="59" s="1"/>
  <c r="O15" i="59"/>
  <c r="Y7" i="59" s="1"/>
  <c r="Z7" i="59" s="1"/>
  <c r="N15" i="59"/>
  <c r="D15" i="59"/>
  <c r="Q14" i="59"/>
  <c r="P14" i="59"/>
  <c r="AA14" i="59" s="1"/>
  <c r="O14" i="59"/>
  <c r="N14" i="59"/>
  <c r="Q13" i="59"/>
  <c r="P13" i="59"/>
  <c r="O13" i="59"/>
  <c r="N13" i="59"/>
  <c r="X13" i="59" s="1"/>
  <c r="Q12" i="59"/>
  <c r="P12" i="59"/>
  <c r="AA12" i="59" s="1"/>
  <c r="O12" i="59"/>
  <c r="N12" i="59"/>
  <c r="Q11" i="59"/>
  <c r="P11" i="59"/>
  <c r="AA11" i="59" s="1"/>
  <c r="O11" i="59"/>
  <c r="C12" i="59"/>
  <c r="C13" i="59" s="1"/>
  <c r="C14" i="59" s="1"/>
  <c r="D14" i="59" s="1"/>
  <c r="N11" i="59"/>
  <c r="B12" i="59"/>
  <c r="B13" i="59" s="1"/>
  <c r="B14" i="59" s="1"/>
  <c r="S14" i="59" s="1"/>
  <c r="D11" i="59"/>
  <c r="X3" i="59"/>
  <c r="X10" i="59"/>
  <c r="AA9" i="59"/>
  <c r="Y8" i="59"/>
  <c r="Z8" i="59" s="1"/>
  <c r="Y10" i="59"/>
  <c r="Z10" i="59" s="1"/>
  <c r="AB10" i="59"/>
  <c r="AB9" i="59"/>
  <c r="E12" i="59"/>
  <c r="E13" i="59" s="1"/>
  <c r="E14" i="59" s="1"/>
  <c r="U14" i="59" s="1"/>
  <c r="B33" i="59"/>
  <c r="B34" i="59" s="1"/>
  <c r="S34" i="59" s="1"/>
  <c r="E34" i="59"/>
  <c r="U34" i="59" s="1"/>
  <c r="S50" i="59"/>
  <c r="AA21" i="59"/>
  <c r="F17" i="59"/>
  <c r="F18" i="59" s="1"/>
  <c r="V18" i="59" s="1"/>
  <c r="F25" i="59"/>
  <c r="F26" i="59" s="1"/>
  <c r="V26" i="59"/>
  <c r="F37" i="59"/>
  <c r="F38" i="59" s="1"/>
  <c r="V38" i="59" s="1"/>
  <c r="F42" i="59"/>
  <c r="V42" i="59" s="1"/>
  <c r="F45" i="59"/>
  <c r="F46" i="59" s="1"/>
  <c r="V46" i="59"/>
  <c r="D20" i="59"/>
  <c r="D24" i="59"/>
  <c r="C37" i="59"/>
  <c r="C38" i="59" s="1"/>
  <c r="D38" i="59" s="1"/>
  <c r="C45" i="59"/>
  <c r="C46" i="59" s="1"/>
  <c r="D46" i="59" s="1"/>
  <c r="E48" i="59"/>
  <c r="P47" i="59" s="1"/>
  <c r="Q49" i="59"/>
  <c r="T50" i="59"/>
  <c r="D50" i="59"/>
  <c r="P50" i="59"/>
  <c r="U50" i="59"/>
  <c r="Q50" i="59"/>
  <c r="E53" i="59"/>
  <c r="E52" i="59" s="1"/>
  <c r="D54" i="59"/>
  <c r="C57" i="59"/>
  <c r="E57" i="59"/>
  <c r="E56" i="59" s="1"/>
  <c r="D58" i="59"/>
  <c r="E61" i="59"/>
  <c r="E60" i="59" s="1"/>
  <c r="D62" i="59"/>
  <c r="C65" i="59"/>
  <c r="C69" i="59"/>
  <c r="D69" i="59" s="1"/>
  <c r="U16" i="4"/>
  <c r="S16" i="4"/>
  <c r="Q16" i="4"/>
  <c r="O16" i="4"/>
  <c r="M16" i="4"/>
  <c r="K16" i="4"/>
  <c r="L16" i="4" s="1"/>
  <c r="C68" i="59"/>
  <c r="D68" i="59" s="1"/>
  <c r="D65" i="59"/>
  <c r="C64" i="59"/>
  <c r="D64" i="59" s="1"/>
  <c r="D57" i="59"/>
  <c r="C56" i="59"/>
  <c r="D56" i="59"/>
  <c r="D25" i="59"/>
  <c r="D21" i="59"/>
  <c r="N16" i="4"/>
  <c r="T14" i="59"/>
  <c r="T22" i="59"/>
  <c r="T26" i="59"/>
  <c r="D26" i="59"/>
  <c r="T38" i="59"/>
  <c r="T4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B122" i="40"/>
  <c r="F42" i="40" s="1"/>
  <c r="B120" i="40"/>
  <c r="F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D100" i="40"/>
  <c r="E100" i="40" s="1"/>
  <c r="D98" i="40"/>
  <c r="E98" i="40" s="1"/>
  <c r="B97" i="40"/>
  <c r="D94" i="40"/>
  <c r="D92" i="40"/>
  <c r="D90" i="40"/>
  <c r="H21" i="40"/>
  <c r="AB21" i="40" s="1"/>
  <c r="D88" i="40"/>
  <c r="E88" i="40" s="1"/>
  <c r="D86" i="40"/>
  <c r="E86" i="40" s="1"/>
  <c r="B83" i="40"/>
  <c r="F16" i="40" s="1"/>
  <c r="AA16" i="40" s="1"/>
  <c r="B81" i="40"/>
  <c r="H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B99" i="35"/>
  <c r="B97" i="35"/>
  <c r="B77" i="35"/>
  <c r="B75" i="35"/>
  <c r="J24" i="35"/>
  <c r="AC24" i="35" s="1"/>
  <c r="B73" i="35"/>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L13" i="3" s="1"/>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s="1"/>
  <c r="F44" i="34"/>
  <c r="S44" i="34" s="1"/>
  <c r="J10" i="35"/>
  <c r="W10" i="35" s="1"/>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s="1"/>
  <c r="S27" i="31"/>
  <c r="G483" i="3"/>
  <c r="G515" i="3"/>
  <c r="G507" i="3"/>
  <c r="G501" i="3"/>
  <c r="BA15" i="3"/>
  <c r="BL17" i="3"/>
  <c r="BL15" i="3"/>
  <c r="BA14" i="3"/>
  <c r="AZ14" i="3" s="1"/>
  <c r="BT5" i="3"/>
  <c r="J57" i="39"/>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00" i="3"/>
  <c r="AZ322" i="3"/>
  <c r="H13" i="39"/>
  <c r="AB13" i="39"/>
  <c r="F13" i="39"/>
  <c r="J13" i="39"/>
  <c r="AC13" i="39" s="1"/>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c r="J27" i="39"/>
  <c r="AC27" i="39"/>
  <c r="F15" i="40"/>
  <c r="AA15" i="40" s="1"/>
  <c r="J15" i="40"/>
  <c r="AC15" i="40" s="1"/>
  <c r="E92" i="40"/>
  <c r="F92" i="40" s="1"/>
  <c r="G92" i="40" s="1"/>
  <c r="H23" i="40"/>
  <c r="U23" i="40" s="1"/>
  <c r="H41" i="40"/>
  <c r="AB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H33" i="40"/>
  <c r="AB33" i="40" s="1"/>
  <c r="F33" i="40"/>
  <c r="AA33" i="40" s="1"/>
  <c r="J33" i="40"/>
  <c r="AC33" i="40" s="1"/>
  <c r="H35" i="40"/>
  <c r="AB35" i="40" s="1"/>
  <c r="F35" i="40"/>
  <c r="AA35" i="40" s="1"/>
  <c r="J35" i="40"/>
  <c r="AC35" i="40" s="1"/>
  <c r="J38" i="39"/>
  <c r="W38" i="39"/>
  <c r="H38" i="39"/>
  <c r="U38" i="39"/>
  <c r="J16" i="40"/>
  <c r="W16" i="40"/>
  <c r="J14" i="40"/>
  <c r="W14" i="40"/>
  <c r="H42" i="40"/>
  <c r="AB42" i="40" s="1"/>
  <c r="H40" i="40"/>
  <c r="U40" i="40" s="1"/>
  <c r="H34" i="40"/>
  <c r="U34" i="40" s="1"/>
  <c r="AZ391" i="3"/>
  <c r="AZ399" i="3"/>
  <c r="AZ403" i="3"/>
  <c r="AZ407" i="3"/>
  <c r="AZ415" i="3"/>
  <c r="AZ423" i="3"/>
  <c r="AZ431" i="3"/>
  <c r="AZ439" i="3"/>
  <c r="AZ454" i="3"/>
  <c r="B41" i="1"/>
  <c r="J40" i="40"/>
  <c r="AC40" i="40" s="1"/>
  <c r="J34" i="40"/>
  <c r="AC34" i="40" s="1"/>
  <c r="H16" i="40"/>
  <c r="AB16" i="40" s="1"/>
  <c r="H14" i="40"/>
  <c r="U14"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AB14" i="40"/>
  <c r="F34" i="44"/>
  <c r="F27" i="43"/>
  <c r="F66" i="9"/>
  <c r="P72" i="9" s="1"/>
  <c r="F71" i="9"/>
  <c r="F72" i="9"/>
  <c r="AC14" i="40"/>
  <c r="AC47" i="39"/>
  <c r="AB25" i="39"/>
  <c r="U37" i="34"/>
  <c r="AB37" i="34"/>
  <c r="W41" i="40"/>
  <c r="J23" i="40"/>
  <c r="AC23" i="40" s="1"/>
  <c r="F23" i="40"/>
  <c r="S23" i="40" s="1"/>
  <c r="W15" i="40"/>
  <c r="W27" i="39"/>
  <c r="S23" i="39"/>
  <c r="W14"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U42" i="40"/>
  <c r="AC16" i="40"/>
  <c r="H25" i="40"/>
  <c r="AB25" i="40" s="1"/>
  <c r="W15" i="39"/>
  <c r="J37" i="34"/>
  <c r="AC37" i="34"/>
  <c r="J36" i="33"/>
  <c r="W36" i="33"/>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J11" i="34"/>
  <c r="W11" i="34" s="1"/>
  <c r="S17" i="34"/>
  <c r="AC36" i="33"/>
  <c r="F25" i="40"/>
  <c r="AA25" i="40" s="1"/>
  <c r="J11" i="33"/>
  <c r="W11" i="33" s="1"/>
  <c r="H33" i="37"/>
  <c r="AB33" i="37" s="1"/>
  <c r="W15" i="34"/>
  <c r="U20" i="35"/>
  <c r="AB20" i="35"/>
  <c r="D73" i="9"/>
  <c r="N73" i="9" s="1"/>
  <c r="AP11" i="1"/>
  <c r="J51" i="15"/>
  <c r="B11" i="1"/>
  <c r="E11" i="1" s="1"/>
  <c r="K11" i="1"/>
  <c r="M11" i="1" s="1"/>
  <c r="B9" i="1"/>
  <c r="E9" i="1" s="1"/>
  <c r="K9" i="1"/>
  <c r="M9" i="1" s="1"/>
  <c r="B7" i="1"/>
  <c r="E7" i="1" s="1"/>
  <c r="K7" i="1"/>
  <c r="M7" i="1" s="1"/>
  <c r="C20" i="43"/>
  <c r="F6" i="1"/>
  <c r="AP6" i="1" s="1"/>
  <c r="G11" i="1"/>
  <c r="M22" i="44"/>
  <c r="F32" i="15"/>
  <c r="F59" i="15"/>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S14" i="40"/>
  <c r="S15" i="40"/>
  <c r="S16" i="40"/>
  <c r="W11" i="40"/>
  <c r="AA21" i="40"/>
  <c r="U21" i="40"/>
  <c r="U25" i="40"/>
  <c r="F37" i="40"/>
  <c r="S37" i="40" s="1"/>
  <c r="J37" i="40"/>
  <c r="AC37" i="40" s="1"/>
  <c r="H37" i="40"/>
  <c r="U37" i="40" s="1"/>
  <c r="G113" i="40"/>
  <c r="H113" i="40" s="1"/>
  <c r="I113" i="40" s="1"/>
  <c r="J113" i="40" s="1"/>
  <c r="K113" i="40" s="1"/>
  <c r="L113" i="40" s="1"/>
  <c r="M113" i="40" s="1"/>
  <c r="F39" i="40"/>
  <c r="S39" i="40" s="1"/>
  <c r="H39" i="40"/>
  <c r="U39" i="40" s="1"/>
  <c r="J39" i="40"/>
  <c r="W39" i="40" s="1"/>
  <c r="W38"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3" i="40"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c r="C59" i="34"/>
  <c r="D59" i="34"/>
  <c r="E59" i="34" s="1"/>
  <c r="C48" i="35"/>
  <c r="D48" i="35" s="1"/>
  <c r="C52" i="37"/>
  <c r="D52" i="37" s="1"/>
  <c r="F7" i="33"/>
  <c r="J7" i="33"/>
  <c r="C67" i="40"/>
  <c r="D65" i="40"/>
  <c r="P24" i="46"/>
  <c r="B68" i="40" s="1"/>
  <c r="P25" i="46"/>
  <c r="B73" i="39" s="1"/>
  <c r="P23" i="46"/>
  <c r="P21" i="46"/>
  <c r="P22" i="46"/>
  <c r="H7" i="33"/>
  <c r="C72" i="39"/>
  <c r="D70" i="39"/>
  <c r="O19" i="46"/>
  <c r="K17" i="4"/>
  <c r="A22" i="51"/>
  <c r="B16" i="63" s="1"/>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s="1"/>
  <c r="B12" i="1"/>
  <c r="E12" i="1" s="1"/>
  <c r="S12" i="1"/>
  <c r="K6" i="1"/>
  <c r="M6" i="1" s="1"/>
  <c r="O6" i="1" s="1"/>
  <c r="C15" i="43"/>
  <c r="O12" i="1"/>
  <c r="P12"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S34" i="40"/>
  <c r="U38"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G6" i="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C39" i="40"/>
  <c r="AA39" i="40"/>
  <c r="AA37" i="40"/>
  <c r="AC31" i="39"/>
  <c r="B20" i="31"/>
  <c r="R22" i="31"/>
  <c r="B21" i="31" s="1"/>
  <c r="A17" i="51"/>
  <c r="B13" i="63" s="1"/>
  <c r="E58" i="39"/>
  <c r="F27" i="6"/>
  <c r="E5" i="6"/>
  <c r="D21" i="12" s="1"/>
  <c r="C21" i="12" s="1"/>
  <c r="P6" i="1"/>
  <c r="C15" i="12"/>
  <c r="BA5" i="3"/>
  <c r="E27" i="6" s="1"/>
  <c r="G29" i="6"/>
  <c r="AZ16" i="3"/>
  <c r="F30" i="6"/>
  <c r="H70" i="46"/>
  <c r="H72" i="46"/>
  <c r="A9" i="64"/>
  <c r="A9" i="51"/>
  <c r="B9" i="63" s="1"/>
  <c r="A3" i="55"/>
  <c r="B56" i="63" s="1"/>
  <c r="E52" i="37"/>
  <c r="F52" i="37" s="1"/>
  <c r="F59" i="34"/>
  <c r="G59" i="34"/>
  <c r="H59" i="34" s="1"/>
  <c r="E48" i="35"/>
  <c r="F48" i="35"/>
  <c r="G48" i="35" s="1"/>
  <c r="E46" i="36"/>
  <c r="F46" i="36"/>
  <c r="G46" i="36" s="1"/>
  <c r="D72" i="39"/>
  <c r="E70" i="39"/>
  <c r="W7" i="33"/>
  <c r="AC7" i="33"/>
  <c r="V48" i="33" s="1"/>
  <c r="I48" i="33" s="1"/>
  <c r="U7" i="33"/>
  <c r="AB7" i="33"/>
  <c r="T48" i="33" s="1"/>
  <c r="G48" i="33" s="1"/>
  <c r="D67" i="40"/>
  <c r="E65" i="40"/>
  <c r="S7" i="33"/>
  <c r="AA7" i="33"/>
  <c r="R48" i="33" s="1"/>
  <c r="G39" i="46"/>
  <c r="I39" i="46" s="1"/>
  <c r="E4" i="4"/>
  <c r="G66" i="36"/>
  <c r="J18" i="36"/>
  <c r="AE8" i="1"/>
  <c r="AE7" i="1"/>
  <c r="W18" i="36"/>
  <c r="AC18" i="36"/>
  <c r="AG6" i="1"/>
  <c r="E29" i="6"/>
  <c r="L20" i="6"/>
  <c r="L19" i="6"/>
  <c r="K15" i="1"/>
  <c r="B21" i="55"/>
  <c r="B72" i="63"/>
  <c r="F7" i="21"/>
  <c r="J7" i="21"/>
  <c r="AC7" i="21" s="1"/>
  <c r="V48" i="21" s="1"/>
  <c r="I48" i="21" s="1"/>
  <c r="H7" i="21"/>
  <c r="E67" i="40"/>
  <c r="F65" i="40"/>
  <c r="E72" i="39"/>
  <c r="F70" i="39"/>
  <c r="S7" i="1"/>
  <c r="S8" i="1"/>
  <c r="S9" i="1"/>
  <c r="W7" i="21"/>
  <c r="U7" i="21"/>
  <c r="AB7" i="21"/>
  <c r="T48" i="21" s="1"/>
  <c r="G48" i="21" s="1"/>
  <c r="S7" i="21"/>
  <c r="AA7" i="21"/>
  <c r="R48" i="21"/>
  <c r="R49" i="21" s="1"/>
  <c r="F72" i="39"/>
  <c r="G70" i="39"/>
  <c r="G72" i="39" s="1"/>
  <c r="F67" i="40"/>
  <c r="G65" i="40"/>
  <c r="G67" i="40" s="1"/>
  <c r="E48" i="21"/>
  <c r="E53" i="21" s="1"/>
  <c r="F53" i="21" s="1"/>
  <c r="H65" i="40"/>
  <c r="I65" i="40" s="1"/>
  <c r="H70" i="39"/>
  <c r="I70" i="39" s="1"/>
  <c r="R9" i="1"/>
  <c r="E52" i="21"/>
  <c r="F52" i="21" s="1"/>
  <c r="H72" i="39"/>
  <c r="H67" i="40"/>
  <c r="R7" i="1"/>
  <c r="R8" i="1"/>
  <c r="N76" i="9"/>
  <c r="C46" i="9"/>
  <c r="K33" i="9" s="1"/>
  <c r="F31" i="15"/>
  <c r="F33" i="44"/>
  <c r="E12" i="67"/>
  <c r="M22" i="15"/>
  <c r="F28" i="44"/>
  <c r="B8" i="67"/>
  <c r="M27" i="15"/>
  <c r="B9" i="67"/>
  <c r="F8" i="44"/>
  <c r="M8" i="15"/>
  <c r="M25" i="44"/>
  <c r="F38" i="15"/>
  <c r="B11" i="67"/>
  <c r="M31" i="44"/>
  <c r="M9" i="15"/>
  <c r="L48" i="44"/>
  <c r="F38" i="44"/>
  <c r="B12" i="67"/>
  <c r="M28" i="15"/>
  <c r="F9" i="67"/>
  <c r="F42" i="15"/>
  <c r="F18" i="44"/>
  <c r="E8" i="67"/>
  <c r="F15" i="44"/>
  <c r="F9" i="15"/>
  <c r="F8" i="67"/>
  <c r="F8" i="15"/>
  <c r="M30" i="44"/>
  <c r="F6" i="15"/>
  <c r="M6" i="15"/>
  <c r="B10" i="67"/>
  <c r="F39" i="44"/>
  <c r="F11" i="67"/>
  <c r="M29" i="44"/>
  <c r="J17" i="44"/>
  <c r="N6" i="65"/>
  <c r="J36" i="15"/>
  <c r="F10" i="67"/>
  <c r="F37" i="15"/>
  <c r="F13" i="15"/>
  <c r="F11" i="44"/>
  <c r="M28" i="44"/>
  <c r="N4" i="65"/>
  <c r="F16" i="15"/>
  <c r="F13" i="67"/>
  <c r="F10" i="44"/>
  <c r="M26" i="15"/>
  <c r="N5" i="65"/>
  <c r="F36" i="15"/>
  <c r="F12" i="67"/>
  <c r="F43" i="15"/>
  <c r="C19" i="44"/>
  <c r="M11" i="44"/>
  <c r="F40" i="44"/>
  <c r="E9" i="67"/>
  <c r="M29" i="15"/>
  <c r="F37" i="44"/>
  <c r="M26" i="44"/>
  <c r="M10" i="44"/>
  <c r="E13" i="67"/>
  <c r="M24" i="44"/>
  <c r="M23" i="44"/>
  <c r="F14" i="67"/>
  <c r="F45" i="44"/>
  <c r="F46" i="44"/>
  <c r="F26" i="15"/>
  <c r="M23" i="15"/>
  <c r="E11" i="67"/>
  <c r="F43" i="44"/>
  <c r="E10" i="67"/>
  <c r="F40" i="15"/>
  <c r="M8" i="44"/>
  <c r="B14" i="67"/>
  <c r="J15" i="15"/>
  <c r="E14" i="67"/>
  <c r="L48" i="15"/>
  <c r="F7" i="15"/>
  <c r="M24" i="15"/>
  <c r="L49" i="44"/>
  <c r="B13" i="67"/>
  <c r="L47" i="15"/>
  <c r="F9" i="44"/>
  <c r="K13" i="1" l="1"/>
  <c r="M13" i="1" s="1"/>
  <c r="O13" i="1" s="1"/>
  <c r="P13" i="1" s="1"/>
  <c r="W23" i="40"/>
  <c r="B14" i="52"/>
  <c r="S38" i="40"/>
  <c r="C18" i="9"/>
  <c r="I102" i="40"/>
  <c r="J102" i="40" s="1"/>
  <c r="K102" i="40" s="1"/>
  <c r="L102" i="40" s="1"/>
  <c r="M102" i="40" s="1"/>
  <c r="H32" i="40"/>
  <c r="U32" i="40" s="1"/>
  <c r="F32" i="40"/>
  <c r="J32" i="40"/>
  <c r="F100" i="40"/>
  <c r="G100" i="40" s="1"/>
  <c r="H100" i="40" s="1"/>
  <c r="I100" i="40" s="1"/>
  <c r="J100" i="40" s="1"/>
  <c r="K100" i="40" s="1"/>
  <c r="L100" i="40" s="1"/>
  <c r="M100" i="40" s="1"/>
  <c r="H30" i="40"/>
  <c r="J30" i="40"/>
  <c r="H29" i="40"/>
  <c r="F98" i="40"/>
  <c r="G98" i="40" s="1"/>
  <c r="H98" i="40" s="1"/>
  <c r="I98" i="40" s="1"/>
  <c r="J98" i="40" s="1"/>
  <c r="K98" i="40" s="1"/>
  <c r="L98" i="40" s="1"/>
  <c r="M98" i="40" s="1"/>
  <c r="F29" i="40"/>
  <c r="J29" i="40"/>
  <c r="F88" i="40"/>
  <c r="G88" i="40" s="1"/>
  <c r="H19" i="40"/>
  <c r="F19" i="40"/>
  <c r="J19" i="40"/>
  <c r="J17" i="40"/>
  <c r="F86" i="40"/>
  <c r="G86" i="40" s="1"/>
  <c r="H17" i="40"/>
  <c r="AB17" i="40" s="1"/>
  <c r="F17" i="40"/>
  <c r="E4" i="52"/>
  <c r="W37" i="40"/>
  <c r="W35" i="40"/>
  <c r="AB39" i="40"/>
  <c r="U35" i="40"/>
  <c r="AA23" i="40"/>
  <c r="W27" i="40"/>
  <c r="S25" i="40"/>
  <c r="W25" i="40"/>
  <c r="W21" i="40"/>
  <c r="C31" i="39"/>
  <c r="B5" i="52"/>
  <c r="AB37" i="40"/>
  <c r="AB32" i="40"/>
  <c r="AB15" i="40"/>
  <c r="U15" i="40"/>
  <c r="B11" i="52"/>
  <c r="B22" i="52"/>
  <c r="E7" i="52"/>
  <c r="C4" i="4" s="1"/>
  <c r="B20" i="55" s="1"/>
  <c r="B70" i="63" s="1"/>
  <c r="AB34" i="40"/>
  <c r="S33" i="40"/>
  <c r="AA41" i="40"/>
  <c r="S41" i="40"/>
  <c r="AA42" i="40"/>
  <c r="S42" i="40"/>
  <c r="S40" i="40"/>
  <c r="J42" i="40"/>
  <c r="P75" i="15"/>
  <c r="L27" i="6"/>
  <c r="F31" i="6"/>
  <c r="D12" i="11"/>
  <c r="C12" i="11" s="1"/>
  <c r="H22" i="46"/>
  <c r="AB11" i="46"/>
  <c r="AB13" i="46" s="1"/>
  <c r="AE11" i="46"/>
  <c r="AE13" i="46" s="1"/>
  <c r="AF11" i="46"/>
  <c r="AF13" i="46" s="1"/>
  <c r="AI11" i="46"/>
  <c r="AD11" i="46"/>
  <c r="AD13" i="46" s="1"/>
  <c r="AG11" i="46"/>
  <c r="E22" i="46"/>
  <c r="H101" i="46"/>
  <c r="M101" i="46"/>
  <c r="D101" i="46"/>
  <c r="I101" i="46"/>
  <c r="G22" i="46"/>
  <c r="AJ11" i="46"/>
  <c r="AJ13" i="46" s="1"/>
  <c r="AA11" i="46"/>
  <c r="AA13" i="46" s="1"/>
  <c r="AH11" i="46"/>
  <c r="AH13" i="46" s="1"/>
  <c r="Z11" i="46"/>
  <c r="Z13" i="46" s="1"/>
  <c r="Y11" i="46"/>
  <c r="Y13" i="46" s="1"/>
  <c r="AC11" i="46"/>
  <c r="F101" i="46"/>
  <c r="N101" i="46"/>
  <c r="K101" i="46"/>
  <c r="Z7" i="46"/>
  <c r="E101" i="46"/>
  <c r="F22" i="46"/>
  <c r="L101" i="46"/>
  <c r="N104" i="45"/>
  <c r="B113" i="46"/>
  <c r="J101" i="46"/>
  <c r="G101" i="46"/>
  <c r="C101" i="46"/>
  <c r="J22" i="46"/>
  <c r="AZ13" i="3"/>
  <c r="G14" i="3"/>
  <c r="G30" i="6"/>
  <c r="G31" i="6" s="1"/>
  <c r="E28" i="6"/>
  <c r="O9" i="1"/>
  <c r="P9" i="1" s="1"/>
  <c r="O7" i="1"/>
  <c r="P7" i="1" s="1"/>
  <c r="O11" i="1"/>
  <c r="P11" i="1" s="1"/>
  <c r="E12" i="6"/>
  <c r="E14" i="6"/>
  <c r="E15" i="6"/>
  <c r="E13" i="6"/>
  <c r="E10" i="6"/>
  <c r="E11" i="6"/>
  <c r="A25" i="51"/>
  <c r="B18" i="63" s="1"/>
  <c r="C16" i="46"/>
  <c r="C5" i="46" s="1"/>
  <c r="E16" i="52"/>
  <c r="E8" i="52"/>
  <c r="B13" i="52"/>
  <c r="E21" i="52"/>
  <c r="E6" i="52"/>
  <c r="A11" i="55"/>
  <c r="B62" i="63" s="1"/>
  <c r="A2" i="55"/>
  <c r="B55" i="63" s="1"/>
  <c r="AP16" i="1"/>
  <c r="F22" i="11" s="1"/>
  <c r="E5" i="52"/>
  <c r="B6" i="52"/>
  <c r="B16" i="52"/>
  <c r="B23" i="52"/>
  <c r="E10" i="52"/>
  <c r="E9" i="52"/>
  <c r="B8" i="52"/>
  <c r="B4" i="52"/>
  <c r="B9" i="52"/>
  <c r="B10" i="52"/>
  <c r="B7" i="52"/>
  <c r="E11" i="52"/>
  <c r="K76" i="9"/>
  <c r="K77" i="9" s="1"/>
  <c r="K79" i="9" s="1"/>
  <c r="K81" i="9" s="1"/>
  <c r="J70" i="39"/>
  <c r="I72" i="39"/>
  <c r="G52" i="21"/>
  <c r="H52" i="21" s="1"/>
  <c r="G53" i="21"/>
  <c r="H53" i="21" s="1"/>
  <c r="J65" i="40"/>
  <c r="I67" i="40"/>
  <c r="C48" i="21"/>
  <c r="C49" i="21"/>
  <c r="B3" i="21" s="1"/>
  <c r="B2" i="21" s="1"/>
  <c r="I52" i="21"/>
  <c r="J52" i="21" s="1"/>
  <c r="I53" i="21"/>
  <c r="J53" i="21" s="1"/>
  <c r="H1" i="65"/>
  <c r="J22" i="44"/>
  <c r="C36" i="44"/>
  <c r="M9" i="44"/>
  <c r="J8" i="44" s="1"/>
  <c r="M7" i="15"/>
  <c r="J6" i="15" s="1"/>
  <c r="F49" i="15"/>
  <c r="C29" i="44"/>
  <c r="F65" i="15"/>
  <c r="J54" i="44"/>
  <c r="J58" i="44"/>
  <c r="J56" i="44" s="1"/>
  <c r="J59" i="44" s="1"/>
  <c r="Q52" i="44" s="1"/>
  <c r="L57" i="44"/>
  <c r="J60" i="44"/>
  <c r="I55" i="44"/>
  <c r="J61" i="44"/>
  <c r="Q50" i="44" s="1"/>
  <c r="F63" i="15"/>
  <c r="Q72" i="15"/>
  <c r="Q73" i="44"/>
  <c r="F70" i="15"/>
  <c r="F64" i="15"/>
  <c r="F50" i="15"/>
  <c r="L58" i="15"/>
  <c r="L59" i="15"/>
  <c r="C8" i="44"/>
  <c r="J53" i="15"/>
  <c r="I54" i="15"/>
  <c r="L56" i="15"/>
  <c r="J57" i="15"/>
  <c r="J55" i="15" s="1"/>
  <c r="J58" i="15" s="1"/>
  <c r="Q51" i="15" s="1"/>
  <c r="F67" i="15"/>
  <c r="C6" i="15"/>
  <c r="L60" i="44"/>
  <c r="L59" i="44"/>
  <c r="C27" i="15"/>
  <c r="C4" i="65"/>
  <c r="B39" i="1" s="1"/>
  <c r="K65" i="40"/>
  <c r="J67" i="40"/>
  <c r="K70" i="39"/>
  <c r="J72" i="39"/>
  <c r="I14" i="66"/>
  <c r="B8" i="66" s="1"/>
  <c r="O41" i="9"/>
  <c r="R8" i="54" s="1"/>
  <c r="B54" i="63" s="1"/>
  <c r="K19" i="6"/>
  <c r="S6" i="1" s="1"/>
  <c r="S16" i="1"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48" i="33"/>
  <c r="I53" i="33" s="1"/>
  <c r="J53" i="33" s="1"/>
  <c r="R49" i="33"/>
  <c r="G52" i="33"/>
  <c r="H52" i="33" s="1"/>
  <c r="G53" i="33"/>
  <c r="H53" i="33" s="1"/>
  <c r="I52" i="33"/>
  <c r="J52" i="33" s="1"/>
  <c r="H46" i="36"/>
  <c r="I46" i="36" s="1"/>
  <c r="J46" i="36" s="1"/>
  <c r="K46" i="36" s="1"/>
  <c r="L46" i="36" s="1"/>
  <c r="M46" i="36" s="1"/>
  <c r="N46" i="36" s="1"/>
  <c r="O46" i="36" s="1"/>
  <c r="F7" i="36" s="1"/>
  <c r="H48" i="35"/>
  <c r="I48" i="35" s="1"/>
  <c r="J48" i="35" s="1"/>
  <c r="K48" i="35" s="1"/>
  <c r="L48" i="35" s="1"/>
  <c r="M48" i="35" s="1"/>
  <c r="N48" i="35" s="1"/>
  <c r="O48" i="35" s="1"/>
  <c r="F7" i="35"/>
  <c r="I59" i="34"/>
  <c r="J59" i="34" s="1"/>
  <c r="K59" i="34" s="1"/>
  <c r="L59" i="34" s="1"/>
  <c r="M59" i="34" s="1"/>
  <c r="N59" i="34" s="1"/>
  <c r="O59" i="34" s="1"/>
  <c r="F7" i="34"/>
  <c r="G52" i="37"/>
  <c r="H52" i="37" s="1"/>
  <c r="I52" i="37" s="1"/>
  <c r="J52" i="37" s="1"/>
  <c r="K52" i="37" s="1"/>
  <c r="L52" i="37" s="1"/>
  <c r="M52" i="37" s="1"/>
  <c r="N52" i="37" s="1"/>
  <c r="O52" i="37" s="1"/>
  <c r="J7" i="37"/>
  <c r="AZ520" i="3"/>
  <c r="H7" i="36"/>
  <c r="H7" i="35"/>
  <c r="J7" i="35"/>
  <c r="H7" i="34"/>
  <c r="J7" i="34"/>
  <c r="P10" i="1"/>
  <c r="BL5" i="3"/>
  <c r="AZ488" i="3"/>
  <c r="H74" i="46"/>
  <c r="H73" i="46"/>
  <c r="H76" i="46"/>
  <c r="U25" i="33"/>
  <c r="AC11" i="33"/>
  <c r="AB11" i="33"/>
  <c r="AC11" i="34"/>
  <c r="AA20" i="35"/>
  <c r="U47" i="39"/>
  <c r="W34" i="40"/>
  <c r="AB16" i="39"/>
  <c r="U41" i="40"/>
  <c r="S47" i="39"/>
  <c r="W40" i="40"/>
  <c r="H47" i="46"/>
  <c r="S10" i="35"/>
  <c r="AC41" i="34"/>
  <c r="S45" i="21"/>
  <c r="AA27" i="33"/>
  <c r="W31" i="34"/>
  <c r="AB13" i="21"/>
  <c r="AB40" i="37"/>
  <c r="W46" i="33"/>
  <c r="W35" i="35"/>
  <c r="H5" i="3"/>
  <c r="F9" i="36"/>
  <c r="H9" i="36"/>
  <c r="H24" i="36"/>
  <c r="G536" i="3"/>
  <c r="AZ393" i="3"/>
  <c r="AZ396" i="3"/>
  <c r="AZ406" i="3"/>
  <c r="AZ409" i="3"/>
  <c r="AZ412" i="3"/>
  <c r="AZ419" i="3"/>
  <c r="AZ425" i="3"/>
  <c r="AZ429" i="3"/>
  <c r="AZ445" i="3"/>
  <c r="AZ448" i="3"/>
  <c r="AZ468" i="3"/>
  <c r="AZ472" i="3"/>
  <c r="AZ206" i="3"/>
  <c r="AZ210" i="3"/>
  <c r="AZ222" i="3"/>
  <c r="AZ226" i="3"/>
  <c r="AZ238" i="3"/>
  <c r="AZ242" i="3"/>
  <c r="AZ254" i="3"/>
  <c r="AZ258" i="3"/>
  <c r="AZ269" i="3"/>
  <c r="AZ272" i="3"/>
  <c r="AZ288" i="3"/>
  <c r="AZ293" i="3"/>
  <c r="AZ296"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AZ96" i="3"/>
  <c r="AZ103" i="3"/>
  <c r="AZ109" i="3"/>
  <c r="A30" i="64"/>
  <c r="A30" i="51"/>
  <c r="B22" i="63" s="1"/>
  <c r="D1" i="57"/>
  <c r="E10" i="57" s="1"/>
  <c r="D41" i="59"/>
  <c r="C42" i="59"/>
  <c r="B54" i="46"/>
  <c r="C27" i="40"/>
  <c r="S27" i="40"/>
  <c r="S21" i="34"/>
  <c r="S18" i="35"/>
  <c r="D13" i="59"/>
  <c r="D37" i="59"/>
  <c r="D45" i="59"/>
  <c r="P48" i="59"/>
  <c r="B48" i="59"/>
  <c r="C33" i="59"/>
  <c r="D12" i="59"/>
  <c r="AB7" i="59"/>
  <c r="Y3" i="59"/>
  <c r="Z3" i="59" s="1"/>
  <c r="Y9" i="59"/>
  <c r="Z9" i="59" s="1"/>
  <c r="AA7" i="59"/>
  <c r="X8" i="59"/>
  <c r="X11" i="59"/>
  <c r="AB11" i="59"/>
  <c r="F12" i="59"/>
  <c r="F13" i="59" s="1"/>
  <c r="F14" i="59" s="1"/>
  <c r="V14" i="59" s="1"/>
  <c r="AB3" i="59"/>
  <c r="AB8" i="59"/>
  <c r="Y12" i="59"/>
  <c r="Z12" i="59" s="1"/>
  <c r="AB12" i="59"/>
  <c r="Y13" i="59"/>
  <c r="Z13" i="59" s="1"/>
  <c r="AB13" i="59"/>
  <c r="Y14" i="59"/>
  <c r="Z14" i="59" s="1"/>
  <c r="AB14" i="59"/>
  <c r="X15" i="59"/>
  <c r="B16" i="59"/>
  <c r="B17" i="59" s="1"/>
  <c r="B18" i="59" s="1"/>
  <c r="S18" i="59" s="1"/>
  <c r="AB15" i="59"/>
  <c r="AB17" i="59"/>
  <c r="X19" i="59"/>
  <c r="AB19" i="59"/>
  <c r="F20" i="59"/>
  <c r="F21" i="59" s="1"/>
  <c r="F22" i="59" s="1"/>
  <c r="V22" i="59" s="1"/>
  <c r="AB20" i="59"/>
  <c r="C29" i="59"/>
  <c r="D29" i="59" s="1"/>
  <c r="D28" i="59"/>
  <c r="Q48" i="59"/>
  <c r="Q47" i="59"/>
  <c r="O50" i="59"/>
  <c r="C49" i="59"/>
  <c r="D100" i="46"/>
  <c r="D23" i="15"/>
  <c r="Y15" i="59"/>
  <c r="Z15" i="59" s="1"/>
  <c r="C16" i="59"/>
  <c r="AA19" i="59"/>
  <c r="E20" i="59"/>
  <c r="E21" i="59" s="1"/>
  <c r="E22" i="59" s="1"/>
  <c r="U22" i="59" s="1"/>
  <c r="T54" i="59"/>
  <c r="C53" i="59"/>
  <c r="C61" i="59"/>
  <c r="AA10" i="59"/>
  <c r="AA8" i="59"/>
  <c r="AA3" i="59"/>
  <c r="X9" i="59"/>
  <c r="X7" i="59"/>
  <c r="Y11" i="59"/>
  <c r="Z11" i="59" s="1"/>
  <c r="X12" i="59"/>
  <c r="AA13" i="59"/>
  <c r="X14" i="59"/>
  <c r="AA15" i="59"/>
  <c r="AB16" i="59"/>
  <c r="Y17" i="59"/>
  <c r="Z17" i="59" s="1"/>
  <c r="AB18" i="59"/>
  <c r="Y19" i="59"/>
  <c r="Z19" i="59" s="1"/>
  <c r="Y5" i="59"/>
  <c r="Z5" i="59" s="1"/>
  <c r="Y6" i="59"/>
  <c r="Z6" i="59" s="1"/>
  <c r="C10" i="59"/>
  <c r="AB6" i="59"/>
  <c r="F10" i="59"/>
  <c r="AC12" i="46"/>
  <c r="AG12" i="46"/>
  <c r="AB5" i="59"/>
  <c r="X5" i="59"/>
  <c r="S10" i="59"/>
  <c r="B9" i="59"/>
  <c r="B8" i="59" s="1"/>
  <c r="U10" i="59"/>
  <c r="E9" i="59"/>
  <c r="E8" i="59" s="1"/>
  <c r="A28" i="64"/>
  <c r="AI10" i="46"/>
  <c r="AI12" i="46"/>
  <c r="AA5" i="59"/>
  <c r="AA6" i="59"/>
  <c r="X6" i="59"/>
  <c r="M17" i="15"/>
  <c r="M19" i="44"/>
  <c r="F58" i="15"/>
  <c r="I4" i="65"/>
  <c r="I6" i="65"/>
  <c r="I5" i="65"/>
  <c r="J7" i="65"/>
  <c r="C17" i="15"/>
  <c r="I7" i="65"/>
  <c r="C18" i="44"/>
  <c r="C16" i="15"/>
  <c r="N3" i="65"/>
  <c r="J5" i="65"/>
  <c r="I3" i="65"/>
  <c r="J6" i="65"/>
  <c r="N7" i="65"/>
  <c r="J4" i="65"/>
  <c r="J3" i="65"/>
  <c r="G16" i="1" l="1"/>
  <c r="H12" i="40" s="1"/>
  <c r="H16" i="1"/>
  <c r="F12" i="40"/>
  <c r="Q16" i="1"/>
  <c r="F30" i="40"/>
  <c r="AA30" i="40" s="1"/>
  <c r="AI13" i="46"/>
  <c r="AC13" i="46"/>
  <c r="D18" i="9"/>
  <c r="M44" i="9" s="1"/>
  <c r="M43" i="9"/>
  <c r="AC32" i="40"/>
  <c r="W32" i="40"/>
  <c r="AA32" i="40"/>
  <c r="S32" i="40"/>
  <c r="AC30" i="40"/>
  <c r="W30" i="40"/>
  <c r="AB30" i="40"/>
  <c r="U30" i="40"/>
  <c r="AC29" i="40"/>
  <c r="W29" i="40"/>
  <c r="AA29" i="40"/>
  <c r="S29" i="40"/>
  <c r="U29" i="40"/>
  <c r="AB29" i="40"/>
  <c r="AC19" i="40"/>
  <c r="W19" i="40"/>
  <c r="U19" i="40"/>
  <c r="AB19" i="40"/>
  <c r="S19" i="40"/>
  <c r="AA19" i="40"/>
  <c r="U17" i="40"/>
  <c r="AA17" i="40"/>
  <c r="S17" i="40"/>
  <c r="W17" i="40"/>
  <c r="AC17" i="40"/>
  <c r="AC42" i="40"/>
  <c r="W42" i="40"/>
  <c r="C48" i="15"/>
  <c r="AG13" i="46"/>
  <c r="C106" i="46"/>
  <c r="C105" i="46"/>
  <c r="C102" i="46"/>
  <c r="C104" i="46"/>
  <c r="C107" i="46"/>
  <c r="C109" i="46"/>
  <c r="C103" i="46"/>
  <c r="J104" i="46"/>
  <c r="J103" i="46"/>
  <c r="J105" i="46"/>
  <c r="J109" i="46"/>
  <c r="J102" i="46"/>
  <c r="J107" i="46"/>
  <c r="J106" i="46"/>
  <c r="N109" i="46"/>
  <c r="N105" i="46"/>
  <c r="N102" i="46"/>
  <c r="N107" i="46"/>
  <c r="N103" i="46"/>
  <c r="N104" i="46"/>
  <c r="N106" i="46"/>
  <c r="I102" i="46"/>
  <c r="I109" i="46"/>
  <c r="I107" i="46"/>
  <c r="I105" i="46"/>
  <c r="I104" i="46"/>
  <c r="I103" i="46"/>
  <c r="I106" i="46"/>
  <c r="M104" i="46"/>
  <c r="M103" i="46"/>
  <c r="M105" i="46"/>
  <c r="M107" i="46"/>
  <c r="M102" i="46"/>
  <c r="M109" i="46"/>
  <c r="M106" i="46"/>
  <c r="D22" i="46"/>
  <c r="F12" i="39"/>
  <c r="AA12" i="39" s="1"/>
  <c r="G104" i="46"/>
  <c r="G102" i="46"/>
  <c r="G107" i="46"/>
  <c r="G106" i="46"/>
  <c r="G103" i="46"/>
  <c r="G109" i="46"/>
  <c r="G105" i="46"/>
  <c r="D118" i="46"/>
  <c r="E118" i="46" s="1"/>
  <c r="F118" i="46" s="1"/>
  <c r="I116" i="46"/>
  <c r="J116" i="46" s="1"/>
  <c r="K116" i="46" s="1"/>
  <c r="L116" i="46" s="1"/>
  <c r="M116" i="46" s="1"/>
  <c r="B117" i="46"/>
  <c r="C117" i="46" s="1"/>
  <c r="I117" i="46"/>
  <c r="J117" i="46" s="1"/>
  <c r="K117" i="46" s="1"/>
  <c r="L117" i="46" s="1"/>
  <c r="M117" i="46" s="1"/>
  <c r="I118" i="46"/>
  <c r="J118" i="46" s="1"/>
  <c r="K118" i="46" s="1"/>
  <c r="L118" i="46" s="1"/>
  <c r="M118" i="46" s="1"/>
  <c r="D116" i="46"/>
  <c r="E116" i="46" s="1"/>
  <c r="F116" i="46" s="1"/>
  <c r="G116" i="46" s="1"/>
  <c r="H116" i="46" s="1"/>
  <c r="G118" i="46"/>
  <c r="H118" i="46" s="1"/>
  <c r="B118" i="46"/>
  <c r="C118" i="46" s="1"/>
  <c r="I115" i="46"/>
  <c r="J115" i="46" s="1"/>
  <c r="K115" i="46" s="1"/>
  <c r="L115" i="46" s="1"/>
  <c r="M115" i="46" s="1"/>
  <c r="D115" i="46"/>
  <c r="E115" i="46" s="1"/>
  <c r="F115" i="46" s="1"/>
  <c r="G115" i="46" s="1"/>
  <c r="H115" i="46" s="1"/>
  <c r="B115" i="46"/>
  <c r="B116" i="46"/>
  <c r="C116" i="46" s="1"/>
  <c r="D117" i="46"/>
  <c r="E117" i="46" s="1"/>
  <c r="F117" i="46" s="1"/>
  <c r="G117" i="46" s="1"/>
  <c r="H117" i="46" s="1"/>
  <c r="L106" i="46"/>
  <c r="L107" i="46"/>
  <c r="L109" i="46"/>
  <c r="L103" i="46"/>
  <c r="L102" i="46"/>
  <c r="L105" i="46"/>
  <c r="L104" i="46"/>
  <c r="E103" i="46"/>
  <c r="E107" i="46"/>
  <c r="E102" i="46"/>
  <c r="E104" i="46"/>
  <c r="E106" i="46"/>
  <c r="E105" i="46"/>
  <c r="E109" i="46"/>
  <c r="K109" i="46"/>
  <c r="C23" i="46" s="1"/>
  <c r="C21" i="46" s="1"/>
  <c r="K104" i="46"/>
  <c r="K105" i="46"/>
  <c r="K103" i="46"/>
  <c r="K107" i="46"/>
  <c r="K102" i="46"/>
  <c r="K106" i="46"/>
  <c r="F109" i="46"/>
  <c r="F107" i="46"/>
  <c r="F105" i="46"/>
  <c r="F102" i="46"/>
  <c r="F106" i="46"/>
  <c r="F103" i="46"/>
  <c r="F104" i="46"/>
  <c r="D102" i="46"/>
  <c r="D104" i="46"/>
  <c r="D109" i="46"/>
  <c r="D103" i="46"/>
  <c r="D106" i="46"/>
  <c r="D105" i="46"/>
  <c r="D107" i="46"/>
  <c r="H104" i="46"/>
  <c r="H105" i="46"/>
  <c r="H106" i="46"/>
  <c r="H109" i="46"/>
  <c r="H102" i="46"/>
  <c r="H107" i="46"/>
  <c r="H103" i="46"/>
  <c r="E16" i="6"/>
  <c r="E62" i="40"/>
  <c r="E67" i="39"/>
  <c r="E64" i="39"/>
  <c r="E59" i="40"/>
  <c r="K14" i="1"/>
  <c r="E30" i="6"/>
  <c r="E31" i="6" s="1"/>
  <c r="E63" i="39"/>
  <c r="E58" i="40"/>
  <c r="E60" i="40"/>
  <c r="E65" i="39"/>
  <c r="E66" i="39"/>
  <c r="E61" i="40"/>
  <c r="I1" i="65"/>
  <c r="E20" i="46"/>
  <c r="M17" i="46" s="1"/>
  <c r="J1" i="65"/>
  <c r="J7" i="36"/>
  <c r="F7" i="37"/>
  <c r="AA7" i="37" s="1"/>
  <c r="R42" i="37" s="1"/>
  <c r="S12" i="40"/>
  <c r="AA12" i="40"/>
  <c r="C60" i="59"/>
  <c r="D60" i="59" s="1"/>
  <c r="D61" i="59"/>
  <c r="AB24" i="36"/>
  <c r="U24" i="36"/>
  <c r="F9" i="59"/>
  <c r="F8" i="59" s="1"/>
  <c r="V10" i="59"/>
  <c r="D10" i="59"/>
  <c r="T10" i="59"/>
  <c r="C9" i="59"/>
  <c r="D53" i="59"/>
  <c r="C52" i="59"/>
  <c r="D52" i="59" s="1"/>
  <c r="D16" i="59"/>
  <c r="C17" i="59"/>
  <c r="O49" i="59"/>
  <c r="C48" i="59"/>
  <c r="D49" i="59"/>
  <c r="N47" i="59"/>
  <c r="N48" i="59"/>
  <c r="T42" i="59"/>
  <c r="D42" i="59"/>
  <c r="AB9" i="36"/>
  <c r="U9" i="36"/>
  <c r="U7" i="34"/>
  <c r="AB7" i="34"/>
  <c r="T49" i="34" s="1"/>
  <c r="G49" i="34" s="1"/>
  <c r="AB7" i="35"/>
  <c r="T38" i="35" s="1"/>
  <c r="G38" i="35" s="1"/>
  <c r="U7" i="35"/>
  <c r="H7" i="37"/>
  <c r="C49" i="33"/>
  <c r="B3" i="33" s="1"/>
  <c r="B2" i="33" s="1"/>
  <c r="C48" i="33"/>
  <c r="K27" i="6"/>
  <c r="M19" i="6"/>
  <c r="K72" i="39"/>
  <c r="L70" i="39"/>
  <c r="K67" i="40"/>
  <c r="L65" i="40"/>
  <c r="Q75" i="44"/>
  <c r="Q62" i="44"/>
  <c r="Q74" i="15"/>
  <c r="Q61" i="15"/>
  <c r="L47" i="44"/>
  <c r="C34" i="59"/>
  <c r="D33" i="59"/>
  <c r="AZ5" i="3"/>
  <c r="AA9" i="36"/>
  <c r="S9" i="36"/>
  <c r="AC7" i="34"/>
  <c r="V49" i="34" s="1"/>
  <c r="I49" i="34" s="1"/>
  <c r="W7" i="34"/>
  <c r="W7" i="35"/>
  <c r="AC7" i="35"/>
  <c r="V38" i="35" s="1"/>
  <c r="I38" i="35" s="1"/>
  <c r="AB7" i="36"/>
  <c r="T36" i="36" s="1"/>
  <c r="G36" i="36" s="1"/>
  <c r="U7" i="36"/>
  <c r="G5" i="3"/>
  <c r="B3" i="3" s="1"/>
  <c r="E536" i="3" s="1"/>
  <c r="AC7" i="37"/>
  <c r="V42" i="37" s="1"/>
  <c r="I42" i="37" s="1"/>
  <c r="W7" i="37"/>
  <c r="S7" i="37"/>
  <c r="AA7" i="34"/>
  <c r="R49" i="34" s="1"/>
  <c r="S7" i="34"/>
  <c r="S7" i="35"/>
  <c r="AA7" i="35"/>
  <c r="R38" i="35" s="1"/>
  <c r="S7" i="36"/>
  <c r="AA7" i="36"/>
  <c r="R36" i="36" s="1"/>
  <c r="AC7" i="36"/>
  <c r="V36" i="36" s="1"/>
  <c r="I36" i="36" s="1"/>
  <c r="W7" i="36"/>
  <c r="E52" i="33"/>
  <c r="F52" i="33" s="1"/>
  <c r="E53" i="33"/>
  <c r="F53" i="33" s="1"/>
  <c r="K34" i="9"/>
  <c r="F11" i="15"/>
  <c r="F13" i="44"/>
  <c r="C12" i="44" s="1"/>
  <c r="C7" i="44" s="1"/>
  <c r="M11" i="15"/>
  <c r="J10" i="15" s="1"/>
  <c r="J5" i="15" s="1"/>
  <c r="M13" i="44"/>
  <c r="J12" i="44" s="1"/>
  <c r="J7" i="44" s="1"/>
  <c r="Q63" i="44"/>
  <c r="Q76" i="44"/>
  <c r="F1" i="15"/>
  <c r="Q53" i="15"/>
  <c r="Q62" i="15"/>
  <c r="Q75" i="15"/>
  <c r="F1" i="44"/>
  <c r="Q54" i="44"/>
  <c r="E2" i="65"/>
  <c r="AE6" i="1"/>
  <c r="E3" i="65"/>
  <c r="AB12" i="40" l="1"/>
  <c r="U12" i="40"/>
  <c r="J12" i="39"/>
  <c r="J12" i="40"/>
  <c r="H12" i="39"/>
  <c r="F18" i="11"/>
  <c r="C18" i="11" s="1"/>
  <c r="F33" i="12"/>
  <c r="C34" i="12" s="1"/>
  <c r="D33" i="12" s="1"/>
  <c r="F24" i="43"/>
  <c r="C26" i="43" s="1"/>
  <c r="D24" i="43" s="1"/>
  <c r="S30" i="40"/>
  <c r="O17" i="46"/>
  <c r="S12" i="39"/>
  <c r="S5" i="46"/>
  <c r="S6" i="46"/>
  <c r="S7" i="46"/>
  <c r="S4" i="46"/>
  <c r="S2" i="46"/>
  <c r="S3" i="46"/>
  <c r="C115" i="46"/>
  <c r="D113" i="46" s="1"/>
  <c r="M14" i="1"/>
  <c r="K16" i="1"/>
  <c r="P17" i="46"/>
  <c r="N17" i="46"/>
  <c r="F17" i="11"/>
  <c r="C17" i="11" s="1"/>
  <c r="C19" i="11" s="1"/>
  <c r="C20" i="11" s="1"/>
  <c r="C21" i="11" s="1"/>
  <c r="C22" i="11" s="1"/>
  <c r="C23" i="11" s="1"/>
  <c r="B2" i="11" s="1"/>
  <c r="B40" i="1"/>
  <c r="F26" i="44" s="1"/>
  <c r="C26" i="44" s="1"/>
  <c r="J20" i="44"/>
  <c r="J26" i="44"/>
  <c r="J28" i="44"/>
  <c r="J31" i="44" s="1"/>
  <c r="C34" i="44"/>
  <c r="C40" i="44"/>
  <c r="J18" i="15"/>
  <c r="J24" i="15"/>
  <c r="J26" i="15"/>
  <c r="C52" i="15"/>
  <c r="C47" i="15" s="1"/>
  <c r="C10" i="15"/>
  <c r="C5" i="15" s="1"/>
  <c r="E36" i="36"/>
  <c r="R37" i="36"/>
  <c r="E38" i="35"/>
  <c r="R39" i="35"/>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86"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40" i="36"/>
  <c r="H40" i="36" s="1"/>
  <c r="G41" i="36"/>
  <c r="H41" i="36" s="1"/>
  <c r="I53" i="34"/>
  <c r="J53" i="34" s="1"/>
  <c r="E3" i="6"/>
  <c r="AY6" i="3"/>
  <c r="T34" i="59"/>
  <c r="D34" i="59"/>
  <c r="L67" i="40"/>
  <c r="M65" i="40"/>
  <c r="M70" i="39"/>
  <c r="L72" i="39"/>
  <c r="M27" i="6"/>
  <c r="I19" i="6"/>
  <c r="G53" i="34"/>
  <c r="H53" i="34" s="1"/>
  <c r="G54" i="34"/>
  <c r="H54" i="34" s="1"/>
  <c r="O48" i="59"/>
  <c r="O47" i="59"/>
  <c r="D48" i="59"/>
  <c r="C18" i="59"/>
  <c r="D17" i="59"/>
  <c r="C8" i="59"/>
  <c r="D9" i="59"/>
  <c r="I40" i="36"/>
  <c r="J40" i="36" s="1"/>
  <c r="I41" i="36"/>
  <c r="J41" i="36" s="1"/>
  <c r="R50" i="34"/>
  <c r="E49" i="34"/>
  <c r="R43" i="37"/>
  <c r="E42" i="37"/>
  <c r="I46" i="37"/>
  <c r="J46" i="37" s="1"/>
  <c r="I47" i="37"/>
  <c r="J47" i="37" s="1"/>
  <c r="I42" i="35"/>
  <c r="J42" i="35" s="1"/>
  <c r="I43" i="35"/>
  <c r="J43" i="35" s="1"/>
  <c r="AB7" i="37"/>
  <c r="T42" i="37" s="1"/>
  <c r="G42" i="37" s="1"/>
  <c r="U7" i="37"/>
  <c r="G42" i="35"/>
  <c r="H42" i="35" s="1"/>
  <c r="G43" i="35"/>
  <c r="H43" i="35" s="1"/>
  <c r="F24" i="15"/>
  <c r="C24" i="15" s="1"/>
  <c r="F41" i="15"/>
  <c r="L52" i="44"/>
  <c r="W12" i="40" l="1"/>
  <c r="AC12" i="40"/>
  <c r="U12" i="39"/>
  <c r="AB12" i="39"/>
  <c r="AC12" i="39"/>
  <c r="W12" i="39"/>
  <c r="F68" i="15"/>
  <c r="J29" i="15"/>
  <c r="H6" i="3"/>
  <c r="AC6" i="3"/>
  <c r="T9" i="1"/>
  <c r="T11" i="1"/>
  <c r="T12" i="1"/>
  <c r="O14" i="1"/>
  <c r="O16" i="1" s="1"/>
  <c r="T7" i="1"/>
  <c r="T10" i="1"/>
  <c r="T6" i="1"/>
  <c r="T8" i="1"/>
  <c r="P14" i="1"/>
  <c r="P16" i="1" s="1"/>
  <c r="C13" i="12" s="1"/>
  <c r="M16" i="1"/>
  <c r="T13" i="1"/>
  <c r="F26" i="12"/>
  <c r="C27" i="12" s="1"/>
  <c r="D26" i="12" s="1"/>
  <c r="C32" i="12" s="1"/>
  <c r="D30" i="12" s="1"/>
  <c r="F21" i="43"/>
  <c r="C23" i="43" s="1"/>
  <c r="D21" i="43" s="1"/>
  <c r="Q69" i="44"/>
  <c r="L58" i="44"/>
  <c r="L61" i="44" s="1"/>
  <c r="C50" i="34"/>
  <c r="B3" i="34" s="1"/>
  <c r="B2" i="34" s="1"/>
  <c r="C49" i="34"/>
  <c r="E46" i="37"/>
  <c r="F46" i="37" s="1"/>
  <c r="E47" i="37"/>
  <c r="F47" i="37" s="1"/>
  <c r="E54" i="34"/>
  <c r="F54" i="34" s="1"/>
  <c r="E53" i="34"/>
  <c r="F53" i="34" s="1"/>
  <c r="D8" i="59"/>
  <c r="M20" i="46" s="1"/>
  <c r="C19" i="46" s="1"/>
  <c r="T18" i="59"/>
  <c r="D18" i="59"/>
  <c r="I27" i="6"/>
  <c r="S19" i="6"/>
  <c r="S27" i="6" s="1"/>
  <c r="N65" i="40"/>
  <c r="N67" i="40" s="1"/>
  <c r="M67" i="40"/>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I54" i="34"/>
  <c r="J54" i="34" s="1"/>
  <c r="E6" i="3"/>
  <c r="E43" i="35"/>
  <c r="F43" i="35" s="1"/>
  <c r="E42" i="35"/>
  <c r="F42" i="35" s="1"/>
  <c r="E40" i="36"/>
  <c r="F40" i="36" s="1"/>
  <c r="E41" i="36"/>
  <c r="F41" i="36" s="1"/>
  <c r="C32" i="15"/>
  <c r="C38" i="15"/>
  <c r="Q49" i="44"/>
  <c r="Q55" i="44" s="1"/>
  <c r="Q58" i="44"/>
  <c r="Q67" i="44"/>
  <c r="G47" i="37"/>
  <c r="H47" i="37" s="1"/>
  <c r="G46" i="37"/>
  <c r="H46" i="37" s="1"/>
  <c r="C43" i="37"/>
  <c r="B3" i="37" s="1"/>
  <c r="B2" i="37" s="1"/>
  <c r="C42" i="37"/>
  <c r="B3" i="11"/>
  <c r="B4" i="11"/>
  <c r="N70" i="39"/>
  <c r="N72" i="39" s="1"/>
  <c r="H9" i="39" s="1"/>
  <c r="M72" i="39"/>
  <c r="J9" i="40"/>
  <c r="F9" i="40"/>
  <c r="D16" i="43"/>
  <c r="C16" i="43" s="1"/>
  <c r="D16" i="12"/>
  <c r="E6" i="6"/>
  <c r="L38" i="9"/>
  <c r="B14" i="66" s="1"/>
  <c r="B1" i="66" s="1"/>
  <c r="D46" i="9"/>
  <c r="C21" i="4"/>
  <c r="O5" i="54" s="1"/>
  <c r="B45" i="63" s="1"/>
  <c r="D10" i="11"/>
  <c r="C38" i="35"/>
  <c r="C39" i="35"/>
  <c r="B3" i="35" s="1"/>
  <c r="B2" i="35" s="1"/>
  <c r="C37" i="36"/>
  <c r="B3" i="36" s="1"/>
  <c r="B2" i="36" s="1"/>
  <c r="C36" i="36"/>
  <c r="F9" i="39"/>
  <c r="C65" i="15"/>
  <c r="C59" i="15"/>
  <c r="C14" i="15"/>
  <c r="C16" i="44"/>
  <c r="C18" i="15" l="1"/>
  <c r="C15" i="15"/>
  <c r="C20" i="44"/>
  <c r="C17" i="44"/>
  <c r="C13" i="43"/>
  <c r="L16" i="1"/>
  <c r="C17" i="12"/>
  <c r="C14" i="12"/>
  <c r="T16" i="1"/>
  <c r="N16" i="1"/>
  <c r="C29" i="43" s="1"/>
  <c r="K29" i="9"/>
  <c r="K30" i="9" s="1"/>
  <c r="J9" i="39"/>
  <c r="AC9" i="39" s="1"/>
  <c r="V49" i="39" s="1"/>
  <c r="I49" i="39" s="1"/>
  <c r="W9" i="39"/>
  <c r="C36" i="46"/>
  <c r="C34" i="46"/>
  <c r="C35" i="46"/>
  <c r="C38" i="46"/>
  <c r="C39" i="46"/>
  <c r="E39" i="46" s="1"/>
  <c r="T3" i="46"/>
  <c r="V3" i="46" s="1"/>
  <c r="T4" i="46"/>
  <c r="V4" i="46" s="1"/>
  <c r="C33" i="46"/>
  <c r="T6" i="46"/>
  <c r="V6" i="46" s="1"/>
  <c r="T8" i="46"/>
  <c r="V8" i="46" s="1"/>
  <c r="T10" i="46"/>
  <c r="V10" i="46" s="1"/>
  <c r="T12" i="46"/>
  <c r="V12" i="46" s="1"/>
  <c r="T14" i="46"/>
  <c r="V14" i="46" s="1"/>
  <c r="T16" i="46"/>
  <c r="V16" i="46" s="1"/>
  <c r="T5" i="46"/>
  <c r="V5" i="46" s="1"/>
  <c r="T9" i="46"/>
  <c r="V9" i="46" s="1"/>
  <c r="T11" i="46"/>
  <c r="V11" i="46" s="1"/>
  <c r="T13" i="46"/>
  <c r="V13" i="46" s="1"/>
  <c r="T15" i="46"/>
  <c r="V15" i="46" s="1"/>
  <c r="C37" i="46"/>
  <c r="C29" i="46"/>
  <c r="T2" i="46"/>
  <c r="V2" i="46" s="1"/>
  <c r="T7" i="46"/>
  <c r="V7" i="46" s="1"/>
  <c r="S9" i="39"/>
  <c r="AA9" i="39"/>
  <c r="R49" i="39" s="1"/>
  <c r="AC9" i="40"/>
  <c r="W9" i="40"/>
  <c r="C8" i="66"/>
  <c r="D19" i="12"/>
  <c r="C19" i="12" s="1"/>
  <c r="C16" i="12"/>
  <c r="AA9" i="40"/>
  <c r="S9" i="40"/>
  <c r="E68" i="39"/>
  <c r="C22" i="4"/>
  <c r="D19" i="6"/>
  <c r="D21" i="6"/>
  <c r="D25" i="6"/>
  <c r="D10" i="6"/>
  <c r="D13" i="6"/>
  <c r="H21" i="6"/>
  <c r="H24" i="6"/>
  <c r="D6" i="6"/>
  <c r="D23" i="6"/>
  <c r="D14" i="6"/>
  <c r="D28" i="6"/>
  <c r="D20" i="6"/>
  <c r="D8" i="6"/>
  <c r="H23" i="6"/>
  <c r="E63" i="40"/>
  <c r="K38" i="9"/>
  <c r="C14" i="66" s="1"/>
  <c r="B2" i="66" s="1"/>
  <c r="D26" i="6"/>
  <c r="D11" i="6"/>
  <c r="H20" i="6"/>
  <c r="D9" i="6"/>
  <c r="D29" i="6"/>
  <c r="H26" i="6"/>
  <c r="F46" i="9"/>
  <c r="H19" i="6"/>
  <c r="D24" i="6"/>
  <c r="D22" i="6"/>
  <c r="D12" i="6"/>
  <c r="H25" i="6"/>
  <c r="D5" i="6"/>
  <c r="H22" i="6"/>
  <c r="D15" i="6"/>
  <c r="E46" i="9"/>
  <c r="H9" i="40"/>
  <c r="Q59" i="44"/>
  <c r="Q64" i="44" s="1"/>
  <c r="Q68" i="44"/>
  <c r="Q77" i="44" s="1"/>
  <c r="D22" i="12"/>
  <c r="C22" i="12" s="1"/>
  <c r="C20" i="12" s="1"/>
  <c r="D13" i="11"/>
  <c r="C13" i="11" s="1"/>
  <c r="U9" i="39"/>
  <c r="AB9" i="39"/>
  <c r="T49" i="39" s="1"/>
  <c r="G49" i="39" s="1"/>
  <c r="C21" i="44" l="1"/>
  <c r="C22" i="44" s="1"/>
  <c r="C28" i="44" s="1"/>
  <c r="C19" i="15"/>
  <c r="H27" i="6"/>
  <c r="D16" i="6"/>
  <c r="D30" i="6"/>
  <c r="C17" i="43"/>
  <c r="C14" i="43"/>
  <c r="C20" i="15"/>
  <c r="C26" i="15" s="1"/>
  <c r="R24" i="6"/>
  <c r="R20" i="6"/>
  <c r="C18" i="12"/>
  <c r="C23" i="12" s="1"/>
  <c r="G53" i="39"/>
  <c r="H53" i="39" s="1"/>
  <c r="G54" i="39"/>
  <c r="H54" i="39" s="1"/>
  <c r="AB9" i="40"/>
  <c r="U9" i="40"/>
  <c r="R26" i="6"/>
  <c r="R23" i="6"/>
  <c r="R25" i="6"/>
  <c r="R19" i="6"/>
  <c r="D27" i="6"/>
  <c r="D31" i="6" s="1"/>
  <c r="R50" i="39"/>
  <c r="E49" i="39"/>
  <c r="I54" i="39" s="1"/>
  <c r="J54" i="39" s="1"/>
  <c r="G37" i="46"/>
  <c r="I37" i="46" s="1"/>
  <c r="E37" i="46"/>
  <c r="G33" i="46"/>
  <c r="I33" i="46" s="1"/>
  <c r="E33" i="46"/>
  <c r="E38" i="46"/>
  <c r="G38" i="46"/>
  <c r="I38" i="46" s="1"/>
  <c r="G34" i="46"/>
  <c r="I34" i="46" s="1"/>
  <c r="E34" i="46"/>
  <c r="R22" i="6"/>
  <c r="D8" i="66"/>
  <c r="R21" i="6"/>
  <c r="A6" i="51"/>
  <c r="B7" i="63" s="1"/>
  <c r="A20" i="64"/>
  <c r="A20" i="51"/>
  <c r="B15" i="63" s="1"/>
  <c r="N5" i="54"/>
  <c r="B43" i="63" s="1"/>
  <c r="A6" i="64"/>
  <c r="C30" i="46"/>
  <c r="E30" i="46" s="1"/>
  <c r="E29" i="46"/>
  <c r="E35" i="46"/>
  <c r="G35" i="46"/>
  <c r="I35" i="46" s="1"/>
  <c r="E36" i="46"/>
  <c r="G36" i="46"/>
  <c r="I36" i="46" s="1"/>
  <c r="I53" i="39"/>
  <c r="J53" i="39" s="1"/>
  <c r="F7" i="67"/>
  <c r="R27" i="6" l="1"/>
  <c r="R6" i="1"/>
  <c r="C23" i="15"/>
  <c r="C29" i="15" s="1"/>
  <c r="J59" i="15" s="1"/>
  <c r="J60" i="15" s="1"/>
  <c r="Q49" i="15" s="1"/>
  <c r="C18" i="43"/>
  <c r="C25" i="44"/>
  <c r="C31" i="44" s="1"/>
  <c r="C27" i="46"/>
  <c r="E4" i="67"/>
  <c r="C26" i="46"/>
  <c r="E54" i="39"/>
  <c r="F54" i="39" s="1"/>
  <c r="E53" i="39"/>
  <c r="F53" i="39" s="1"/>
  <c r="I6" i="6"/>
  <c r="I7" i="6" s="1"/>
  <c r="C13" i="40" s="1"/>
  <c r="I5" i="6"/>
  <c r="C50" i="39"/>
  <c r="C49" i="39"/>
  <c r="F35" i="15"/>
  <c r="E7" i="67"/>
  <c r="M21" i="15"/>
  <c r="F62" i="15" l="1"/>
  <c r="C61" i="15" s="1"/>
  <c r="C34" i="15"/>
  <c r="J20" i="15"/>
  <c r="F13" i="40"/>
  <c r="H13" i="40"/>
  <c r="J13" i="40"/>
  <c r="R16" i="1"/>
  <c r="C35" i="44"/>
  <c r="C33" i="44" s="1"/>
  <c r="C38" i="44"/>
  <c r="J16" i="44"/>
  <c r="J21" i="44"/>
  <c r="J19" i="44" s="1"/>
  <c r="C15" i="44"/>
  <c r="Q51" i="44"/>
  <c r="C36" i="15"/>
  <c r="J14" i="15"/>
  <c r="Q50" i="15"/>
  <c r="C13" i="15"/>
  <c r="J19" i="15"/>
  <c r="C56" i="15"/>
  <c r="C33" i="15"/>
  <c r="C31" i="15" s="1"/>
  <c r="C19" i="43"/>
  <c r="C22" i="43" s="1"/>
  <c r="C21" i="43" s="1"/>
  <c r="E3" i="67"/>
  <c r="B2" i="46"/>
  <c r="B66" i="39"/>
  <c r="F66" i="39" s="1"/>
  <c r="B64" i="39"/>
  <c r="F64" i="39" s="1"/>
  <c r="B61" i="39"/>
  <c r="F61" i="39" s="1"/>
  <c r="B65" i="39"/>
  <c r="F65" i="39" s="1"/>
  <c r="B59" i="39"/>
  <c r="F59" i="39" s="1"/>
  <c r="B58" i="39"/>
  <c r="F58" i="39" s="1"/>
  <c r="B63" i="39"/>
  <c r="F63" i="39" s="1"/>
  <c r="B62" i="39"/>
  <c r="F62" i="39" s="1"/>
  <c r="B60" i="39"/>
  <c r="F60" i="39" s="1"/>
  <c r="B67" i="39"/>
  <c r="F67" i="39" s="1"/>
  <c r="F68" i="39"/>
  <c r="B2" i="39" s="1"/>
  <c r="B7" i="67"/>
  <c r="J17" i="15" l="1"/>
  <c r="U13" i="40"/>
  <c r="AB13" i="40"/>
  <c r="T44" i="40" s="1"/>
  <c r="G44" i="40" s="1"/>
  <c r="W13" i="40"/>
  <c r="AC13" i="40"/>
  <c r="V44" i="40" s="1"/>
  <c r="I44" i="40" s="1"/>
  <c r="I48" i="40" s="1"/>
  <c r="J48" i="40" s="1"/>
  <c r="S13" i="40"/>
  <c r="AA13" i="40"/>
  <c r="R44" i="40" s="1"/>
  <c r="C25" i="43"/>
  <c r="C24" i="43" s="1"/>
  <c r="C28" i="43" s="1"/>
  <c r="C30" i="43" s="1"/>
  <c r="C32" i="43" s="1"/>
  <c r="B2" i="43" s="1"/>
  <c r="B3" i="43" s="1"/>
  <c r="C39" i="44"/>
  <c r="C32" i="44" s="1"/>
  <c r="C42" i="44" s="1"/>
  <c r="C43" i="44"/>
  <c r="Q72" i="44"/>
  <c r="J24" i="44"/>
  <c r="J15" i="44"/>
  <c r="J25" i="44" s="1"/>
  <c r="C63" i="15"/>
  <c r="C60" i="15"/>
  <c r="C58" i="15" s="1"/>
  <c r="C55" i="15"/>
  <c r="C64" i="15" s="1"/>
  <c r="J35" i="15"/>
  <c r="C37" i="15"/>
  <c r="C30" i="15" s="1"/>
  <c r="C39" i="15" s="1"/>
  <c r="Q71" i="15"/>
  <c r="J13" i="15"/>
  <c r="J23" i="15" s="1"/>
  <c r="J22" i="15"/>
  <c r="B2" i="67"/>
  <c r="D4" i="46"/>
  <c r="B4" i="46"/>
  <c r="B3" i="46"/>
  <c r="B3" i="39"/>
  <c r="B5" i="39"/>
  <c r="B4" i="39"/>
  <c r="L51" i="15"/>
  <c r="E44" i="40" l="1"/>
  <c r="R45" i="40"/>
  <c r="G48" i="40"/>
  <c r="H48" i="40" s="1"/>
  <c r="G49" i="40"/>
  <c r="H49" i="40" s="1"/>
  <c r="B4" i="43"/>
  <c r="B5" i="43"/>
  <c r="J16" i="15"/>
  <c r="J25" i="15" s="1"/>
  <c r="J18" i="44"/>
  <c r="J27" i="44" s="1"/>
  <c r="L57" i="15"/>
  <c r="L60" i="15" s="1"/>
  <c r="L46" i="15" s="1"/>
  <c r="Q68" i="15"/>
  <c r="Q71" i="44"/>
  <c r="Q70" i="44" s="1"/>
  <c r="C44" i="44"/>
  <c r="C45" i="44" s="1"/>
  <c r="B2" i="44" s="1"/>
  <c r="Q70" i="15"/>
  <c r="Q69" i="15" s="1"/>
  <c r="C40" i="15"/>
  <c r="J39" i="15"/>
  <c r="J40" i="15" s="1"/>
  <c r="C57" i="15"/>
  <c r="C66" i="15" s="1"/>
  <c r="C67" i="15" s="1"/>
  <c r="B4" i="67"/>
  <c r="B3" i="67"/>
  <c r="I49" i="40" l="1"/>
  <c r="J49" i="40" s="1"/>
  <c r="E49" i="40"/>
  <c r="F49" i="40" s="1"/>
  <c r="E48" i="40"/>
  <c r="F48" i="40" s="1"/>
  <c r="C44" i="40"/>
  <c r="C45" i="40"/>
  <c r="C44" i="9"/>
  <c r="C70" i="15"/>
  <c r="C46" i="15"/>
  <c r="Q48" i="15"/>
  <c r="Q54" i="15" s="1"/>
  <c r="C43" i="15"/>
  <c r="B2" i="15"/>
  <c r="Q66" i="15"/>
  <c r="Q57" i="15"/>
  <c r="J42" i="15"/>
  <c r="J43" i="15" s="1"/>
  <c r="B5" i="44"/>
  <c r="B3" i="44"/>
  <c r="B4" i="44"/>
  <c r="Q58" i="15"/>
  <c r="Q67" i="15"/>
  <c r="B55" i="40" l="1"/>
  <c r="F55" i="40" s="1"/>
  <c r="B54" i="40"/>
  <c r="F54" i="40" s="1"/>
  <c r="B53" i="40"/>
  <c r="F53" i="40" s="1"/>
  <c r="B62" i="40"/>
  <c r="F62" i="40" s="1"/>
  <c r="B60" i="40"/>
  <c r="F60" i="40" s="1"/>
  <c r="F63" i="40"/>
  <c r="B2" i="40" s="1"/>
  <c r="B56" i="40"/>
  <c r="F56" i="40" s="1"/>
  <c r="B58" i="40"/>
  <c r="F58" i="40" s="1"/>
  <c r="B61" i="40"/>
  <c r="F61" i="40" s="1"/>
  <c r="B59" i="40"/>
  <c r="F59" i="40" s="1"/>
  <c r="B57" i="40"/>
  <c r="F57" i="40" s="1"/>
  <c r="N69" i="9"/>
  <c r="G14" i="66"/>
  <c r="B6" i="66" s="1"/>
  <c r="O39" i="9"/>
  <c r="R6" i="54" s="1"/>
  <c r="B50" i="63" s="1"/>
  <c r="D44" i="9"/>
  <c r="E44" i="9"/>
  <c r="F44" i="9"/>
  <c r="B3" i="15"/>
  <c r="C8" i="12" s="1"/>
  <c r="C10" i="12"/>
  <c r="C6" i="12" s="1"/>
  <c r="Q76" i="15"/>
  <c r="Q63" i="15"/>
  <c r="C19" i="9"/>
  <c r="L43" i="9" l="1"/>
  <c r="B4" i="40"/>
  <c r="B5" i="40"/>
  <c r="B3" i="40"/>
  <c r="C6" i="66"/>
  <c r="D6" i="66"/>
  <c r="M88" i="9"/>
  <c r="N88" i="9" s="1"/>
  <c r="M84" i="9"/>
  <c r="N84" i="9" s="1"/>
  <c r="M83" i="9"/>
  <c r="N83" i="9" s="1"/>
  <c r="N89" i="9" s="1"/>
  <c r="O89" i="9" s="1"/>
  <c r="M86" i="9"/>
  <c r="N86" i="9" s="1"/>
  <c r="M85" i="9"/>
  <c r="N85" i="9" s="1"/>
  <c r="M87" i="9"/>
  <c r="N87" i="9" s="1"/>
  <c r="C29" i="12"/>
  <c r="C24" i="12"/>
  <c r="C21" i="9"/>
  <c r="C20" i="9"/>
  <c r="C35" i="12" l="1"/>
  <c r="C33" i="12" s="1"/>
  <c r="C28" i="12"/>
  <c r="C26" i="12" s="1"/>
  <c r="C31" i="12" s="1"/>
  <c r="C30" i="12" s="1"/>
  <c r="C36" i="12" l="1"/>
  <c r="B2" i="12" s="1"/>
  <c r="D19" i="9"/>
  <c r="L44" i="9" l="1"/>
  <c r="D22" i="9"/>
  <c r="G19" i="9"/>
  <c r="B3" i="12"/>
  <c r="B5" i="12"/>
  <c r="B4" i="12"/>
  <c r="D20" i="9"/>
  <c r="D21" i="9"/>
  <c r="G21" i="9" l="1"/>
  <c r="G20" i="9"/>
  <c r="C32" i="9"/>
  <c r="G22" i="9"/>
  <c r="N43" i="9"/>
  <c r="O38" i="9" l="1"/>
  <c r="C45" i="9"/>
  <c r="C35" i="9"/>
  <c r="F42" i="9" s="1"/>
  <c r="C34" i="9"/>
  <c r="C33" i="9"/>
  <c r="C42" i="9"/>
  <c r="O43" i="9"/>
  <c r="D14" i="66" l="1"/>
  <c r="D63" i="9"/>
  <c r="N68" i="9"/>
  <c r="R5" i="54"/>
  <c r="B48" i="63" s="1"/>
  <c r="O40" i="9"/>
  <c r="D45" i="9"/>
  <c r="F45" i="9"/>
  <c r="H14" i="66"/>
  <c r="B7" i="66" s="1"/>
  <c r="E45" i="9"/>
  <c r="M38" i="9"/>
  <c r="K27" i="9" s="1"/>
  <c r="E42" i="9"/>
  <c r="P5" i="54" s="1"/>
  <c r="B46" i="63" s="1"/>
  <c r="N38" i="9"/>
  <c r="K28" i="9" s="1"/>
  <c r="D42" i="9"/>
  <c r="Q5" i="54" s="1"/>
  <c r="B47" i="63" s="1"/>
  <c r="K25" i="9"/>
  <c r="K26" i="9"/>
  <c r="R7" i="54" l="1"/>
  <c r="B52" i="63" s="1"/>
  <c r="K31" i="9"/>
  <c r="K32" i="9" s="1"/>
  <c r="F14" i="66"/>
  <c r="B5" i="66"/>
  <c r="E14" i="66"/>
  <c r="C7" i="66"/>
  <c r="D7" i="66"/>
  <c r="C111" i="9"/>
  <c r="C104" i="9" s="1"/>
  <c r="C82" i="9"/>
  <c r="C81" i="9" s="1"/>
  <c r="C85" i="9" s="1"/>
  <c r="C86" i="9" s="1"/>
  <c r="D72" i="9" s="1"/>
  <c r="D71" i="9"/>
  <c r="D66" i="9" s="1"/>
  <c r="N72" i="9" s="1"/>
  <c r="C96" i="9"/>
  <c r="C91" i="9" s="1"/>
  <c r="D77" i="9"/>
  <c r="N75" i="9" s="1"/>
  <c r="C103" i="9"/>
  <c r="D70" i="9"/>
  <c r="C90" i="9"/>
  <c r="C97" i="9" s="1"/>
  <c r="D5" i="66" l="1"/>
  <c r="C5" i="66"/>
  <c r="C99" i="9"/>
  <c r="C98" i="9"/>
  <c r="E98" i="9" s="1"/>
  <c r="E99" i="9" s="1"/>
  <c r="C113" i="9"/>
  <c r="C114" i="9" l="1"/>
  <c r="E114" i="9" s="1"/>
  <c r="E115" i="9" s="1"/>
  <c r="C115" i="9" l="1"/>
  <c r="D76" i="9" s="1"/>
  <c r="D74" i="9" s="1"/>
  <c r="N74" i="9" s="1"/>
  <c r="O77" i="9" s="1"/>
  <c r="Q77" i="9" l="1"/>
  <c r="O79"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<sst xmlns="http://schemas.openxmlformats.org/spreadsheetml/2006/main" count="6930" uniqueCount="3055">
  <si>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</si>
  <si>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</si>
  <si>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</si>
  <si>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</si>
  <si>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</si>
  <si>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</si>
  <si>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</si>
  <si>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</si>
  <si>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</si>
  <si>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</si>
  <si>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</si>
  <si>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</si>
  <si>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</si>
  <si>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</si>
  <si>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</si>
  <si>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</si>
  <si>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</si>
  <si>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</si>
  <si>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</si>
  <si>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</si>
  <si>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</si>
  <si>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</si>
  <si>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</si>
  <si>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</si>
  <si>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</si>
  <si>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</si>
  <si>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</si>
  <si>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</si>
  <si>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</si>
  <si>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</si>
  <si>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</si>
  <si>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</si>
  <si>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</si>
  <si>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</si>
  <si>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</si>
  <si>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</si>
  <si>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</si>
  <si>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</si>
  <si>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</si>
  <si>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</si>
  <si>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</si>
  <si>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</si>
  <si>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</si>
  <si>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</si>
  <si>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</si>
  <si>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</si>
  <si>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</si>
  <si>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</si>
  <si>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</si>
  <si>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</si>
  <si>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</si>
  <si>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</si>
  <si>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</si>
  <si>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</si>
  <si>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</si>
  <si>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</si>
  <si>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</si>
  <si>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</si>
  <si>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</si>
  <si>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</si>
  <si>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</si>
  <si>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</si>
  <si>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</si>
  <si>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</si>
  <si>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</si>
  <si>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</si>
  <si>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</si>
  <si>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</si>
  <si>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</si>
  <si>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</si>
  <si>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</si>
  <si>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</si>
  <si>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</si>
  <si>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</si>
  <si>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</si>
  <si>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</si>
  <si>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</si>
  <si>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</si>
  <si>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</si>
  <si>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</si>
  <si>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</si>
  <si>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</si>
  <si>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</si>
  <si>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</si>
  <si>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</si>
  <si>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</si>
  <si>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</si>
  <si>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</si>
  <si>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</si>
  <si>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</si>
  <si>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</si>
  <si>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</si>
  <si>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</si>
  <si>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</si>
  <si>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</si>
  <si>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</si>
  <si>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</si>
  <si>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</si>
  <si>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</si>
  <si>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</si>
  <si>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</si>
  <si>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</si>
  <si>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</si>
  <si>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</si>
  <si>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</si>
  <si>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</si>
  <si>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</si>
  <si>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</si>
  <si>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</si>
  <si>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</si>
  <si>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</si>
  <si>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</si>
  <si>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</si>
  <si>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</si>
  <si>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</si>
  <si>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</si>
  <si>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</si>
  <si>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</si>
  <si>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</si>
  <si>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</si>
  <si>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</si>
  <si>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</si>
  <si>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</si>
  <si>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</si>
  <si>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</si>
  <si>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</si>
  <si>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</si>
  <si>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</si>
  <si>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</si>
  <si>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</si>
  <si>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</si>
  <si>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</si>
  <si>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</si>
  <si>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</si>
  <si>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</si>
  <si>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</si>
  <si>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</si>
  <si>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</si>
  <si>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</si>
  <si>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</si>
  <si>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</si>
  <si>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</si>
  <si>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</si>
  <si>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</si>
  <si>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</si>
  <si>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</si>
  <si>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</si>
  <si>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</si>
  <si>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</si>
  <si>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</si>
  <si>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</si>
  <si>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</si>
  <si>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</si>
  <si>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</si>
  <si>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</si>
  <si>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</si>
  <si>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</si>
  <si>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</si>
  <si>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</si>
  <si>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</si>
  <si>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</si>
  <si>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</si>
  <si>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</si>
  <si>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</si>
  <si>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</si>
  <si>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</si>
  <si>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</si>
  <si>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</si>
  <si>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</si>
  <si>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</si>
  <si>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</si>
  <si>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</si>
  <si>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</si>
  <si>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</si>
  <si>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</si>
  <si>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</si>
  <si>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</si>
  <si>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</si>
  <si>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</si>
  <si>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</si>
  <si>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</si>
  <si>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</si>
  <si>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</si>
  <si>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</si>
  <si>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</si>
  <si>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</si>
  <si>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</si>
  <si>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</si>
  <si>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</si>
  <si>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</si>
  <si>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</si>
  <si>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</si>
  <si>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</si>
  <si>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</si>
  <si>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</si>
  <si>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</si>
  <si>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</si>
  <si>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</si>
  <si>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</si>
  <si>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</si>
  <si>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</si>
  <si>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</si>
  <si>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</si>
  <si>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</si>
  <si>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</si>
  <si>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</si>
  <si>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</si>
  <si>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</si>
  <si>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</si>
  <si>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</si>
  <si>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</si>
  <si>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</si>
  <si>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</si>
  <si>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</si>
  <si>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</si>
  <si>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</si>
  <si>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</si>
  <si>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</si>
  <si>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</si>
  <si>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</si>
  <si>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</si>
  <si>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</si>
  <si>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</si>
  <si>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</si>
  <si>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</si>
  <si>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</si>
  <si>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</si>
  <si>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</si>
  <si>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</si>
  <si>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</si>
  <si>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</si>
  <si>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</si>
  <si>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</si>
  <si>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</si>
  <si>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</si>
  <si>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</si>
  <si>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</si>
  <si>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</si>
  <si>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</si>
  <si>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</si>
  <si>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</si>
  <si>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</si>
  <si>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</si>
  <si>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</si>
  <si>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</si>
  <si>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</si>
  <si>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</si>
  <si>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</si>
  <si>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</si>
  <si>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</si>
  <si>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</si>
  <si>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</si>
  <si>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</si>
  <si>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</si>
  <si>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</si>
  <si>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</si>
  <si>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</si>
  <si>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</si>
  <si>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</si>
  <si>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</si>
  <si>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</si>
  <si>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</si>
  <si>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</si>
  <si>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</si>
  <si>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</si>
  <si>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</si>
  <si>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</si>
  <si>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</si>
  <si>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</si>
  <si>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</si>
  <si>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</si>
  <si>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</si>
  <si>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</si>
  <si>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</si>
  <si>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</si>
  <si>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</si>
  <si>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</si>
  <si>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</si>
  <si>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</si>
  <si>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</si>
  <si>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</si>
  <si>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</si>
  <si>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</si>
  <si>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</si>
  <si>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</si>
  <si>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</si>
  <si>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</si>
  <si>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</si>
  <si>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</si>
  <si>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</si>
  <si>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</si>
  <si>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</si>
  <si>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</si>
  <si>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</si>
  <si>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</si>
  <si>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</si>
  <si>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</si>
  <si>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</si>
  <si>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</si>
  <si>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</si>
  <si>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</si>
  <si>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</si>
  <si>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</si>
  <si>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</si>
  <si>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</si>
  <si>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</si>
  <si>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</si>
  <si>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</si>
  <si>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</si>
  <si>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</si>
  <si>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</si>
  <si>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</si>
  <si>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</si>
  <si>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</si>
  <si>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</si>
  <si>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</si>
  <si>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</si>
  <si>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</si>
  <si>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</si>
  <si>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</si>
  <si>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</si>
  <si>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</si>
  <si>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</si>
  <si>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</si>
  <si>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</si>
  <si>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</si>
  <si>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</si>
  <si>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</si>
  <si>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</si>
  <si>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</si>
  <si>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</si>
  <si>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</si>
  <si>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</si>
  <si>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</si>
  <si>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</si>
  <si>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</si>
  <si>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</si>
  <si>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</si>
  <si>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</si>
  <si>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</si>
  <si>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</si>
  <si>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</si>
  <si>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</si>
  <si>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</si>
  <si>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</si>
  <si>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</si>
  <si>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</si>
  <si>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</si>
  <si>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</si>
  <si>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</si>
  <si>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</si>
  <si>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</si>
  <si>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</si>
  <si>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</si>
  <si>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</si>
  <si>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</si>
  <si>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</si>
  <si>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</si>
  <si>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</si>
  <si>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</si>
  <si>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</si>
  <si>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</si>
  <si>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</si>
  <si>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</si>
  <si>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</si>
  <si>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</si>
  <si>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</si>
  <si>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</si>
  <si>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</si>
  <si>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</si>
  <si>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</si>
  <si>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</si>
  <si>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</si>
  <si>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</si>
  <si>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</si>
  <si>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</si>
  <si>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</si>
  <si>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</si>
  <si>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</si>
  <si>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</si>
  <si>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</si>
  <si>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</si>
  <si>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</si>
  <si>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</si>
  <si>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</si>
  <si>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</si>
  <si>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</si>
  <si>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</si>
  <si>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</si>
  <si>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</si>
  <si>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</si>
  <si>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</si>
  <si>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</si>
  <si>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</si>
  <si>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</si>
  <si>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</si>
  <si>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</si>
  <si>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</si>
  <si>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</si>
  <si>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</si>
  <si>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</si>
  <si>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</si>
  <si>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</si>
  <si>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</si>
  <si>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</si>
  <si>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</si>
  <si>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</si>
  <si>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</si>
  <si>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</si>
  <si>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</si>
  <si>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</si>
  <si>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</si>
  <si>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</si>
  <si>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</si>
  <si>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</si>
  <si>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</si>
  <si>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</si>
  <si>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</si>
  <si>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</si>
  <si>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</si>
  <si>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</si>
  <si>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</si>
  <si>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</si>
  <si>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</si>
  <si>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</si>
  <si>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</si>
  <si>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</si>
  <si>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</si>
  <si>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</si>
  <si>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</si>
  <si>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</si>
  <si>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</si>
  <si>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</si>
  <si>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</si>
  <si>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</si>
  <si>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</si>
  <si>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</si>
  <si>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</si>
  <si>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</si>
  <si>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</si>
  <si>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</si>
  <si>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</si>
  <si>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</si>
  <si>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</si>
  <si>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</si>
  <si>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</si>
  <si>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</si>
  <si>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</si>
  <si>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</si>
  <si>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</si>
  <si>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</si>
  <si>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</si>
  <si>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</si>
  <si>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</si>
  <si>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</si>
  <si>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</si>
  <si>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</si>
  <si>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</si>
  <si>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</si>
  <si>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</si>
  <si>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</si>
  <si>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</si>
  <si>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</si>
  <si>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</si>
  <si>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</si>
  <si>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</si>
  <si>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</si>
  <si>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</si>
  <si>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</si>
  <si>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</si>
  <si>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</si>
  <si>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</si>
  <si>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</si>
  <si>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</si>
  <si>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</si>
  <si>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</si>
  <si>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</si>
  <si>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</si>
  <si>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</si>
  <si>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</si>
  <si>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</si>
  <si>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</si>
  <si>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</si>
  <si>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</si>
  <si>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</si>
  <si>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</si>
  <si>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</si>
  <si>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</si>
  <si>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</si>
  <si>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</si>
  <si>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</si>
  <si>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</si>
  <si>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</si>
  <si>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</si>
  <si>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</si>
  <si>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</si>
  <si>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</si>
  <si>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</si>
  <si>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</si>
  <si>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</si>
  <si>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</si>
  <si>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</si>
  <si>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</si>
  <si>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</si>
  <si>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</si>
  <si>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</si>
  <si>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</si>
  <si>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</si>
  <si>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</si>
  <si>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</si>
  <si>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</si>
  <si>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</si>
  <si>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</si>
  <si>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</si>
  <si>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</si>
  <si>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</si>
  <si>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</si>
  <si>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</si>
  <si>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</si>
  <si>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</si>
  <si>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</si>
  <si>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</si>
  <si>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</si>
  <si>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</si>
  <si>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</si>
  <si>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</si>
  <si>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</si>
  <si>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</si>
  <si>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</si>
  <si>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</si>
  <si>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</si>
  <si>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</si>
  <si>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</si>
  <si>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</si>
  <si>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</si>
  <si>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</si>
  <si>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</si>
  <si>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</si>
  <si>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</si>
  <si>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</si>
  <si>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</si>
  <si>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</si>
  <si>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</si>
  <si>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</si>
  <si>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</si>
  <si>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</si>
  <si>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</si>
  <si>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</si>
  <si>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</si>
  <si>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</si>
  <si>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</si>
  <si>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</si>
  <si>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</si>
  <si>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</si>
  <si>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</si>
  <si>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</si>
  <si>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</si>
  <si>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</si>
  <si>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</si>
  <si>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</si>
  <si>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</si>
  <si>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</si>
  <si>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</si>
  <si>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</si>
  <si>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</si>
  <si>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</si>
  <si>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</si>
  <si>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</si>
  <si>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</si>
  <si>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</si>
  <si>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</si>
  <si>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</si>
  <si>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</si>
  <si>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</si>
  <si>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</si>
  <si>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</si>
  <si>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</si>
  <si>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</si>
  <si>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</si>
  <si>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</si>
  <si>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</si>
  <si>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</si>
  <si>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</si>
  <si>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</si>
  <si>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</si>
  <si>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</si>
  <si>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</si>
  <si>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</si>
  <si>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</si>
  <si>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</si>
  <si>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</si>
  <si>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</si>
  <si>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</si>
  <si>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</si>
  <si>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</si>
  <si>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</si>
  <si>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</si>
  <si>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</si>
  <si>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</si>
  <si>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</si>
  <si>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</si>
  <si>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</si>
  <si>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</si>
  <si>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</si>
  <si>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</si>
  <si>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</si>
  <si>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</si>
  <si>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</si>
  <si>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</si>
  <si>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</si>
  <si>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</si>
  <si>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</si>
  <si>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</si>
  <si>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</si>
  <si>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</si>
  <si>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</si>
  <si>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</si>
  <si>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</si>
  <si>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</si>
  <si>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</si>
  <si>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</si>
  <si>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</si>
  <si>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</si>
  <si>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</si>
  <si>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</si>
  <si>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</si>
  <si>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</si>
  <si>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</si>
  <si>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</si>
  <si>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</si>
  <si>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</si>
  <si>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</si>
  <si>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</si>
  <si>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</si>
  <si>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</si>
  <si>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</si>
  <si>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</si>
  <si>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</si>
  <si>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</si>
  <si>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</si>
  <si>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</si>
  <si>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</si>
  <si>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</si>
  <si>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</si>
  <si>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</si>
  <si>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</si>
  <si>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</si>
  <si>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</si>
  <si>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</si>
  <si>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</si>
  <si>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</si>
  <si>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</si>
  <si>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</si>
  <si>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</si>
  <si>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</si>
  <si>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</si>
  <si>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</si>
  <si>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</si>
  <si>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</si>
  <si>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</si>
  <si>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</si>
  <si>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</si>
  <si>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</si>
  <si>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</si>
  <si>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</si>
  <si>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</si>
  <si>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</si>
  <si>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</si>
  <si>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</si>
  <si>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</si>
  <si>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</si>
  <si>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</si>
  <si>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</si>
  <si>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</si>
  <si>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</si>
  <si>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</si>
  <si>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</si>
  <si>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</si>
  <si>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</si>
  <si>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</si>
  <si>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</si>
  <si>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</si>
  <si>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</si>
  <si>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</si>
  <si>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</si>
  <si>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</si>
  <si>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</si>
  <si>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</si>
  <si>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</si>
  <si>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</si>
  <si>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</si>
  <si>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</si>
  <si>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</si>
  <si>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</si>
  <si>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</si>
  <si>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</si>
  <si>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</si>
  <si>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</si>
  <si>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</si>
  <si>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</si>
  <si>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</si>
  <si>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</si>
  <si>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</si>
  <si>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</si>
  <si>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</si>
  <si>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</si>
  <si>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</si>
  <si>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</si>
  <si>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</si>
  <si>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</si>
  <si>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</si>
  <si>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</si>
  <si>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</si>
  <si>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</si>
  <si>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</si>
  <si>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</si>
  <si>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</si>
  <si>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</si>
  <si>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</si>
  <si>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</si>
  <si>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</si>
  <si>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</si>
  <si>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</si>
  <si>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</si>
  <si>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</si>
  <si>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</si>
  <si>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</si>
  <si>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</si>
  <si>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</si>
  <si>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</si>
  <si>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</si>
  <si>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</si>
  <si>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</si>
  <si>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</si>
  <si>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</si>
  <si>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</si>
  <si>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</si>
  <si>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</si>
  <si>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</si>
  <si>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</si>
  <si>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</si>
  <si>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</si>
  <si>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</si>
  <si>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</si>
  <si>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</si>
  <si>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</si>
  <si>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</si>
  <si>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</si>
  <si>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</si>
  <si>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</si>
  <si>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</si>
  <si>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</si>
  <si>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</si>
  <si>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</si>
  <si>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</si>
  <si>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</si>
  <si>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</si>
  <si>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</si>
  <si>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</si>
  <si>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</si>
  <si>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</si>
  <si>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</si>
  <si>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</si>
  <si>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</si>
  <si>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</si>
  <si>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</si>
  <si>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</si>
  <si>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</si>
  <si>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</si>
  <si>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</si>
  <si>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</si>
  <si>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</si>
  <si>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</si>
  <si>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</si>
  <si>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</si>
  <si>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</si>
  <si>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</si>
  <si>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</si>
  <si>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</si>
  <si>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</si>
  <si>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</si>
  <si>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</si>
  <si>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</si>
  <si>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</si>
  <si>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</si>
  <si>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</si>
  <si>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</si>
  <si>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</si>
  <si>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</si>
  <si>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</si>
  <si>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</si>
  <si>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</si>
  <si>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</si>
  <si>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</si>
  <si>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</si>
  <si>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</si>
  <si>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</si>
  <si>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</si>
  <si>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</si>
  <si>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</si>
  <si>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</si>
  <si>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</si>
  <si>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</si>
  <si>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</si>
  <si>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</si>
  <si>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</si>
  <si>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</si>
  <si>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</si>
  <si>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</si>
  <si>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</si>
  <si>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</si>
  <si>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</si>
  <si>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</si>
  <si>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</si>
  <si>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</si>
  <si>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</si>
  <si>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</si>
  <si>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</si>
  <si>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</si>
  <si>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</si>
  <si>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</si>
  <si>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</si>
  <si>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</si>
  <si>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</si>
  <si>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</si>
  <si>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</si>
  <si>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</si>
  <si>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</si>
  <si>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</si>
  <si>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</si>
  <si>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</si>
  <si>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</si>
  <si>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</si>
  <si>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</si>
  <si>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</si>
  <si>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</si>
  <si>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</si>
  <si>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</si>
  <si>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</si>
  <si>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</si>
  <si>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</si>
  <si>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</si>
  <si>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</si>
  <si>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</si>
  <si>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</si>
  <si>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</si>
  <si>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</si>
  <si>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</si>
  <si>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</si>
  <si>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</si>
  <si>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</si>
  <si>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</si>
  <si>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</si>
  <si>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</si>
  <si>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</si>
  <si>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</si>
  <si>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</si>
  <si>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</si>
  <si>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</si>
  <si>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</si>
  <si>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</si>
  <si>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</si>
  <si>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</si>
  <si>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</si>
  <si>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</si>
  <si>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</si>
  <si>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</si>
  <si>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</si>
  <si>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</si>
  <si>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</si>
  <si>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</si>
  <si>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</si>
  <si>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</si>
  <si>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</si>
  <si>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</si>
  <si>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</si>
  <si>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</si>
  <si>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</si>
  <si>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</si>
  <si>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</si>
  <si>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</si>
  <si>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</si>
  <si>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</si>
  <si>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</si>
  <si>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</si>
  <si>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</si>
  <si>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</si>
  <si>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</si>
  <si>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</si>
  <si>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</si>
  <si>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</si>
  <si>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</si>
  <si>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</si>
  <si>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</si>
  <si>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</si>
  <si>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</si>
  <si>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</si>
  <si>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</si>
  <si>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</si>
  <si>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</si>
  <si>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</si>
  <si>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</si>
  <si>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</si>
  <si>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</si>
  <si>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</si>
  <si>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</si>
  <si>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</si>
  <si>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</si>
  <si>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</si>
  <si>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</si>
  <si>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</si>
  <si>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</si>
  <si>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</si>
  <si>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</si>
  <si>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</si>
  <si>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</si>
  <si>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</si>
  <si>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</si>
  <si>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</si>
  <si>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</si>
  <si>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</si>
  <si>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</si>
  <si>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</si>
  <si>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</si>
  <si>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</si>
  <si>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</si>
  <si>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</si>
  <si>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</si>
  <si>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</si>
  <si>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</si>
  <si>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</si>
  <si>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</si>
  <si>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</si>
  <si>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</si>
  <si>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</si>
  <si>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</si>
  <si>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</si>
  <si>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</si>
  <si>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</si>
  <si>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</si>
  <si>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</si>
  <si>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</si>
  <si>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</si>
  <si>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</si>
  <si>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</si>
  <si>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</si>
  <si>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</si>
  <si>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</si>
  <si>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</si>
  <si>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</si>
  <si>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</si>
  <si>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</si>
  <si>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</si>
  <si>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</si>
  <si>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</si>
  <si>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</si>
  <si>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</si>
  <si>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</si>
  <si>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</si>
  <si>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</si>
  <si>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</si>
  <si>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</si>
  <si>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</si>
  <si>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</si>
  <si>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</si>
  <si>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</si>
  <si>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</si>
  <si>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</si>
  <si>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</si>
  <si>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</si>
  <si>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</si>
  <si>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</si>
  <si>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</si>
  <si>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</si>
  <si>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</si>
  <si>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</si>
  <si>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</si>
  <si>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</si>
  <si>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</si>
  <si>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</si>
  <si>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</si>
  <si>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</si>
  <si>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</si>
  <si>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</si>
  <si>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</si>
  <si>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</si>
  <si>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</si>
  <si>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</si>
  <si>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</si>
  <si>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</si>
  <si>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</si>
  <si>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</si>
  <si>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</si>
  <si>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</si>
  <si>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</si>
  <si>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</si>
  <si>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</si>
  <si>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</si>
  <si>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</si>
  <si>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</si>
  <si>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</si>
  <si>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</si>
  <si>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</si>
  <si>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</si>
  <si>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</si>
  <si>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</si>
  <si>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</si>
  <si>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</si>
  <si>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</si>
  <si>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</si>
  <si>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</si>
  <si>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</si>
  <si>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</si>
  <si>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</si>
  <si>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</si>
  <si>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</si>
  <si>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</si>
  <si>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</si>
  <si>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</si>
  <si>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</si>
  <si>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</si>
  <si>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</si>
  <si>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</si>
  <si>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</si>
  <si>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</si>
  <si>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</si>
  <si>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</si>
  <si>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</si>
  <si>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</si>
  <si>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</si>
  <si>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</si>
  <si>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</si>
  <si>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</si>
  <si>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</si>
  <si>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</si>
  <si>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</si>
  <si>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</si>
  <si>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</si>
  <si>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</si>
  <si>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</si>
  <si>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</si>
  <si>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</si>
  <si>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</si>
  <si>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</si>
  <si>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</si>
  <si>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</si>
  <si>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</si>
  <si>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</si>
  <si>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</si>
  <si>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</si>
  <si>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</si>
  <si>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</si>
  <si>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</si>
  <si>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</si>
  <si>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</si>
  <si>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</si>
  <si>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</si>
  <si>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</si>
  <si>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</si>
  <si>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</si>
  <si>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</si>
  <si>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</si>
  <si>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</si>
  <si>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</si>
  <si>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</si>
  <si>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</si>
  <si>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</si>
  <si>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</si>
  <si>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</si>
  <si>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</si>
  <si>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</si>
  <si>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</si>
  <si>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</si>
  <si>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</si>
  <si>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</si>
  <si>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</si>
  <si>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</si>
  <si>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</si>
  <si>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</si>
  <si>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</si>
  <si>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</si>
  <si>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</si>
  <si>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</si>
  <si>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</si>
  <si>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</si>
  <si>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</si>
  <si>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</si>
  <si>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</si>
  <si>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</si>
  <si>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</si>
  <si>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</si>
  <si>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</si>
  <si>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</si>
  <si>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</si>
  <si>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</si>
  <si>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</si>
  <si>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</si>
  <si>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</si>
  <si>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</si>
  <si>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</si>
  <si>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</si>
  <si>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</si>
  <si>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</si>
  <si>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</si>
  <si>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</si>
  <si>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</si>
  <si>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</si>
  <si>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</si>
  <si>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</si>
  <si>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</si>
  <si>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</si>
  <si>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</si>
  <si>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</si>
  <si>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</si>
  <si>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</si>
  <si>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</si>
  <si>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</si>
  <si>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</si>
  <si>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</si>
  <si>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</si>
  <si>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</si>
  <si>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</si>
  <si>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</si>
  <si>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</si>
  <si>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</si>
  <si>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</si>
  <si>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</si>
  <si>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</si>
  <si>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</si>
  <si>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</si>
  <si>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</si>
  <si>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</si>
  <si>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</si>
  <si>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</si>
  <si>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</si>
  <si>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</si>
  <si>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</si>
  <si>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</si>
  <si>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</si>
  <si>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</si>
  <si>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</si>
  <si>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</si>
  <si>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</si>
  <si>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</si>
  <si>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</si>
  <si>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</si>
  <si>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</si>
  <si>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</si>
  <si>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</si>
  <si>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</si>
  <si>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</si>
  <si>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</si>
  <si>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</si>
  <si>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</si>
  <si>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</si>
  <si>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</si>
  <si>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</si>
  <si>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</si>
  <si>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</si>
  <si>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</si>
  <si>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</si>
  <si>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</si>
  <si>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</si>
  <si>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</si>
  <si>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</si>
  <si>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</si>
  <si>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</si>
  <si>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</si>
  <si>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</si>
  <si>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</si>
  <si>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</si>
  <si>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</si>
  <si>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</si>
  <si>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</si>
  <si>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</si>
  <si>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</si>
  <si>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</si>
  <si>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</si>
  <si>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</si>
  <si>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</si>
  <si>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</si>
  <si>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</si>
  <si>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</si>
  <si>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</si>
  <si>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</si>
  <si>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</si>
  <si>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</si>
  <si>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</si>
  <si>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</si>
  <si>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</si>
  <si>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</si>
  <si>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</si>
  <si>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</si>
  <si>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</si>
  <si>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</si>
  <si>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</si>
  <si>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</si>
  <si>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</si>
  <si>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</si>
  <si>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</si>
  <si>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</si>
  <si>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</si>
  <si>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</si>
  <si>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</si>
  <si>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</si>
  <si>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</si>
  <si>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</si>
  <si>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</si>
  <si>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</si>
  <si>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</si>
  <si>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</si>
  <si>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</si>
  <si>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</si>
  <si>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</si>
  <si>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</si>
  <si>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</si>
  <si>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</si>
  <si>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</si>
  <si>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</si>
  <si>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</si>
  <si>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</si>
  <si>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</si>
  <si>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</si>
  <si>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</si>
  <si>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</si>
  <si>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</si>
  <si>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</si>
  <si>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</si>
  <si>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</si>
  <si>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</si>
  <si>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</si>
  <si>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</si>
  <si>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</si>
  <si>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</si>
  <si>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</si>
  <si>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</si>
  <si>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</si>
  <si>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</si>
  <si>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</si>
  <si>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</si>
  <si>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</si>
  <si>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</si>
  <si>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</si>
  <si>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</si>
  <si>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</si>
  <si>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</si>
  <si>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</si>
  <si>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</si>
  <si>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</si>
  <si>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</si>
  <si>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</si>
  <si>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</si>
  <si>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</si>
  <si>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</si>
  <si>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</si>
  <si>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</si>
  <si>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</si>
  <si>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</si>
  <si>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</si>
  <si>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</si>
  <si>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</si>
  <si>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</si>
  <si>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</si>
  <si>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</si>
  <si>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</si>
  <si>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</si>
  <si>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</si>
  <si>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</si>
  <si>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</si>
  <si>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</si>
  <si>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</si>
  <si>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</si>
  <si>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</si>
  <si>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</si>
  <si>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</si>
  <si>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</si>
  <si>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</si>
  <si>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</si>
  <si>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</si>
  <si>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</si>
  <si>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</si>
  <si>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</si>
  <si>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</si>
  <si>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</si>
  <si>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</si>
  <si>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</si>
  <si>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</si>
  <si>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</si>
  <si>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</si>
  <si>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</si>
  <si>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</si>
  <si>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</si>
  <si>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</si>
  <si>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</si>
  <si>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</si>
  <si>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</si>
  <si>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</si>
  <si>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</si>
  <si>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</si>
  <si>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</si>
  <si>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</si>
  <si>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</si>
  <si>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</si>
  <si>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</si>
  <si>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</si>
  <si>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</si>
  <si>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</si>
  <si>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</si>
  <si>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</si>
  <si>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</si>
  <si>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</si>
  <si>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</si>
  <si>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</si>
  <si>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</si>
  <si>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</si>
  <si>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</si>
  <si>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</si>
  <si>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</si>
  <si>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</si>
  <si>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</si>
  <si>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</si>
  <si>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</si>
  <si>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</si>
  <si>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</si>
  <si>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</si>
  <si>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</si>
  <si>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</si>
  <si>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</si>
  <si>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</si>
  <si>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</si>
  <si>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</si>
  <si>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</si>
  <si>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</si>
  <si>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</si>
  <si>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</si>
  <si>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</si>
  <si>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</si>
  <si>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</si>
  <si>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</si>
  <si>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</si>
  <si>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</si>
  <si>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</si>
  <si>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</si>
  <si>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</si>
  <si>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</si>
  <si>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</si>
  <si>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</si>
  <si>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</si>
  <si>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</si>
  <si>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</si>
  <si>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</si>
  <si>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</si>
  <si>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</si>
  <si>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</si>
  <si>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</si>
  <si>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</si>
  <si>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</si>
  <si>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</si>
  <si>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</si>
  <si>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</si>
  <si>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</si>
  <si>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</si>
  <si>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</si>
  <si>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</si>
  <si>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</si>
  <si>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</si>
  <si>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</si>
  <si>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</si>
  <si>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</si>
  <si>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</si>
  <si>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</si>
  <si>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</si>
  <si>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</si>
  <si>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</si>
  <si>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</si>
  <si>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</si>
  <si>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</si>
  <si>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</si>
  <si>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</si>
  <si>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</si>
  <si>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</si>
  <si>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</si>
  <si>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</si>
  <si>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</si>
  <si>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</si>
  <si>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</si>
  <si>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</si>
  <si>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</si>
  <si>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</si>
  <si>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</si>
  <si>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</si>
  <si>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</si>
  <si>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</si>
  <si>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</si>
  <si>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</si>
  <si>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</si>
  <si>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</si>
  <si>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</si>
  <si>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</si>
  <si>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</si>
  <si>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</si>
  <si>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</si>
  <si>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</si>
  <si>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</si>
  <si>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</si>
  <si>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</si>
  <si>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</si>
  <si>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</si>
  <si>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</si>
  <si>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</si>
  <si>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</si>
  <si>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</si>
  <si>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</si>
  <si>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</si>
  <si>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</si>
  <si>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</si>
  <si>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</si>
  <si>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</si>
  <si>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</si>
  <si>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</si>
  <si>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</si>
  <si>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</si>
  <si>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</si>
  <si>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</si>
  <si>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</si>
  <si>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</si>
  <si>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</si>
  <si>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</si>
  <si>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</si>
  <si>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</si>
  <si>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</si>
  <si>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</si>
  <si>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</si>
  <si>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</si>
  <si>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</si>
  <si>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</si>
  <si>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</si>
  <si>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</si>
  <si>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</si>
  <si>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</si>
  <si>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</si>
  <si>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</si>
  <si>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</si>
  <si>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</si>
  <si>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</si>
  <si>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</si>
  <si>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</si>
  <si>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</si>
  <si>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</si>
  <si>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</si>
  <si>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</si>
  <si>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</si>
  <si>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</si>
  <si>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</si>
  <si>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</si>
  <si>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</si>
  <si>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</si>
  <si>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</si>
  <si>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</si>
  <si>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</si>
  <si>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</si>
  <si>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</si>
  <si>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</si>
  <si>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</si>
  <si>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</si>
  <si>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</si>
  <si>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</si>
  <si>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</si>
  <si>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</si>
  <si>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</si>
  <si>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</si>
  <si>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</si>
  <si>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</si>
  <si>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</si>
  <si>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</si>
  <si>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</si>
  <si>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</si>
  <si>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</si>
  <si>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</si>
  <si>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</si>
  <si>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</si>
  <si>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</si>
  <si>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</si>
  <si>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</si>
  <si>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</si>
  <si>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</si>
  <si>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</si>
  <si>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</si>
  <si>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</si>
  <si>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</si>
  <si>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</si>
  <si>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</si>
  <si>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</si>
  <si>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</si>
  <si>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</si>
  <si>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</si>
  <si>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</si>
  <si>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</si>
  <si>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</si>
  <si>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</si>
  <si>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</si>
  <si>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</si>
  <si>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</si>
  <si>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</si>
  <si>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</si>
  <si>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</si>
  <si>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</si>
  <si>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</si>
  <si>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</si>
  <si>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</si>
  <si>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</si>
  <si>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</si>
  <si>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</si>
  <si>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</si>
  <si>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</si>
  <si>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</si>
  <si>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</si>
  <si>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</si>
  <si>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</si>
  <si>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</si>
  <si>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</si>
  <si>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</si>
  <si>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</si>
  <si>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</si>
  <si>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</si>
  <si>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</si>
  <si>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</si>
  <si>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</si>
  <si>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</si>
  <si>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</si>
  <si>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</si>
  <si>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</si>
  <si>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</si>
  <si>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</si>
  <si>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</si>
  <si>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</si>
  <si>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</si>
  <si>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</si>
  <si>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</si>
  <si>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</si>
  <si>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</si>
  <si>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</si>
  <si>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</si>
  <si>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</si>
  <si>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</si>
  <si>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</si>
  <si>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</si>
  <si>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</si>
  <si>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</si>
  <si>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</si>
  <si>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</si>
  <si>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</si>
  <si>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</si>
  <si>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</si>
  <si>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</si>
  <si>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</si>
  <si>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</si>
  <si>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</si>
  <si>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</si>
  <si>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</si>
  <si>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</si>
  <si>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</si>
  <si>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</si>
  <si>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</si>
  <si>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</si>
  <si>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</si>
  <si>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</si>
  <si>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</si>
  <si>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</si>
  <si>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</si>
  <si>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</si>
  <si>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</si>
  <si>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</si>
  <si>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</si>
  <si>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</si>
  <si>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</si>
  <si>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</si>
  <si>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</si>
  <si>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</si>
  <si>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</si>
  <si>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</si>
  <si>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</si>
  <si>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</si>
  <si>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</si>
  <si>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</si>
  <si>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</si>
  <si>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</si>
  <si>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</si>
  <si>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</si>
  <si>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</si>
  <si>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</si>
  <si>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</si>
  <si>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</si>
  <si>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</si>
  <si>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</si>
  <si>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</si>
  <si>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</si>
  <si>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</si>
  <si>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</si>
  <si>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</si>
  <si>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</si>
  <si>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</si>
  <si>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</si>
  <si>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</si>
  <si>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</si>
  <si>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</si>
  <si>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</si>
  <si>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</si>
  <si>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</si>
  <si>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</si>
  <si>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</si>
  <si>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</si>
  <si>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</si>
  <si>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</si>
  <si>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</si>
  <si>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</si>
  <si>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</si>
  <si>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</si>
  <si>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</si>
  <si>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</si>
  <si>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</si>
  <si>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</si>
  <si>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</si>
  <si>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</si>
  <si>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</si>
  <si>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</si>
  <si>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</si>
  <si>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</si>
  <si>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</si>
  <si>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</si>
  <si>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</si>
  <si>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</si>
  <si>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</si>
  <si>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</si>
  <si>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</si>
  <si>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</si>
  <si>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</si>
  <si>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</si>
  <si>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</si>
  <si>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</si>
  <si>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</si>
  <si>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</si>
  <si>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</si>
  <si>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</si>
  <si>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</si>
  <si>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</si>
  <si>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</si>
  <si>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</si>
  <si>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</si>
  <si>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</si>
  <si>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</si>
  <si>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</si>
  <si>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</si>
  <si>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</si>
  <si>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</si>
  <si>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</si>
  <si>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</si>
  <si>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</si>
  <si>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</si>
  <si>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</si>
  <si>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</si>
  <si>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</si>
  <si>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</si>
  <si>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</si>
  <si>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</si>
  <si>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</si>
  <si>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</si>
  <si>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</si>
  <si>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</si>
  <si>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</si>
  <si>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</si>
  <si>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</si>
  <si>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</si>
  <si>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</si>
  <si>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</si>
  <si>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</si>
  <si>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</si>
  <si>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</si>
  <si>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</si>
  <si>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</si>
  <si>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</si>
  <si>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</si>
  <si>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</si>
  <si>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</si>
  <si>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</si>
  <si>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</si>
  <si>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</si>
  <si>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</si>
  <si>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</si>
  <si>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</si>
  <si>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</si>
  <si>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</si>
  <si>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</si>
  <si>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</si>
  <si>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</si>
  <si>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</si>
  <si>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</si>
  <si>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</si>
  <si>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</si>
  <si>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</si>
  <si>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</si>
  <si>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</si>
  <si>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</si>
  <si>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</si>
  <si>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</si>
  <si>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</si>
  <si>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</si>
  <si>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</si>
  <si>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</si>
  <si>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</si>
  <si>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</si>
  <si>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</si>
  <si>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</si>
  <si>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</si>
  <si>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</si>
  <si>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</si>
  <si>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</si>
  <si>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</si>
  <si>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</si>
  <si>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</si>
  <si>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</si>
  <si>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</si>
  <si>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</si>
  <si>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</si>
  <si>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</si>
  <si>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</si>
  <si>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</si>
  <si>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</si>
  <si>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</si>
  <si>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</si>
  <si>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</si>
  <si>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</si>
  <si>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</si>
  <si>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</si>
  <si>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</si>
  <si>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</si>
  <si>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</si>
  <si>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</si>
  <si>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</si>
  <si>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</si>
  <si>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</si>
  <si>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</si>
  <si>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</si>
  <si>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</si>
  <si>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</si>
  <si>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</si>
  <si>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</si>
  <si>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</si>
  <si>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</si>
  <si>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</si>
  <si>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</si>
  <si>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</si>
  <si>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</si>
  <si>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</si>
  <si>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</si>
  <si>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</si>
  <si>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</si>
  <si>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</si>
  <si>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</si>
  <si>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</si>
  <si>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</si>
  <si>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</si>
  <si>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</si>
  <si>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</si>
  <si>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</si>
  <si>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</si>
  <si>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</si>
  <si>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</si>
  <si>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</si>
  <si>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</si>
  <si>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</si>
  <si>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</si>
  <si>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</si>
  <si>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</si>
  <si>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</si>
  <si>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</si>
  <si>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</si>
  <si>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</si>
  <si>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</si>
  <si>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</si>
  <si>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</si>
  <si>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</si>
  <si>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</si>
  <si>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</si>
  <si>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</si>
  <si>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</si>
  <si>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</si>
  <si>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</si>
  <si>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</si>
  <si>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</si>
  <si>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</si>
  <si>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</si>
  <si>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</si>
  <si>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</si>
  <si>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</si>
  <si>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</si>
  <si>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</si>
  <si>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</si>
  <si>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</si>
  <si>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</si>
  <si>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</si>
  <si>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</si>
  <si>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</si>
  <si>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</si>
  <si>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</si>
  <si>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</si>
  <si>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</si>
  <si>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</si>
  <si>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</si>
  <si>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</si>
  <si>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</si>
  <si>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</si>
  <si>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</si>
  <si>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</si>
  <si>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</si>
  <si>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</si>
  <si>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</si>
  <si>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</si>
  <si>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</si>
  <si>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</si>
  <si>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</si>
  <si>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</si>
  <si>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</si>
  <si>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</si>
  <si>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</si>
  <si>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</si>
  <si>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</si>
  <si>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</si>
  <si>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</si>
  <si>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</si>
  <si>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</si>
  <si>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</si>
  <si>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</si>
  <si>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</si>
  <si>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</si>
  <si>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</si>
  <si>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</si>
  <si>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</si>
  <si>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</si>
  <si>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</si>
  <si>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</si>
  <si>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</si>
  <si>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</si>
  <si>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</si>
  <si>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</si>
  <si>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</si>
  <si>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</si>
  <si>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</si>
  <si>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</si>
  <si>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</si>
  <si>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</si>
  <si>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</si>
  <si>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</si>
  <si>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</si>
  <si>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</si>
  <si>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</si>
  <si>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</si>
  <si>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</si>
  <si>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</si>
  <si>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</si>
  <si>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</si>
  <si>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</si>
  <si>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</si>
  <si>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</si>
  <si>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</si>
  <si>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</si>
  <si>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</si>
  <si>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</si>
  <si>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</si>
  <si>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</si>
  <si>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</si>
  <si>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</si>
  <si>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</si>
  <si>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</si>
  <si>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</si>
  <si>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</si>
  <si>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</si>
  <si>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</si>
  <si>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</si>
  <si>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</si>
  <si>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</si>
  <si>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</si>
  <si>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</si>
  <si>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</si>
  <si>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</si>
  <si>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</si>
  <si>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</si>
  <si>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</si>
  <si>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</si>
  <si>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</si>
  <si>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</si>
  <si>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</si>
  <si>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</si>
  <si>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</si>
  <si>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</si>
  <si>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</si>
  <si>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</si>
  <si>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</si>
  <si>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</si>
  <si>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</si>
  <si>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</si>
  <si>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</si>
  <si>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</si>
  <si>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</si>
  <si>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</si>
  <si>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</si>
  <si>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</si>
  <si>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</si>
  <si>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</si>
  <si>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</si>
  <si>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</si>
  <si>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</si>
  <si>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</si>
  <si>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</si>
  <si>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</si>
  <si>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</si>
  <si>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</si>
  <si>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</si>
  <si>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</si>
  <si>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</si>
  <si>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</si>
  <si>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</si>
  <si>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</si>
  <si>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</si>
  <si>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</si>
  <si>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</si>
  <si>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</si>
  <si>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</si>
  <si>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</si>
  <si>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</si>
  <si>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</si>
  <si>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</si>
  <si>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</si>
  <si>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</si>
  <si>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</si>
  <si>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</si>
  <si>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</si>
  <si>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</si>
  <si>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</si>
  <si>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</si>
  <si>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</si>
  <si>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</si>
  <si>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</si>
  <si>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</si>
  <si>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</si>
  <si>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</si>
  <si>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</si>
  <si>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</si>
  <si>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</si>
  <si>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</si>
  <si>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</si>
  <si>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</si>
  <si>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</si>
  <si>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</si>
  <si>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</si>
  <si>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</si>
  <si>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</si>
  <si>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</si>
  <si>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</si>
  <si>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</si>
  <si>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</si>
  <si>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</si>
  <si>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</si>
  <si>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</si>
  <si>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</si>
  <si>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</si>
  <si>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</si>
  <si>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</si>
  <si>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</si>
  <si>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</si>
  <si>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</si>
  <si>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</si>
  <si>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</si>
  <si>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</si>
  <si>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</si>
  <si>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</si>
  <si>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</si>
  <si>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</si>
  <si>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</si>
  <si>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</si>
  <si>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</si>
  <si>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</si>
  <si>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</si>
  <si>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</si>
  <si>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</si>
  <si>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</si>
  <si>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</si>
  <si>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</si>
  <si>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</si>
  <si>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</si>
  <si>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</si>
  <si>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</si>
  <si>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</si>
  <si>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</si>
  <si>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</si>
  <si>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</si>
  <si>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</si>
  <si>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</si>
  <si>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</si>
  <si>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</si>
  <si>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</si>
  <si>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</si>
  <si>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</si>
  <si>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</si>
  <si>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</si>
  <si>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</si>
  <si>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</si>
  <si>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</si>
  <si>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</si>
  <si>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</si>
  <si>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</si>
  <si>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</si>
  <si>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</si>
  <si>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</si>
  <si>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</si>
  <si>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</si>
  <si>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</si>
  <si>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</si>
  <si>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</si>
  <si>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</si>
  <si>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</si>
  <si>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</si>
  <si>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</si>
  <si>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</si>
  <si>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</si>
  <si>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</si>
  <si>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</si>
  <si>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</si>
  <si>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</si>
  <si>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</si>
  <si>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</si>
  <si>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</si>
  <si>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</si>
  <si>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</si>
  <si>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</si>
  <si>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</si>
  <si>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</si>
  <si>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</si>
  <si>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</si>
  <si>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</si>
  <si>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</si>
  <si>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</si>
  <si>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</si>
  <si>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</si>
  <si>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</si>
  <si>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</si>
  <si>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</si>
  <si>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</si>
  <si>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</si>
  <si>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</si>
  <si>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</si>
  <si>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</si>
  <si>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</si>
  <si>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</si>
  <si>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</si>
  <si>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</si>
  <si>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</si>
  <si>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</si>
  <si>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</si>
  <si>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</si>
  <si>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</si>
  <si>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</si>
  <si>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</si>
  <si>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</si>
  <si>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</si>
  <si>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</si>
  <si>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</si>
  <si>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</si>
  <si>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</si>
  <si>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</si>
  <si>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</si>
  <si>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</si>
  <si>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</si>
  <si>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</si>
  <si>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</si>
  <si>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</si>
  <si>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</si>
  <si>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</si>
  <si>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</si>
  <si>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</si>
  <si>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</si>
  <si>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</si>
  <si>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</si>
  <si>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</si>
  <si>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</si>
  <si>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</si>
  <si>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</si>
  <si>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</si>
  <si>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</si>
  <si>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</si>
  <si>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</si>
  <si>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</si>
  <si>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</si>
  <si>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</si>
  <si>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</si>
  <si>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</si>
  <si>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</si>
  <si>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</si>
  <si>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</si>
  <si>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</si>
  <si>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</si>
  <si>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</si>
  <si>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</si>
  <si>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</si>
  <si>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</si>
  <si>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</si>
  <si>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</si>
  <si>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</si>
  <si>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</si>
  <si>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</si>
  <si>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</si>
  <si>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</si>
  <si>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</si>
  <si>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</si>
  <si>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</si>
  <si>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</si>
  <si>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</si>
  <si>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</si>
  <si>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</si>
  <si>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</si>
  <si>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</si>
  <si>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</si>
  <si>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</si>
  <si>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</si>
  <si>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</si>
  <si>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</si>
  <si>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</si>
  <si>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</si>
  <si>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</si>
  <si>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</si>
  <si>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</si>
  <si>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</si>
  <si>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</si>
  <si>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</si>
  <si>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</si>
  <si>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</si>
  <si>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</si>
  <si>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</si>
  <si>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</si>
  <si>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</si>
  <si>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</si>
  <si>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</si>
  <si>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</si>
  <si>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</si>
  <si>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</si>
  <si>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</si>
  <si>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</si>
  <si>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</si>
  <si>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</si>
  <si>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</si>
  <si>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</si>
  <si>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</si>
  <si>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</si>
  <si>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</si>
  <si>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</si>
  <si>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</si>
  <si>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</si>
  <si>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</si>
  <si>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</si>
  <si>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</si>
  <si>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</si>
  <si>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</si>
  <si>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</si>
  <si>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</si>
  <si>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</si>
  <si>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</si>
  <si>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</si>
  <si>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</si>
  <si>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</si>
  <si>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</si>
  <si>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</si>
  <si>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</si>
  <si>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</si>
  <si>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</si>
  <si>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</si>
  <si>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</si>
  <si>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</si>
  <si>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</si>
  <si>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</si>
  <si>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</si>
  <si>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</si>
  <si>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</si>
  <si>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</si>
  <si>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</si>
  <si>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</si>
  <si>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</si>
  <si>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</si>
  <si>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</si>
  <si>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</si>
  <si>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</si>
  <si>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</si>
  <si>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</si>
  <si>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</si>
  <si>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</si>
  <si>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</si>
  <si>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</si>
  <si>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</si>
  <si>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</si>
  <si>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</si>
  <si>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</si>
  <si>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</si>
  <si>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</si>
  <si>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</si>
  <si>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</si>
  <si>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</si>
  <si>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</si>
  <si>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</si>
  <si>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</si>
  <si>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</si>
  <si>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</si>
  <si>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</si>
  <si>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</si>
  <si>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</si>
  <si>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</si>
  <si>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</si>
  <si>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</si>
  <si>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</si>
  <si>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</si>
  <si>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</si>
  <si>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</si>
  <si>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</si>
  <si>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</si>
  <si>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</si>
  <si>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</si>
  <si>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</si>
  <si>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</si>
  <si>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</si>
  <si>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</si>
  <si>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</si>
  <si>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</si>
  <si>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</si>
  <si>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</si>
  <si>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</si>
  <si>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</si>
  <si>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</si>
  <si>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</si>
  <si>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</si>
  <si>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</si>
  <si>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</si>
  <si>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</si>
  <si>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</si>
  <si>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</si>
  <si>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</si>
  <si>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</si>
  <si>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</si>
  <si>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</si>
  <si>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</si>
  <si>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</si>
  <si>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</si>
  <si>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</si>
  <si>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</si>
  <si>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</si>
  <si>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</si>
  <si>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</si>
  <si>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</si>
  <si>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</si>
  <si>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</si>
  <si>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</si>
  <si>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</si>
  <si>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</si>
  <si>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</si>
  <si>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</si>
  <si>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</si>
  <si>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</si>
  <si>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</si>
  <si>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</si>
  <si>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</si>
  <si>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</si>
  <si>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</si>
  <si>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</si>
  <si>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</si>
  <si>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</si>
  <si>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</si>
  <si>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</si>
  <si>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</si>
  <si>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</si>
  <si>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</si>
  <si>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</si>
  <si>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</si>
  <si>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</si>
  <si>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</si>
  <si>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</si>
  <si>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</si>
  <si>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</si>
  <si>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</si>
  <si>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</si>
  <si>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</si>
  <si>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</si>
  <si>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</si>
  <si>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</si>
  <si>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</si>
  <si>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</si>
  <si>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</si>
  <si>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</si>
  <si>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</si>
  <si>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</si>
  <si>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</si>
  <si>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</si>
  <si>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</si>
  <si>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</si>
  <si>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</si>
  <si>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</si>
  <si>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</si>
  <si>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</si>
  <si>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</si>
  <si>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</si>
  <si>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</si>
  <si>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</si>
  <si>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</si>
  <si>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</si>
  <si>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</si>
  <si>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</si>
  <si>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</si>
  <si>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</si>
  <si>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</si>
  <si>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</si>
  <si>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</si>
  <si>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</si>
  <si>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</si>
  <si>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</si>
  <si>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</si>
  <si>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</si>
  <si>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</si>
  <si>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</si>
  <si>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</si>
  <si>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</si>
  <si>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</si>
  <si>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</si>
  <si>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</si>
  <si>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</si>
  <si>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</si>
  <si>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</si>
  <si>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</si>
  <si>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</si>
  <si>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</si>
  <si>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</si>
  <si>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</si>
  <si>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</si>
  <si>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</si>
  <si>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</si>
  <si>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</si>
  <si>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</si>
  <si>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</si>
  <si>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</si>
  <si>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</si>
  <si>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</si>
  <si>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</si>
  <si>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</si>
  <si>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</si>
  <si>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</si>
  <si>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</si>
  <si>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</si>
  <si>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</si>
  <si>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</si>
  <si>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</si>
  <si>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</si>
  <si>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</si>
  <si>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</si>
  <si>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</si>
  <si>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</si>
  <si>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</si>
  <si>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</si>
  <si>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</si>
  <si>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</si>
  <si>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</si>
  <si>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</si>
  <si>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</si>
  <si>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</si>
  <si>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</si>
  <si>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</si>
  <si>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</si>
  <si>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</si>
  <si>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</si>
  <si>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</si>
  <si>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</si>
  <si>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</si>
  <si>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</si>
  <si>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</si>
  <si>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</si>
  <si>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</si>
  <si>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</si>
  <si>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</si>
  <si>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</si>
  <si>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</si>
  <si>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</si>
  <si>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</si>
  <si>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</si>
  <si>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</si>
  <si>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</si>
  <si>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</si>
  <si>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</si>
  <si>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</si>
  <si>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</si>
  <si>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</si>
  <si>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</si>
  <si>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</si>
  <si>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</si>
  <si>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</si>
  <si>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</si>
  <si>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</si>
  <si>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</si>
  <si>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</si>
  <si>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</si>
  <si>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</si>
  <si>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</si>
  <si>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</si>
  <si>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</si>
  <si>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</si>
  <si>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</si>
  <si>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</si>
  <si>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</si>
  <si>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</si>
  <si>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</si>
  <si>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</si>
  <si>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</si>
  <si>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</si>
  <si>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</si>
  <si>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</si>
  <si>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</si>
  <si>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</si>
  <si>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</si>
  <si>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</si>
  <si>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</si>
  <si>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</si>
  <si>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</si>
  <si>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</si>
  <si>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</si>
  <si>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</si>
  <si>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</si>
  <si>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</si>
  <si>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</si>
  <si>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</si>
  <si>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</si>
  <si>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</si>
  <si>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</si>
  <si>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</si>
  <si>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</si>
  <si>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</si>
  <si>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</si>
  <si>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</si>
  <si>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</si>
  <si>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</si>
  <si>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</si>
  <si>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</si>
  <si>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</si>
  <si>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</si>
  <si>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</si>
  <si>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</si>
  <si>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</si>
  <si>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</si>
  <si>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</si>
  <si>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</si>
  <si>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</si>
  <si>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</si>
  <si>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</si>
  <si>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</si>
  <si>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</si>
  <si>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</si>
  <si>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</si>
  <si>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</si>
  <si>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</si>
  <si>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</si>
  <si>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</si>
  <si>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</si>
  <si>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</si>
  <si>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</si>
  <si>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</si>
  <si>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</si>
  <si>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</si>
  <si>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</si>
  <si>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</si>
  <si>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</si>
  <si>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</si>
  <si>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</si>
  <si>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</si>
  <si>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</si>
  <si>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</si>
  <si>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</si>
  <si>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</si>
  <si>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</si>
  <si>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</si>
  <si>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</si>
  <si>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</si>
  <si>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</si>
  <si>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</si>
  <si>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</si>
  <si>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</si>
  <si>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</si>
  <si>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</si>
  <si>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</si>
  <si>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</si>
  <si>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</si>
  <si>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</si>
  <si>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</si>
  <si>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</si>
  <si>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</si>
  <si>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</si>
  <si>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</si>
  <si>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</si>
  <si>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</si>
  <si>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</si>
  <si>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</si>
  <si>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</si>
  <si>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</si>
  <si>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</si>
  <si>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</si>
  <si>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</si>
  <si>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</si>
  <si>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</si>
  <si>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</si>
  <si>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</si>
  <si>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</si>
  <si>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</si>
  <si>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</si>
  <si>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</si>
  <si>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</si>
  <si>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</si>
  <si>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</si>
  <si>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</si>
  <si>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</si>
  <si>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</si>
  <si>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</si>
  <si>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</si>
  <si>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</si>
  <si>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</si>
  <si>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</si>
  <si>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</si>
  <si>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</si>
  <si>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</si>
  <si>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</si>
  <si>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</si>
  <si>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</si>
  <si>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</si>
  <si>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</si>
  <si>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</si>
  <si>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</si>
  <si>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</si>
  <si>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</si>
  <si>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</si>
  <si>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</si>
  <si>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</si>
  <si>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</si>
  <si>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</si>
  <si>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</si>
  <si>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</si>
  <si>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</si>
  <si>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</si>
  <si>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</si>
  <si>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</si>
  <si>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</si>
  <si>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</si>
  <si>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</si>
  <si>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</si>
  <si>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</si>
  <si>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</si>
  <si>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</si>
  <si>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</si>
  <si>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</si>
  <si>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</si>
  <si>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</si>
  <si>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</si>
  <si>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</si>
  <si>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</si>
  <si>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</si>
  <si>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</si>
  <si>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</si>
  <si>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</si>
  <si>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</si>
  <si>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</si>
  <si>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</si>
  <si>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</si>
  <si>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</si>
  <si>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</si>
  <si>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</si>
  <si>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</si>
  <si>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</si>
  <si>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</si>
  <si>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</si>
  <si>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</si>
  <si>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</si>
  <si>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</si>
  <si>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</si>
  <si>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</si>
  <si>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</si>
  <si>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</si>
  <si>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</si>
  <si>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</si>
  <si>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</si>
  <si>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</si>
  <si>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</si>
  <si>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</si>
  <si>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</si>
  <si>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</si>
  <si>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</si>
  <si>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</si>
  <si>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</si>
  <si>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</si>
  <si>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</si>
  <si>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</si>
  <si>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</si>
  <si>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</si>
  <si>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</si>
  <si>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</si>
  <si>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</si>
  <si>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</si>
  <si>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</si>
  <si>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</si>
  <si>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</si>
  <si>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</si>
  <si>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</si>
  <si>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</si>
  <si>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</si>
  <si>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</si>
  <si>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</si>
  <si>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</si>
  <si>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</si>
  <si>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</si>
  <si>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</si>
  <si>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</si>
  <si>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</si>
  <si>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</si>
  <si>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</si>
  <si>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</si>
  <si>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</si>
  <si>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</si>
  <si>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</si>
  <si>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</si>
  <si>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</si>
  <si>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</si>
  <si>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</si>
  <si>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</si>
  <si>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</si>
  <si>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</si>
  <si>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</si>
  <si>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</si>
  <si>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</si>
  <si>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</si>
  <si>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</si>
  <si>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</si>
  <si>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</si>
  <si>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</si>
  <si>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</si>
  <si>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</si>
  <si>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</si>
  <si>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</si>
  <si>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</si>
  <si>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</si>
  <si>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</si>
  <si>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</si>
  <si>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</si>
  <si>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</si>
  <si>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</si>
  <si>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</si>
  <si>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</si>
  <si>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</si>
  <si>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</si>
  <si>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</si>
  <si>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</si>
  <si>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</si>
  <si>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</si>
  <si>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</si>
  <si>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</si>
  <si>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</si>
  <si>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</si>
  <si>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</si>
  <si>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</si>
  <si>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</si>
  <si>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</si>
  <si>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</si>
  <si>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</si>
  <si>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</si>
  <si>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</si>
  <si>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</si>
  <si>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</si>
  <si>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</si>
  <si>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</si>
  <si>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</si>
  <si>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</si>
  <si>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</si>
  <si>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</si>
  <si>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</si>
  <si>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</si>
  <si>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</si>
  <si>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</si>
  <si>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</si>
  <si>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</si>
  <si>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</si>
  <si>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</si>
  <si>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</si>
  <si>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</si>
  <si>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</si>
  <si>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</si>
  <si>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</si>
  <si>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</si>
  <si>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</si>
  <si>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</si>
  <si>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</si>
  <si>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</si>
  <si>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</si>
  <si>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</si>
  <si>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</si>
  <si>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</si>
  <si>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</si>
  <si>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</si>
  <si>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</si>
  <si>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</si>
  <si>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</si>
  <si>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</si>
  <si>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</si>
  <si>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</si>
  <si>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</si>
  <si>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</si>
  <si>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</si>
  <si>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</si>
  <si>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</si>
  <si>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</si>
  <si>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</si>
  <si>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</si>
  <si>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</si>
  <si>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</si>
  <si>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</si>
  <si>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</si>
  <si>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</si>
  <si>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</si>
  <si>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</si>
  <si>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</si>
  <si>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</si>
  <si>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</si>
  <si>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</si>
  <si>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</si>
  <si>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</si>
  <si>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</si>
  <si>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</si>
  <si>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</si>
  <si>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</si>
  <si>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</si>
  <si>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</si>
  <si>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</si>
  <si>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</si>
  <si>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</si>
  <si>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</si>
  <si>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</si>
  <si>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</si>
  <si>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</si>
  <si>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</si>
  <si>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</si>
  <si>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</si>
  <si>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</si>
  <si>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</si>
  <si>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</si>
  <si>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</si>
  <si>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</si>
  <si>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</si>
  <si>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</si>
  <si>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</si>
  <si>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</si>
  <si>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</si>
  <si>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</si>
  <si>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</si>
  <si>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</si>
  <si>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</si>
  <si>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</si>
  <si>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</si>
  <si>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</si>
  <si>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</si>
  <si>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</si>
  <si>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</si>
  <si>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</si>
  <si>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</si>
  <si>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</si>
  <si>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</si>
  <si>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</si>
  <si>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</si>
  <si>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</si>
  <si>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</si>
  <si>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</si>
  <si>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</si>
  <si>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</si>
  <si>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</si>
  <si>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</si>
  <si>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</si>
  <si>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</si>
  <si>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</si>
  <si>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</si>
  <si>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</si>
  <si>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</si>
  <si>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</si>
  <si>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</si>
  <si>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</si>
  <si>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</si>
  <si>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</si>
  <si>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</si>
  <si>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</si>
  <si>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</si>
  <si>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</si>
  <si>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</si>
  <si>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</si>
  <si>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</si>
  <si>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</si>
  <si>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</si>
  <si>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</si>
  <si>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</si>
  <si>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</si>
  <si>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</si>
  <si>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</si>
  <si>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</si>
  <si>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</si>
  <si>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</si>
  <si>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</si>
  <si>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</si>
  <si>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</si>
  <si>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</si>
  <si>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</si>
  <si>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</si>
  <si>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</si>
  <si>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</si>
  <si>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</si>
  <si>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</si>
  <si>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</si>
  <si>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</si>
  <si>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</si>
  <si>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</si>
  <si>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</si>
  <si>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</si>
  <si>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</si>
  <si>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</si>
  <si>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</si>
  <si>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</si>
  <si>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</si>
  <si>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</si>
  <si>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</si>
  <si>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</si>
  <si>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</si>
  <si>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</si>
  <si>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</si>
  <si>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</si>
  <si>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</si>
  <si>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</si>
  <si>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</si>
  <si>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</si>
  <si>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</si>
  <si>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</si>
  <si>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</si>
  <si>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</si>
  <si>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</si>
  <si>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</si>
  <si>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</si>
  <si>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</si>
  <si>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</si>
  <si>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</si>
  <si>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</si>
  <si>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</si>
  <si>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</si>
  <si>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</si>
  <si>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</si>
  <si>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</si>
  <si>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</si>
  <si>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</si>
  <si>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</si>
  <si>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</si>
  <si>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</si>
  <si>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</si>
  <si>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</si>
  <si>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</si>
  <si>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</si>
  <si>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</si>
  <si>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</si>
  <si>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</si>
  <si>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</si>
  <si>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</si>
  <si>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</si>
  <si>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</si>
  <si>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</si>
  <si>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</si>
  <si>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</si>
  <si>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</si>
  <si>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</si>
  <si>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</si>
  <si>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</si>
  <si>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</si>
  <si>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</si>
  <si>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</si>
  <si>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</si>
  <si>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</si>
  <si>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</si>
  <si>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</si>
  <si>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</si>
  <si>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</si>
  <si>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</si>
  <si>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</si>
  <si>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</si>
  <si>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</si>
  <si>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</si>
  <si>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</si>
  <si>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</si>
  <si>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</si>
  <si>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</si>
  <si>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</si>
  <si>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</si>
  <si>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</si>
  <si>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</si>
  <si>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</si>
  <si>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</si>
  <si>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</si>
  <si>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</si>
  <si>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</si>
  <si>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</si>
  <si>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</si>
  <si>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</si>
  <si>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</si>
  <si>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</si>
  <si>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</si>
  <si>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</si>
  <si>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</si>
  <si>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</si>
  <si>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</si>
  <si>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</si>
  <si>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</si>
  <si>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</si>
  <si>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</si>
  <si>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</si>
  <si>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</si>
  <si>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</si>
  <si>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</si>
  <si>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</si>
  <si>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</si>
  <si>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</si>
  <si>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</si>
  <si>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</si>
  <si>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</si>
  <si>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</si>
  <si>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</si>
  <si>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</si>
  <si>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</si>
  <si>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</si>
  <si>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</si>
  <si>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</si>
  <si>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</si>
  <si>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</si>
  <si>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</si>
  <si>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</si>
  <si>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</si>
  <si>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</si>
  <si>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</si>
  <si>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</si>
  <si>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</si>
  <si>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</si>
  <si>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</si>
  <si>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</si>
  <si>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</si>
  <si>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</si>
  <si>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</si>
  <si>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</si>
  <si>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</si>
  <si>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</si>
  <si>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</si>
  <si>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</si>
  <si>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</si>
  <si>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</si>
  <si>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</si>
  <si>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</si>
  <si>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</si>
  <si>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</si>
  <si>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</si>
  <si>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</si>
  <si>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</si>
  <si>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</si>
  <si>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</si>
  <si>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</si>
  <si>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</si>
  <si>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</si>
  <si>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</si>
  <si>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</si>
  <si>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</si>
  <si>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</si>
  <si>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王鹏</t>
  </si>
  <si>
    <t>郑燚</t>
  </si>
  <si>
    <t>科雅（北京）新型装饰材料有限公司</t>
    <phoneticPr fontId="6" type="noConversion"/>
  </si>
  <si>
    <t>新韩银行北京顺义支行</t>
    <phoneticPr fontId="6" type="noConversion"/>
  </si>
  <si>
    <t>抵押</t>
  </si>
  <si>
    <t>抵押价格</t>
  </si>
  <si>
    <t>已注销</t>
  </si>
  <si>
    <t>顺义区北小营镇北小营村东</t>
    <phoneticPr fontId="6" type="noConversion"/>
  </si>
  <si>
    <t>企业</t>
  </si>
  <si>
    <t>工业工地</t>
    <phoneticPr fontId="6" type="noConversion"/>
  </si>
  <si>
    <t>一致</t>
  </si>
  <si>
    <t>出让</t>
  </si>
  <si>
    <t>《国有土地使用证》</t>
  </si>
  <si>
    <t>否</t>
  </si>
  <si>
    <t>工业项目</t>
  </si>
  <si>
    <t>无</t>
  </si>
  <si>
    <t>场地平整</t>
  </si>
  <si>
    <t>Ⅸ-顺1</t>
  </si>
  <si>
    <t>通路</t>
  </si>
  <si>
    <t>通电</t>
  </si>
  <si>
    <t>通上水</t>
  </si>
  <si>
    <t>通下水</t>
  </si>
  <si>
    <t>通讯</t>
  </si>
  <si>
    <t>1#</t>
  </si>
  <si>
    <t>2#</t>
  </si>
  <si>
    <t>3#</t>
  </si>
  <si>
    <t>4#</t>
  </si>
  <si>
    <t>地上</t>
  </si>
  <si>
    <t>标准厂房</t>
  </si>
  <si>
    <t>戊类库房</t>
  </si>
  <si>
    <t>工业</t>
    <phoneticPr fontId="7" type="noConversion"/>
  </si>
  <si>
    <t>不动产收益法</t>
  </si>
  <si>
    <t>比较法-工业</t>
  </si>
  <si>
    <t>剩余法-待开发</t>
  </si>
  <si>
    <t>自定义</t>
  </si>
  <si>
    <t>按租金收入计税</t>
  </si>
  <si>
    <t>钢混</t>
  </si>
  <si>
    <t>土地（套用方法）</t>
  </si>
  <si>
    <t>工业</t>
    <phoneticPr fontId="28" type="noConversion"/>
  </si>
  <si>
    <t>高速路</t>
  </si>
  <si>
    <t>快速路</t>
  </si>
  <si>
    <t>主干道</t>
  </si>
  <si>
    <t>次干道</t>
  </si>
  <si>
    <t>支路</t>
  </si>
  <si>
    <t>1级</t>
  </si>
  <si>
    <t>2级</t>
  </si>
  <si>
    <t>3级</t>
  </si>
  <si>
    <t>4级</t>
  </si>
  <si>
    <t>5级</t>
  </si>
  <si>
    <t>6级</t>
  </si>
  <si>
    <t>规则</t>
  </si>
  <si>
    <t>较规则</t>
  </si>
  <si>
    <t>较不规则</t>
  </si>
  <si>
    <t>不规则</t>
  </si>
  <si>
    <t>一般</t>
  </si>
  <si>
    <t>一般</t>
    <phoneticPr fontId="28" type="noConversion"/>
  </si>
  <si>
    <t>七通</t>
  </si>
  <si>
    <t>六通</t>
  </si>
  <si>
    <t>五通</t>
  </si>
  <si>
    <t>四通</t>
  </si>
  <si>
    <t>三通</t>
  </si>
  <si>
    <t>好</t>
  </si>
  <si>
    <t>较好</t>
  </si>
  <si>
    <t>较差</t>
  </si>
  <si>
    <t>差</t>
  </si>
  <si>
    <t>单面临街</t>
  </si>
  <si>
    <t>正常</t>
  </si>
  <si>
    <r>
      <t>6</t>
    </r>
    <r>
      <rPr>
        <sz val="11"/>
        <color indexed="8"/>
        <rFont val="宋体"/>
        <family val="3"/>
        <charset val="134"/>
      </rPr>
      <t>级</t>
    </r>
    <phoneticPr fontId="21" type="noConversion"/>
  </si>
  <si>
    <t>2015-2</t>
    <phoneticPr fontId="28" type="noConversion"/>
  </si>
  <si>
    <t>2015-1</t>
    <phoneticPr fontId="28" type="noConversion"/>
  </si>
  <si>
    <t>2014-4</t>
    <phoneticPr fontId="28" type="noConversion"/>
  </si>
  <si>
    <t>项目全部</t>
  </si>
  <si>
    <t>土地</t>
  </si>
  <si>
    <t>超三年</t>
    <phoneticPr fontId="28" type="noConversion"/>
  </si>
  <si>
    <t>同一抵押权人同一抵押物续贷</t>
    <phoneticPr fontId="9" type="noConversion"/>
  </si>
  <si>
    <t>顺义区金马工业区D1-01-1地块</t>
    <phoneticPr fontId="3" type="noConversion"/>
  </si>
  <si>
    <t>单位面积地价</t>
    <phoneticPr fontId="28" type="noConversion"/>
  </si>
  <si>
    <t>腾仁路</t>
    <phoneticPr fontId="28" type="noConversion"/>
  </si>
  <si>
    <t>顺义区高丽营镇中关村临空国际5-3-2地块工业项目</t>
    <phoneticPr fontId="3" type="noConversion"/>
  </si>
  <si>
    <t>顺义新城第14街区SY00-0014-6001M1一类工业用地项目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</si>
</sst>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87" fontId="11" fillId="0" borderId="2" xfId="0" applyNumberFormat="1" applyFont="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184" fontId="71" fillId="7" borderId="33" xfId="0" applyNumberFormat="1" applyFont="1" applyFill="1" applyBorder="1" applyAlignment="1" applyProtection="1">
      <alignment horizontal="center" vertical="center" wrapText="1"/>
      <protection locked="0"/>
    </xf>
    <xf numFmtId="9" fontId="144" fillId="5" borderId="0" xfId="0" applyNumberFormat="1" applyFont="1" applyFill="1" applyAlignment="1" applyProtection="1">
      <alignment horizontal="center" vertical="center"/>
      <protection locked="0"/>
    </xf>
    <xf numFmtId="0" fontId="82" fillId="6" borderId="37" xfId="0" applyFont="1" applyFill="1" applyBorder="1" applyProtection="1">
      <alignment vertical="center"/>
      <protection locked="0"/>
    </xf>
    <xf numFmtId="49" fontId="252" fillId="2" borderId="7" xfId="0" applyNumberFormat="1" applyFont="1" applyFill="1" applyBorder="1" applyAlignment="1" applyProtection="1">
      <alignment vertical="center"/>
      <protection locked="0"/>
    </xf>
    <xf numFmtId="49" fontId="144" fillId="0" borderId="24" xfId="0" applyNumberFormat="1" applyFont="1" applyFill="1" applyBorder="1" applyAlignment="1" applyProtection="1">
      <alignment horizontal="center" vertical="center" wrapText="1"/>
      <protection locked="0"/>
    </xf>
    <xf numFmtId="0" fontId="157" fillId="17"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2657</v>
      </c>
      <c r="B1" s="2915" t="s">
        <v>2754</v>
      </c>
    </row>
    <row r="2" spans="1:55" s="2919" customFormat="1" ht="15" thickTop="1">
      <c r="A2" s="2917" t="s">
        <v>2661</v>
      </c>
      <c r="B2" s="2918" t="str">
        <f>'预评函-封皮'!B37</f>
        <v>北京市顺义区北小营镇北小营村东出让国有建设用地使用权抵押价格预评估</v>
      </c>
      <c r="AX2" s="2920"/>
      <c r="AZ2" s="2920"/>
      <c r="BA2" s="2921"/>
      <c r="BC2" s="2921"/>
    </row>
    <row r="3" spans="1:55" s="2922" customFormat="1">
      <c r="A3" s="2901" t="s">
        <v>2662</v>
      </c>
      <c r="B3" s="2904" t="str">
        <f>'预评函-封皮'!B40</f>
        <v>科雅（北京）新型装饰材料有限公司</v>
      </c>
    </row>
    <row r="4" spans="1:55" s="2903" customFormat="1">
      <c r="A4" s="2901" t="s">
        <v>2663</v>
      </c>
      <c r="B4" s="2902" t="str">
        <f>'预评函-封皮'!B46</f>
        <v>王鹏、郑燚</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2664</v>
      </c>
      <c r="B5" s="2924" t="str">
        <f>'预评函-封皮'!B49</f>
        <v>康正预评字号</v>
      </c>
    </row>
    <row r="6" spans="1:55" s="2925" customFormat="1" ht="15" thickTop="1">
      <c r="A6" s="2917" t="s">
        <v>2706</v>
      </c>
      <c r="B6" s="2918" t="str">
        <f>'预评函-1'!A4</f>
        <v>受贵公司委托，我公司对北京市顺义区北小营镇北小营村东出让国有建设用地使用权抵押价格进行了预评估。</v>
      </c>
      <c r="AM6" s="2926"/>
    </row>
    <row r="7" spans="1:55" s="2900" customFormat="1">
      <c r="A7" s="2901" t="s">
        <v>2658</v>
      </c>
      <c r="B7" s="2902" t="str">
        <f>'预评函-1'!A6</f>
        <v>估价对象为科雅（北京）新型装饰材料有限公司使用的、位于北京市顺义区北小营镇北小营村东出让国有建设用地使用权。根据《国有土地使用证》[]，估价对象（分摊）出让国有建设用地使用权面积为28344.22平方米。根据《建设工程规划许可证》[]、《出让合同》[]，估价对象规划建筑面积为13432.367平方米。</v>
      </c>
    </row>
    <row r="8" spans="1:55" s="2900" customFormat="1">
      <c r="A8" s="2901" t="s">
        <v>2659</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2709</v>
      </c>
      <c r="B9" s="2902" t="str">
        <f>'预评函-1'!A9</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2660</v>
      </c>
      <c r="B10" s="2902" t="str">
        <f>'预评函-1'!A11</f>
        <v>2018年5月30日（评估专业人员勘察现场之日）</v>
      </c>
    </row>
    <row r="11" spans="1:55" s="2900" customFormat="1">
      <c r="A11" s="2901" t="s">
        <v>2666</v>
      </c>
      <c r="B11" s="2902" t="str">
        <f>'预评函-1'!A14</f>
        <v>根据《国有土地使用证》[]，本次评估估价对象证载（地类）用途为工业工地。</v>
      </c>
    </row>
    <row r="12" spans="1:55" s="2900" customFormat="1">
      <c r="A12" s="2901" t="s">
        <v>2667</v>
      </c>
      <c r="B12" s="2902" t="str">
        <f>'预评函-1'!A15</f>
        <v>本次评估设定用途即为证载用途工业工地。</v>
      </c>
    </row>
    <row r="13" spans="1:55" s="2900" customFormat="1">
      <c r="A13" s="2901" t="s">
        <v>2668</v>
      </c>
      <c r="B13" s="2902" t="str">
        <f>'预评函-1'!A17</f>
        <v>根据委托估价方介绍及评估专业人员现场勘查，本次评估估价对象实际土地开发程度为红线外市政基础设施达“五通”（即通路、通电、通上水、通下水、通讯）、宗地红线内场地平整。</v>
      </c>
    </row>
    <row r="14" spans="1:55" s="2900" customFormat="1">
      <c r="A14" s="2901" t="s">
        <v>2669</v>
      </c>
      <c r="B14" s="2902" t="str">
        <f>'预评函-1'!A18</f>
        <v>本次评估设定土地开发程度为红线外市政基础设施达“五通”、宗地红线内场地平整。</v>
      </c>
    </row>
    <row r="15" spans="1:55" s="2900" customFormat="1">
      <c r="A15" s="2901" t="s">
        <v>2665</v>
      </c>
      <c r="B15" s="2902" t="str">
        <f>'预评函-1'!A20</f>
        <v>根据《国有土地使用证》[]，估价对象（分摊）出让国有建设用地使用权面积为28344.22平方米。根据《建设工程规划许可证》[]、《出让合同》[]，估价对象规划建筑面积为13432.367平方米。</v>
      </c>
    </row>
    <row r="16" spans="1:55" s="2900" customFormat="1">
      <c r="A16" s="2901" t="s">
        <v>2670</v>
      </c>
      <c r="B16" s="2902" t="str">
        <f>'预评函-1'!A22</f>
        <v>本次估价对象为出让国有建设用地使用权，《国有土地使用证》[]证载土地终止日期为工业2064年1月6日。截至估价期日，出让国有建设用地使用权剩余土地使用年限为。</v>
      </c>
    </row>
    <row r="17" spans="1:48" s="2900" customFormat="1">
      <c r="A17" s="2901" t="s">
        <v>2671</v>
      </c>
      <c r="B17" s="2902" t="str">
        <f>'预评函-1'!A23</f>
        <v>本次评估设定估价对象剩余土地使用年限为。</v>
      </c>
    </row>
    <row r="18" spans="1:48" s="2900" customFormat="1">
      <c r="A18" s="2901" t="s">
        <v>2672</v>
      </c>
      <c r="B18" s="2902" t="str">
        <f>'预评函-1'!A25</f>
        <v>本次估价的“出让国有建设用地使用权价格”是指在估价对象土地所有权为国家所有，使用权性质为出让，在公开市场条件下、于估价期日2018年5月30日，在规划利用条件下、设定土地开发程度为红线外“五通”、宗地内场地，设定用途为工业工地，剩余土地使用年限为的出让国有建设用地使用权价格。</v>
      </c>
    </row>
    <row r="19" spans="1:48" s="2900" customFormat="1">
      <c r="A19" s="2901" t="s">
        <v>2673</v>
      </c>
      <c r="B19" s="2902"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0" customFormat="1">
      <c r="A20" s="2901" t="s">
        <v>2674</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2675</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2676</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2677</v>
      </c>
      <c r="B23" s="2902" t="str">
        <f>'预评函-2'!K2</f>
        <v>估价期日：2018年5月30日</v>
      </c>
    </row>
    <row r="24" spans="1:48">
      <c r="A24" s="2901" t="s">
        <v>2678</v>
      </c>
      <c r="B24" s="2902" t="str">
        <f>'预评函-2'!R2</f>
        <v>估价期日的国有建设用地使用权性质：出让</v>
      </c>
    </row>
    <row r="25" spans="1:48">
      <c r="A25" s="2901" t="s">
        <v>2734</v>
      </c>
      <c r="B25" s="2902" t="str">
        <f>'预评函-2'!A3</f>
        <v>估价期日土地使用者</v>
      </c>
    </row>
    <row r="26" spans="1:48">
      <c r="A26" s="2901" t="s">
        <v>2710</v>
      </c>
      <c r="B26" s="2902" t="str">
        <f>'预评函-2'!A5</f>
        <v>中信开发</v>
      </c>
    </row>
    <row r="27" spans="1:48">
      <c r="A27" s="2901" t="s">
        <v>2735</v>
      </c>
      <c r="B27" s="2902" t="str">
        <f>'预评函-2'!B3</f>
        <v>宗地编号/不动产单元号</v>
      </c>
    </row>
    <row r="28" spans="1:48">
      <c r="A28" s="2901" t="s">
        <v>2711</v>
      </c>
      <c r="B28" s="2902" t="str">
        <f>'预评函-2'!B5</f>
        <v>11111111111</v>
      </c>
    </row>
    <row r="29" spans="1:48">
      <c r="A29" s="2901" t="s">
        <v>2737</v>
      </c>
      <c r="B29" s="2902">
        <f>'预评函-2'!C5</f>
        <v>22</v>
      </c>
    </row>
    <row r="30" spans="1:48">
      <c r="A30" s="2901" t="s">
        <v>2738</v>
      </c>
      <c r="B30" s="2902" t="str">
        <f>'预评函-2'!D3</f>
        <v>土地使用证编号/不动产权证书编号</v>
      </c>
    </row>
    <row r="31" spans="1:48">
      <c r="A31" s="2901" t="s">
        <v>2712</v>
      </c>
      <c r="B31" s="2902" t="str">
        <f>'预评函-2'!D5</f>
        <v>京国土字第111号</v>
      </c>
    </row>
    <row r="32" spans="1:48">
      <c r="A32" s="2901" t="s">
        <v>2713</v>
      </c>
      <c r="B32" s="2902" t="str">
        <f>'预评函-2'!E5</f>
        <v>工业工地</v>
      </c>
      <c r="AV32" s="2906"/>
    </row>
    <row r="33" spans="1:2">
      <c r="A33" s="2901" t="s">
        <v>2714</v>
      </c>
      <c r="B33" s="2902">
        <f>'预评函-2'!F5</f>
        <v>258</v>
      </c>
    </row>
    <row r="34" spans="1:2">
      <c r="A34" s="2901" t="s">
        <v>2715</v>
      </c>
      <c r="B34" s="2902" t="str">
        <f>'预评函-2'!G5</f>
        <v>工业工地</v>
      </c>
    </row>
    <row r="35" spans="1:2">
      <c r="A35" s="2901" t="s">
        <v>2716</v>
      </c>
      <c r="B35" s="2902">
        <f>'预评函-2'!H5</f>
        <v>1.5</v>
      </c>
    </row>
    <row r="36" spans="1:2">
      <c r="A36" s="2901" t="s">
        <v>2717</v>
      </c>
      <c r="B36" s="2902">
        <f>'预评函-2'!I5</f>
        <v>1.5</v>
      </c>
    </row>
    <row r="37" spans="1:2">
      <c r="A37" s="2901" t="s">
        <v>2718</v>
      </c>
      <c r="B37" s="2902">
        <f>'预评函-2'!J5</f>
        <v>1.5</v>
      </c>
    </row>
    <row r="38" spans="1:2">
      <c r="A38" s="2901" t="s">
        <v>2719</v>
      </c>
      <c r="B38" s="2902" t="str">
        <f>'预评函-2'!K5</f>
        <v>红线外五通、宗地红线内场地平整</v>
      </c>
    </row>
    <row r="39" spans="1:2">
      <c r="A39" s="2901" t="s">
        <v>2720</v>
      </c>
      <c r="B39" s="2902" t="str">
        <f>'预评函-2'!L5</f>
        <v>红线外五通、宗地红线内场地</v>
      </c>
    </row>
    <row r="40" spans="1:2">
      <c r="A40" s="2901" t="s">
        <v>2739</v>
      </c>
      <c r="B40" s="2902" t="str">
        <f>'预评函-2'!M3</f>
        <v>（剩余）土地使用年限/年</v>
      </c>
    </row>
    <row r="41" spans="1:2">
      <c r="A41" s="2901" t="s">
        <v>2721</v>
      </c>
      <c r="B41" s="2902">
        <f>'预评函-2'!M5</f>
        <v>0</v>
      </c>
    </row>
    <row r="42" spans="1:2">
      <c r="A42" s="2901" t="s">
        <v>2740</v>
      </c>
      <c r="B42" s="2902" t="str">
        <f>'预评函-2'!N3</f>
        <v>（分摊）出让国有建设用地使用权面积/㎡</v>
      </c>
    </row>
    <row r="43" spans="1:2">
      <c r="A43" s="2901" t="s">
        <v>2722</v>
      </c>
      <c r="B43" s="2902">
        <f>'预评函-2'!N5</f>
        <v>28344.22</v>
      </c>
    </row>
    <row r="44" spans="1:2">
      <c r="A44" s="2901" t="s">
        <v>2741</v>
      </c>
      <c r="B44" s="2902" t="str">
        <f>'预评函-2'!O3</f>
        <v>规划建筑面积/㎡</v>
      </c>
    </row>
    <row r="45" spans="1:2">
      <c r="A45" s="2901" t="s">
        <v>2723</v>
      </c>
      <c r="B45" s="2902">
        <f>'预评函-2'!O5</f>
        <v>13432.367</v>
      </c>
    </row>
    <row r="46" spans="1:2">
      <c r="A46" s="2901" t="s">
        <v>2724</v>
      </c>
      <c r="B46" s="2902">
        <f ca="1">'预评函-2'!P5</f>
        <v>1091</v>
      </c>
    </row>
    <row r="47" spans="1:2">
      <c r="A47" s="2901" t="s">
        <v>2725</v>
      </c>
      <c r="B47" s="2902">
        <f ca="1">'预评函-2'!Q5</f>
        <v>2303</v>
      </c>
    </row>
    <row r="48" spans="1:2">
      <c r="A48" s="2901" t="s">
        <v>2726</v>
      </c>
      <c r="B48" s="2902">
        <f ca="1">'预评函-2'!R5</f>
        <v>3093</v>
      </c>
    </row>
    <row r="49" spans="1:2">
      <c r="A49" s="2901" t="s">
        <v>2742</v>
      </c>
      <c r="B49" s="2902" t="str">
        <f>'预评函-2'!A6</f>
        <v>抵押价格</v>
      </c>
    </row>
    <row r="50" spans="1:2">
      <c r="A50" s="2901" t="s">
        <v>2727</v>
      </c>
      <c r="B50" s="2902" t="str">
        <f>'预评函-2'!R6</f>
        <v>——</v>
      </c>
    </row>
    <row r="51" spans="1:2">
      <c r="A51" s="2901" t="s">
        <v>2743</v>
      </c>
      <c r="B51" s="2902" t="str">
        <f>'预评函-2'!A7</f>
        <v>——</v>
      </c>
    </row>
    <row r="52" spans="1:2">
      <c r="A52" s="2901" t="s">
        <v>2728</v>
      </c>
      <c r="B52" s="2902">
        <f ca="1">'预评函-2'!R7</f>
        <v>3093</v>
      </c>
    </row>
    <row r="53" spans="1:2">
      <c r="A53" s="2901" t="s">
        <v>2744</v>
      </c>
      <c r="B53" s="2902">
        <f>'预评函-2'!A8</f>
        <v>0</v>
      </c>
    </row>
    <row r="54" spans="1:2" s="2916" customFormat="1" ht="15" thickBot="1">
      <c r="A54" s="2923" t="s">
        <v>2729</v>
      </c>
      <c r="B54" s="2924" t="str">
        <f>'预评函-2'!R8</f>
        <v>——</v>
      </c>
    </row>
    <row r="55" spans="1:2" ht="15" thickTop="1">
      <c r="A55" s="2912" t="s">
        <v>2679</v>
      </c>
      <c r="B55" s="2913" t="str">
        <f>'预评函-3'!A2</f>
        <v>1.权利限制：根据估价对象《国有土地使用证》复印件、，截至估价期日，估价对象已设定抵押。未设定租赁等其他他项权利。</v>
      </c>
    </row>
    <row r="56" spans="1:2">
      <c r="A56" s="2901" t="s">
        <v>2680</v>
      </c>
      <c r="B56" s="2902" t="str">
        <f>'预评函-3'!A3</f>
        <v>2.基础设施条件：估价对象实际开发程度为红线外五通、宗地红线内场地平整；本次评估设定开发程度为红线外五通、宗地红线内场地。</v>
      </c>
    </row>
    <row r="57" spans="1:2">
      <c r="A57" s="2901" t="s">
        <v>2681</v>
      </c>
      <c r="B57" s="2902" t="str">
        <f>'预评函-3'!A4</f>
        <v>3.估价规划限制条件：详见《建设工程规划许可证》[]、《出让合同》[]。</v>
      </c>
    </row>
    <row r="58" spans="1:2" s="2916" customFormat="1" ht="15" thickBot="1">
      <c r="A58" s="2923" t="s">
        <v>2730</v>
      </c>
      <c r="B58" s="2924" t="str">
        <f>'预评函-3'!A5</f>
        <v>4.影响价格的其他限定条件：无。</v>
      </c>
    </row>
    <row r="59" spans="1:2" ht="15" thickTop="1">
      <c r="A59" s="2912" t="s">
        <v>2682</v>
      </c>
      <c r="B59" s="2913" t="str">
        <f>'预评函-3'!A8</f>
        <v>2.本《评估意见函》仅供金融机构进行内部审核使用，不做其他目的之用。</v>
      </c>
    </row>
    <row r="60" spans="1:2">
      <c r="A60" s="2901" t="s">
        <v>2683</v>
      </c>
      <c r="B60" s="2902" t="str">
        <f>'预评函-3'!A9</f>
        <v>3.抵押双方在办理抵押登记手续时，应使用本公司出具的正式《土地估价报告》，特提请报告使用者注意。</v>
      </c>
    </row>
    <row r="61" spans="1:2">
      <c r="A61" s="2901" t="s">
        <v>2685</v>
      </c>
      <c r="B61" s="2902" t="str">
        <f>'预评函-3'!A10</f>
        <v>4.估价师所知悉的法定优先受偿款情况为：</v>
      </c>
    </row>
    <row r="62" spans="1:2">
      <c r="A62" s="2901" t="s">
        <v>2684</v>
      </c>
      <c r="B62" s="2902" t="str">
        <f>'预评函-3'!A11</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工业项目）作为法定优先受偿款予以扣减。</v>
      </c>
    </row>
    <row r="63" spans="1:2">
      <c r="A63" s="2901" t="s">
        <v>2686</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2687</v>
      </c>
      <c r="B64" s="2907" t="str">
        <f>'预评函-3'!A13</f>
        <v>（3）。</v>
      </c>
    </row>
    <row r="65" spans="1:2">
      <c r="A65" s="2901" t="s">
        <v>2688</v>
      </c>
      <c r="B65" s="2908" t="str">
        <f>'预评函-3'!A14</f>
        <v>综上，本次评估不存在估价师知悉的法定优先受偿款</v>
      </c>
    </row>
    <row r="66" spans="1:2">
      <c r="A66" s="2901" t="s">
        <v>2689</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2690</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2693</v>
      </c>
      <c r="B68" s="2927">
        <f>'预评函-3'!D30</f>
        <v>42558</v>
      </c>
    </row>
    <row r="69" spans="1:2" ht="15" thickTop="1">
      <c r="A69" s="2912" t="s">
        <v>2691</v>
      </c>
      <c r="B69" s="2913" t="str">
        <f>'预评函-3'!A20</f>
        <v>王鹏</v>
      </c>
    </row>
    <row r="70" spans="1:2">
      <c r="A70" s="2901" t="s">
        <v>2691</v>
      </c>
      <c r="B70" s="2908">
        <f ca="1">'预评函-3'!B20</f>
        <v>2002110030</v>
      </c>
    </row>
    <row r="71" spans="1:2">
      <c r="A71" s="2901" t="s">
        <v>2692</v>
      </c>
      <c r="B71" s="2902" t="str">
        <f>'预评函-3'!A21</f>
        <v>郑燚</v>
      </c>
    </row>
    <row r="72" spans="1:2" s="2916" customFormat="1" ht="15" thickBot="1">
      <c r="A72" s="2923" t="s">
        <v>2692</v>
      </c>
      <c r="B72" s="2929">
        <f>'预评函-3'!B21</f>
        <v>2014110011</v>
      </c>
    </row>
    <row r="73" spans="1:2" ht="15" thickTop="1">
      <c r="A73" s="2912" t="s">
        <v>2751</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2752</v>
      </c>
      <c r="B74" s="2909" t="str">
        <f>'预评函-1 (储备)'!A18</f>
        <v>由于本次评估估价目的是评估储备国有建设用地使用权的“抵押价格”，因此本次评估设定土地开发程度为红线外市政基础设施达“五通”、宗地红线内场地平整。</v>
      </c>
    </row>
    <row r="75" spans="1:2" s="2916" customFormat="1" ht="15" thickBot="1">
      <c r="A75" s="2923" t="s">
        <v>2753</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2788</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 sqref="E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21" t="str">
        <f>IF(B10="北京市","北京市",C10)&amp;F10&amp;B16&amp;"国有建设用地使用权"&amp;B9&amp;"预评估"</f>
        <v>北京市顺义区北小营镇北小营村东出让国有建设用地使用权抵押价格预评估</v>
      </c>
      <c r="C1" s="3222"/>
      <c r="D1" s="3222"/>
      <c r="E1" s="3222"/>
      <c r="F1" s="3222"/>
      <c r="G1" s="3222"/>
      <c r="H1" s="3222"/>
      <c r="I1" s="3223"/>
      <c r="J1" s="1692"/>
      <c r="K1" s="2478" t="str">
        <f>IF(B10="北京市","北京市",C10)&amp;F10&amp;B16&amp;"国有建设用地使用权"&amp;B9</f>
        <v>北京市顺义区北小营镇北小营村东出让国有建设用地使用权抵押价格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北京市顺义区北小营镇北小营村东出让国有建设用地使用权</v>
      </c>
      <c r="L2" s="1721"/>
      <c r="M2" s="1721"/>
      <c r="N2" s="1692"/>
      <c r="O2" s="1693"/>
      <c r="P2" s="1692"/>
      <c r="Q2" s="1692"/>
      <c r="R2" s="1692"/>
      <c r="S2" s="1692"/>
      <c r="T2" s="1692"/>
      <c r="U2" s="1692"/>
    </row>
    <row r="3" spans="1:21">
      <c r="A3" s="1659" t="s">
        <v>1942</v>
      </c>
      <c r="B3" s="1660">
        <v>43250</v>
      </c>
      <c r="C3" s="1661" t="s">
        <v>1996</v>
      </c>
      <c r="D3" s="1660">
        <v>43250</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2975</v>
      </c>
      <c r="C4" s="1844">
        <f ca="1">SUMIF(土地估价师,B4,估价师及机构信息!E3:E24)</f>
        <v>2002110030</v>
      </c>
      <c r="D4" s="1841" t="s">
        <v>2976</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王鹏、郑燚</v>
      </c>
      <c r="L4" s="1721"/>
      <c r="M4" s="1721"/>
      <c r="N4" s="1692"/>
      <c r="O4" s="1693"/>
      <c r="P4" s="1692"/>
      <c r="Q4" s="1692"/>
      <c r="R4" s="1692"/>
      <c r="S4" s="1692"/>
      <c r="T4" s="1692"/>
      <c r="U4" s="1692"/>
    </row>
    <row r="5" spans="1:21" ht="15" thickTop="1">
      <c r="A5" s="1663" t="s">
        <v>1944</v>
      </c>
      <c r="B5" s="1787" t="s">
        <v>2977</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t="s">
        <v>2978</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2708</v>
      </c>
      <c r="B7" s="1787" t="s">
        <v>2977</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2979</v>
      </c>
      <c r="C8" s="1669"/>
      <c r="D8" s="3227" t="s">
        <v>1947</v>
      </c>
      <c r="E8" s="1842" t="s">
        <v>2981</v>
      </c>
      <c r="F8" s="1670"/>
      <c r="G8" s="1658"/>
      <c r="H8" s="1658"/>
      <c r="I8" s="1705"/>
      <c r="J8" s="1692"/>
      <c r="K8" s="1772"/>
      <c r="L8" s="1721"/>
      <c r="M8" s="1721"/>
      <c r="N8" s="1692"/>
      <c r="O8" s="1693"/>
      <c r="P8" s="1692"/>
      <c r="Q8" s="1692"/>
      <c r="R8" s="1692"/>
      <c r="S8" s="1692"/>
      <c r="T8" s="1692"/>
      <c r="U8" s="1692"/>
    </row>
    <row r="9" spans="1:21" ht="15" thickBot="1">
      <c r="A9" s="1671" t="s">
        <v>1946</v>
      </c>
      <c r="B9" s="1672" t="s">
        <v>2980</v>
      </c>
      <c r="C9" s="1673"/>
      <c r="D9" s="3228"/>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1948</v>
      </c>
      <c r="C10" s="1674"/>
      <c r="D10" s="1665"/>
      <c r="E10" s="1675" t="s">
        <v>1949</v>
      </c>
      <c r="F10" s="1676" t="s">
        <v>2982</v>
      </c>
      <c r="G10" s="1743"/>
      <c r="H10" s="1744"/>
      <c r="I10" s="1665"/>
      <c r="J10" s="1692"/>
      <c r="K10" s="1772"/>
      <c r="L10" s="1721"/>
      <c r="M10" s="1721"/>
      <c r="N10" s="1692"/>
      <c r="O10" s="1693"/>
      <c r="P10" s="1692"/>
      <c r="Q10" s="1692"/>
      <c r="R10" s="1692"/>
      <c r="S10" s="1692"/>
      <c r="T10" s="1692"/>
      <c r="U10" s="1692"/>
    </row>
    <row r="11" spans="1:21" ht="42.75">
      <c r="A11" s="1695" t="s">
        <v>2001</v>
      </c>
      <c r="B11" s="1696" t="s">
        <v>2983</v>
      </c>
      <c r="C11" s="1677" t="s">
        <v>2977</v>
      </c>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24" t="s">
        <v>2984</v>
      </c>
      <c r="C12" s="3225"/>
      <c r="D12" s="3226"/>
      <c r="E12" s="1697" t="s">
        <v>2062</v>
      </c>
      <c r="F12" s="3242" t="s">
        <v>2890</v>
      </c>
      <c r="G12" s="3243"/>
      <c r="H12" s="3243"/>
      <c r="I12" s="3244"/>
      <c r="J12" s="1692"/>
      <c r="K12" s="1772"/>
      <c r="L12" s="1721"/>
      <c r="M12" s="1721"/>
      <c r="N12" s="1692"/>
      <c r="O12" s="1693"/>
      <c r="P12" s="1692"/>
      <c r="Q12" s="1692"/>
      <c r="R12" s="1692"/>
      <c r="S12" s="1692"/>
      <c r="T12" s="1692"/>
      <c r="U12" s="1692"/>
    </row>
    <row r="13" spans="1:21">
      <c r="A13" s="1685" t="s">
        <v>2060</v>
      </c>
      <c r="B13" s="3224" t="s">
        <v>2984</v>
      </c>
      <c r="C13" s="3225"/>
      <c r="D13" s="3226"/>
      <c r="E13" s="1697" t="s">
        <v>2062</v>
      </c>
      <c r="F13" s="3242" t="s">
        <v>2891</v>
      </c>
      <c r="G13" s="3243"/>
      <c r="H13" s="3243"/>
      <c r="I13" s="3244"/>
      <c r="J13" s="1692"/>
      <c r="K13" s="1772"/>
      <c r="L13" s="1721"/>
      <c r="M13" s="1721"/>
      <c r="N13" s="1692"/>
      <c r="O13" s="1693"/>
      <c r="P13" s="1692"/>
      <c r="Q13" s="1692"/>
      <c r="R13" s="1692"/>
      <c r="S13" s="1692"/>
      <c r="T13" s="1692"/>
      <c r="U13" s="1692"/>
    </row>
    <row r="14" spans="1:21">
      <c r="A14" s="1659" t="s">
        <v>2063</v>
      </c>
      <c r="B14" s="1697"/>
      <c r="C14" s="1843" t="s">
        <v>2985</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2986</v>
      </c>
      <c r="C16" s="1697" t="s">
        <v>1951</v>
      </c>
      <c r="D16" s="2669" t="s">
        <v>1952</v>
      </c>
      <c r="E16" s="1720"/>
      <c r="F16" s="1720"/>
      <c r="G16" s="1720"/>
      <c r="H16" s="1720"/>
      <c r="I16" s="1684" t="s">
        <v>1957</v>
      </c>
      <c r="J16" s="1692"/>
      <c r="K16" s="2479" t="str">
        <f>IF(D17="","",D16&amp;TEXT(D17,"yyyy年m月d日;;"))</f>
        <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工业2064年1月6日</v>
      </c>
    </row>
    <row r="17" spans="1:21">
      <c r="A17" s="1761"/>
      <c r="B17" s="1680"/>
      <c r="C17" s="1681" t="s">
        <v>1958</v>
      </c>
      <c r="D17" s="1698"/>
      <c r="E17" s="1698"/>
      <c r="F17" s="1698"/>
      <c r="G17" s="1698"/>
      <c r="H17" s="1698"/>
      <c r="I17" s="1698">
        <v>59907</v>
      </c>
      <c r="J17" s="1692"/>
      <c r="K17" s="2478" t="str">
        <f>CONCATENATE(K16,L16,M16,N16,O16,P16,Q16,R16,S16,T16,,U16)</f>
        <v>工业2064年1月6日</v>
      </c>
      <c r="L17" s="1721"/>
      <c r="M17" s="1721"/>
      <c r="N17" s="1692"/>
      <c r="O17" s="1693"/>
      <c r="P17" s="1692"/>
      <c r="Q17" s="1692"/>
      <c r="R17" s="1692"/>
      <c r="S17" s="1692"/>
      <c r="T17" s="1692"/>
      <c r="U17" s="1692"/>
    </row>
    <row r="18" spans="1:21">
      <c r="A18" s="1761"/>
      <c r="B18" s="1680"/>
      <c r="C18" s="1681" t="s">
        <v>1959</v>
      </c>
      <c r="D18" s="1682"/>
      <c r="E18" s="1682"/>
      <c r="F18" s="1682"/>
      <c r="G18" s="1682"/>
      <c r="H18" s="1682"/>
      <c r="I18" s="1682">
        <v>50</v>
      </c>
      <c r="J18" s="1692"/>
      <c r="K18" s="1772"/>
      <c r="L18" s="1721"/>
      <c r="M18" s="1721"/>
      <c r="N18" s="1692"/>
      <c r="O18" s="1693"/>
      <c r="P18" s="1692"/>
      <c r="Q18" s="1692"/>
      <c r="R18" s="1692"/>
      <c r="S18" s="1692"/>
      <c r="T18" s="1692"/>
      <c r="U18" s="1692"/>
    </row>
    <row r="19" spans="1:21">
      <c r="A19" s="1761"/>
      <c r="B19" s="1680"/>
      <c r="C19" s="1658" t="s">
        <v>1960</v>
      </c>
      <c r="D19" s="1756" t="str">
        <f>IF(B16="出让",IF(D17="","",ROUNDDOWN(MIN((D17-$D$3)/365,D18),2)),D18)</f>
        <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f>IF(B16="出让",IF(I17="","",ROUNDDOWN(MIN((I17-$D$3)/365,I18),2)),I18)</f>
        <v>45.63</v>
      </c>
      <c r="J19" s="1692"/>
      <c r="K19" s="1772"/>
      <c r="L19" s="1721"/>
      <c r="M19" s="1721"/>
      <c r="N19" s="1692"/>
      <c r="O19" s="1693"/>
      <c r="P19" s="1692"/>
      <c r="Q19" s="1692"/>
      <c r="R19" s="1692"/>
      <c r="S19" s="1692"/>
      <c r="T19" s="1692"/>
      <c r="U19" s="1692"/>
    </row>
    <row r="20" spans="1:21">
      <c r="A20" s="1784"/>
      <c r="B20" s="1785"/>
      <c r="C20" s="1786" t="s">
        <v>2061</v>
      </c>
      <c r="D20" s="3239"/>
      <c r="E20" s="3240"/>
      <c r="F20" s="3240"/>
      <c r="G20" s="3240"/>
      <c r="H20" s="3240"/>
      <c r="I20" s="3241"/>
      <c r="J20" s="1692"/>
      <c r="K20" s="1772"/>
      <c r="L20" s="1721"/>
      <c r="M20" s="1721"/>
      <c r="N20" s="1692"/>
      <c r="O20" s="1693"/>
      <c r="P20" s="1692"/>
      <c r="Q20" s="1692"/>
      <c r="R20" s="1692"/>
      <c r="S20" s="1692"/>
      <c r="T20" s="1692"/>
      <c r="U20" s="1692"/>
    </row>
    <row r="21" spans="1:21">
      <c r="A21" s="1761" t="s">
        <v>1961</v>
      </c>
      <c r="B21" s="1762" t="s">
        <v>1962</v>
      </c>
      <c r="C21" s="1757">
        <f>'数据-汇总表'!E3</f>
        <v>13432.367</v>
      </c>
      <c r="D21" s="1758" t="s">
        <v>1963</v>
      </c>
      <c r="E21" s="3229" t="s">
        <v>1999</v>
      </c>
      <c r="F21" s="3230"/>
      <c r="G21" s="3230"/>
      <c r="H21" s="3230"/>
      <c r="I21" s="3231"/>
      <c r="J21" s="1692"/>
      <c r="K21" s="1772"/>
      <c r="L21" s="1721"/>
      <c r="M21" s="1721"/>
      <c r="N21" s="1692"/>
      <c r="O21" s="1693"/>
      <c r="P21" s="1692"/>
      <c r="Q21" s="1692"/>
      <c r="R21" s="1692"/>
      <c r="S21" s="1692"/>
      <c r="T21" s="1692"/>
      <c r="U21" s="1692"/>
    </row>
    <row r="22" spans="1:21">
      <c r="A22" s="3178" t="s">
        <v>952</v>
      </c>
      <c r="B22" s="1659" t="s">
        <v>1964</v>
      </c>
      <c r="C22" s="1684">
        <f>'数据-汇总表'!D3</f>
        <v>28344.22</v>
      </c>
      <c r="D22" s="1685" t="s">
        <v>1963</v>
      </c>
      <c r="E22" s="3229" t="s">
        <v>2892</v>
      </c>
      <c r="F22" s="3230"/>
      <c r="G22" s="3230"/>
      <c r="H22" s="3230"/>
      <c r="I22" s="3231"/>
      <c r="J22" s="1692"/>
      <c r="K22" s="1772"/>
      <c r="L22" s="1721"/>
      <c r="M22" s="1721"/>
      <c r="N22" s="1692"/>
      <c r="O22" s="1693"/>
      <c r="P22" s="1692"/>
      <c r="Q22" s="1692"/>
      <c r="R22" s="1692"/>
      <c r="S22" s="1692"/>
      <c r="T22" s="1692"/>
      <c r="U22" s="1692"/>
    </row>
    <row r="23" spans="1:21" ht="43.5" thickBot="1">
      <c r="A23" s="1763" t="s">
        <v>1965</v>
      </c>
      <c r="B23" s="1699" t="s">
        <v>1966</v>
      </c>
      <c r="C23" s="1700" t="s">
        <v>1679</v>
      </c>
      <c r="D23" s="1701" t="s">
        <v>1967</v>
      </c>
      <c r="E23" s="1702" t="s">
        <v>2988</v>
      </c>
      <c r="F23" s="1703" t="str">
        <f>IF(AND(C23="是",E23="否"),"是否提供他项权证或相关说明","")</f>
        <v>是否提供他项权证或相关说明</v>
      </c>
      <c r="G23" s="1704" t="s">
        <v>2988</v>
      </c>
      <c r="H23" s="1692"/>
      <c r="I23" s="1705"/>
      <c r="J23" s="1692"/>
      <c r="K23" s="1772"/>
      <c r="L23" s="1721"/>
      <c r="M23" s="1721"/>
      <c r="N23" s="1692"/>
      <c r="O23" s="1693"/>
      <c r="P23" s="1692"/>
      <c r="Q23" s="1692"/>
      <c r="R23" s="1692"/>
      <c r="S23" s="1692"/>
      <c r="T23" s="1692"/>
      <c r="U23" s="1692"/>
    </row>
    <row r="24" spans="1:21">
      <c r="A24" s="1748" t="s">
        <v>1968</v>
      </c>
      <c r="B24" s="3232" t="s">
        <v>1969</v>
      </c>
      <c r="C24" s="3233"/>
      <c r="D24" s="3234" t="s">
        <v>1970</v>
      </c>
      <c r="E24" s="3235"/>
      <c r="F24" s="1706" t="s">
        <v>1971</v>
      </c>
      <c r="G24" s="1692"/>
      <c r="H24" s="1692"/>
      <c r="I24" s="1705"/>
      <c r="J24" s="1692"/>
      <c r="K24" s="3220" t="s">
        <v>1972</v>
      </c>
      <c r="L24" s="2480"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1"/>
      <c r="N24" s="1692"/>
      <c r="O24" s="1693"/>
      <c r="P24" s="1692"/>
      <c r="Q24" s="1692"/>
      <c r="R24" s="1692"/>
      <c r="S24" s="1692"/>
      <c r="T24" s="1692"/>
      <c r="U24" s="1692"/>
    </row>
    <row r="25" spans="1:21" ht="28.5">
      <c r="A25" s="1749"/>
      <c r="B25" s="1746" t="s">
        <v>2987</v>
      </c>
      <c r="C25" s="1707" t="s">
        <v>2326</v>
      </c>
      <c r="D25" s="1708"/>
      <c r="E25" s="1709" t="s">
        <v>952</v>
      </c>
      <c r="F25" s="1710"/>
      <c r="G25" s="1692"/>
      <c r="H25" s="1692"/>
      <c r="I25" s="1705"/>
      <c r="J25" s="1692"/>
      <c r="K25" s="322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2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由于本次评估为同一抵押权人的续贷土地抵押估价，故未将已抵押担保的债权数额（工业项目）作为法定优先受偿款予以扣减。</v>
      </c>
      <c r="M26" s="1721"/>
      <c r="N26" s="1692"/>
      <c r="O26" s="1693"/>
      <c r="P26" s="1692"/>
      <c r="Q26" s="1692"/>
      <c r="R26" s="1692"/>
      <c r="S26" s="1692"/>
      <c r="T26" s="1692"/>
      <c r="U26" s="1692"/>
    </row>
    <row r="27" spans="1:21">
      <c r="A27" s="1753" t="s">
        <v>1973</v>
      </c>
      <c r="B27" s="1751" t="s">
        <v>1974</v>
      </c>
      <c r="C27" s="1711"/>
      <c r="D27" s="2674"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5"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5"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6"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47" t="s">
        <v>2002</v>
      </c>
      <c r="B31" s="1762" t="s">
        <v>2003</v>
      </c>
      <c r="C31" s="3245" t="s">
        <v>2989</v>
      </c>
      <c r="D31" s="3246"/>
      <c r="E31" s="1692"/>
      <c r="F31" s="1692"/>
      <c r="G31" s="1692"/>
      <c r="H31" s="1692"/>
      <c r="I31" s="1705"/>
      <c r="J31" s="1692"/>
      <c r="K31" s="2481"/>
      <c r="L31" s="1692"/>
      <c r="M31" s="1692"/>
      <c r="N31" s="1692"/>
      <c r="O31" s="1692"/>
      <c r="P31" s="1692"/>
      <c r="Q31" s="1692"/>
      <c r="R31" s="1692"/>
      <c r="S31" s="1692"/>
      <c r="T31" s="1692"/>
      <c r="U31" s="1692"/>
    </row>
    <row r="32" spans="1:21">
      <c r="A32" s="3247"/>
      <c r="B32" s="1659" t="s">
        <v>2004</v>
      </c>
      <c r="C32" s="1717" t="s">
        <v>2990</v>
      </c>
      <c r="D32" s="1718"/>
      <c r="E32" s="1692"/>
      <c r="F32" s="1692"/>
      <c r="G32" s="1692"/>
      <c r="H32" s="1692"/>
      <c r="I32" s="1705"/>
      <c r="J32" s="1692"/>
      <c r="K32" s="2481"/>
      <c r="L32" s="1692"/>
      <c r="M32" s="1692"/>
      <c r="N32" s="1692"/>
      <c r="O32" s="1692"/>
      <c r="P32" s="1692"/>
      <c r="Q32" s="1692"/>
      <c r="R32" s="1692"/>
      <c r="S32" s="1692"/>
      <c r="T32" s="1692"/>
      <c r="U32" s="1692"/>
    </row>
    <row r="33" spans="1:21">
      <c r="A33" s="3247"/>
      <c r="B33" s="1659" t="s">
        <v>2005</v>
      </c>
      <c r="C33" s="1719" t="s">
        <v>2988</v>
      </c>
      <c r="D33" s="1836"/>
      <c r="E33" s="1692"/>
      <c r="F33" s="1692"/>
      <c r="G33" s="1692"/>
      <c r="H33" s="1692"/>
      <c r="I33" s="1705"/>
      <c r="J33" s="1692"/>
      <c r="K33" s="2481"/>
      <c r="L33" s="1692"/>
      <c r="M33" s="1692"/>
      <c r="N33" s="1692"/>
      <c r="O33" s="1692"/>
      <c r="P33" s="1692"/>
      <c r="Q33" s="1692"/>
      <c r="R33" s="1692"/>
      <c r="S33" s="1692"/>
      <c r="T33" s="1692"/>
      <c r="U33" s="1692"/>
    </row>
    <row r="34" spans="1:21">
      <c r="A34" s="3248"/>
      <c r="B34" s="1659" t="s">
        <v>2006</v>
      </c>
      <c r="C34" s="3249"/>
      <c r="D34" s="3250"/>
      <c r="E34" s="1692"/>
      <c r="F34" s="1692"/>
      <c r="G34" s="1692"/>
      <c r="H34" s="1692"/>
      <c r="I34" s="1705"/>
      <c r="J34" s="1692"/>
      <c r="K34" s="2481"/>
      <c r="L34" s="1692"/>
      <c r="M34" s="1692"/>
      <c r="N34" s="1692"/>
      <c r="O34" s="1692"/>
      <c r="P34" s="1692"/>
      <c r="Q34" s="1692"/>
      <c r="R34" s="1692"/>
      <c r="S34" s="1692"/>
      <c r="T34" s="1692"/>
      <c r="U34" s="1692"/>
    </row>
    <row r="35" spans="1:21">
      <c r="A35" s="3251" t="s">
        <v>847</v>
      </c>
      <c r="B35" s="1720" t="s">
        <v>2991</v>
      </c>
      <c r="C35" s="1774" t="str">
        <f>IF(B35="场地平整","——","具体情况：")</f>
        <v>——</v>
      </c>
      <c r="D35" s="3253"/>
      <c r="E35" s="3254"/>
      <c r="F35" s="3254"/>
      <c r="G35" s="3254"/>
      <c r="H35" s="3254"/>
      <c r="I35" s="3255"/>
      <c r="J35" s="1692"/>
      <c r="K35" s="1773"/>
      <c r="L35" s="1721"/>
      <c r="M35" s="1721"/>
      <c r="N35" s="1692"/>
      <c r="O35" s="1693"/>
      <c r="P35" s="1692"/>
      <c r="Q35" s="1692"/>
      <c r="R35" s="1692"/>
      <c r="S35" s="1692"/>
      <c r="T35" s="1692"/>
      <c r="U35" s="1692"/>
    </row>
    <row r="36" spans="1:21">
      <c r="A36" s="3247"/>
      <c r="B36" s="3256" t="s">
        <v>2055</v>
      </c>
      <c r="C36" s="3257"/>
      <c r="D36" s="1790"/>
      <c r="E36" s="3258"/>
      <c r="F36" s="3258"/>
      <c r="G36" s="1685" t="str">
        <f>IF(B35="场地未平整","估价结果处理","")</f>
        <v/>
      </c>
      <c r="H36" s="3259"/>
      <c r="I36" s="3259"/>
      <c r="J36" s="1692"/>
      <c r="K36" s="1773"/>
      <c r="L36" s="1721"/>
      <c r="M36" s="1721"/>
      <c r="N36" s="1692"/>
      <c r="O36" s="1693"/>
      <c r="P36" s="1692"/>
      <c r="Q36" s="1692"/>
      <c r="R36" s="1692"/>
      <c r="S36" s="1692"/>
      <c r="T36" s="1692"/>
      <c r="U36" s="1692"/>
    </row>
    <row r="37" spans="1:21" ht="28.5">
      <c r="A37" s="3247"/>
      <c r="B37" s="3236"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47"/>
      <c r="B38" s="3237"/>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48"/>
      <c r="B39" s="323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2993</v>
      </c>
      <c r="C40" s="1688" t="s">
        <v>2994</v>
      </c>
      <c r="D40" s="1688" t="s">
        <v>2995</v>
      </c>
      <c r="E40" s="1688" t="s">
        <v>2996</v>
      </c>
      <c r="F40" s="1688" t="s">
        <v>2997</v>
      </c>
      <c r="G40" s="1688" t="s">
        <v>952</v>
      </c>
      <c r="H40" s="1688" t="s">
        <v>952</v>
      </c>
      <c r="I40" s="1705"/>
      <c r="J40" s="1692"/>
      <c r="K40" s="1728">
        <f>COUNTIF(B40:H40,"——")</f>
        <v>2</v>
      </c>
      <c r="L40" s="1697" t="s">
        <v>1979</v>
      </c>
      <c r="M40" s="1694" t="s">
        <v>1980</v>
      </c>
      <c r="N40" s="1694" t="s">
        <v>1981</v>
      </c>
      <c r="O40" s="1694" t="s">
        <v>1982</v>
      </c>
      <c r="P40" s="1694" t="s">
        <v>1983</v>
      </c>
      <c r="Q40" s="1694" t="s">
        <v>1984</v>
      </c>
      <c r="R40" s="1694" t="s">
        <v>1985</v>
      </c>
      <c r="S40" s="3219" t="s">
        <v>1986</v>
      </c>
      <c r="T40" s="1729" t="str">
        <f>NUMBERSTRING(7-K40,1)&amp;"通"</f>
        <v>五通</v>
      </c>
      <c r="U40" s="1692"/>
    </row>
    <row r="41" spans="1:21">
      <c r="A41" s="1661"/>
      <c r="B41" s="3252" t="s">
        <v>1722</v>
      </c>
      <c r="C41" s="3252"/>
      <c r="D41" s="3252"/>
      <c r="E41" s="3252"/>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通路、通电、通上水、通下水</v>
      </c>
      <c r="P41" s="1732" t="str">
        <f>B40&amp;"、"&amp;C40&amp;"、"&amp;D40&amp;"、"&amp;E40&amp;"、"&amp;F40</f>
        <v>通路、通电、通上水、通下水、通讯</v>
      </c>
      <c r="Q41" s="1732" t="str">
        <f>B40&amp;"、"&amp;C40&amp;"、"&amp;D40&amp;"、"&amp;E40&amp;"、"&amp;F40&amp;"、"&amp;G40</f>
        <v>通路、通电、通上水、通下水、通讯、——</v>
      </c>
      <c r="R41" s="1732" t="str">
        <f>B40&amp;"、"&amp;C40&amp;"、"&amp;D40&amp;"、"&amp;E40&amp;"、"&amp;F40&amp;"、"&amp;G40&amp;"、"&amp;H40</f>
        <v>通路、通电、通上水、通下水、通讯、——、——</v>
      </c>
      <c r="S41" s="3219"/>
      <c r="T41" s="1731" t="str">
        <f>IF(T40="一通",L41,IF(T40="二通",M41,IF(T40="三通",N41,IF(T40="四通",O41,IF(T40="五通",P41,IF(T40="六通",Q41,R41))))))</f>
        <v>通路、通电、通上水、通下水、通讯</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t="s">
        <v>1416</v>
      </c>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t="s">
        <v>2992</v>
      </c>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D38" sqref="D3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28344.22</v>
      </c>
      <c r="B3" s="22">
        <f>IF(C3="否",G5-AT5,G5)</f>
        <v>13432.367</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13432.367</v>
      </c>
      <c r="H5" s="27">
        <f t="shared" ref="H5:AT5" si="0">SUM(H13:H641)</f>
        <v>13418.867</v>
      </c>
      <c r="I5" s="27">
        <f t="shared" si="0"/>
        <v>7817.6779999999999</v>
      </c>
      <c r="J5" s="27">
        <f t="shared" si="0"/>
        <v>0</v>
      </c>
      <c r="K5" s="27">
        <f t="shared" si="0"/>
        <v>3603.6689999999999</v>
      </c>
      <c r="L5" s="27">
        <f t="shared" si="0"/>
        <v>0</v>
      </c>
      <c r="M5" s="27">
        <f t="shared" si="0"/>
        <v>1997.52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13.5</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13432.367</v>
      </c>
      <c r="BA5" s="29">
        <f t="shared" si="1"/>
        <v>13418.867</v>
      </c>
      <c r="BB5" s="29">
        <f t="shared" si="1"/>
        <v>7817.6779999999999</v>
      </c>
      <c r="BC5" s="29">
        <f t="shared" si="1"/>
        <v>3603.6689999999999</v>
      </c>
      <c r="BD5" s="29">
        <f t="shared" si="1"/>
        <v>1997.52</v>
      </c>
      <c r="BE5" s="29">
        <f t="shared" si="1"/>
        <v>0</v>
      </c>
      <c r="BF5" s="29">
        <f t="shared" si="1"/>
        <v>0</v>
      </c>
      <c r="BG5" s="29">
        <f t="shared" si="1"/>
        <v>0</v>
      </c>
      <c r="BH5" s="29">
        <f t="shared" si="1"/>
        <v>0</v>
      </c>
      <c r="BI5" s="29">
        <f t="shared" si="1"/>
        <v>0</v>
      </c>
      <c r="BJ5" s="29">
        <f t="shared" si="1"/>
        <v>0</v>
      </c>
      <c r="BK5" s="29">
        <f t="shared" si="1"/>
        <v>0</v>
      </c>
      <c r="BL5" s="29">
        <f t="shared" si="1"/>
        <v>13.5</v>
      </c>
      <c r="BM5" s="29">
        <f t="shared" si="1"/>
        <v>0</v>
      </c>
      <c r="BN5" s="29">
        <f t="shared" si="1"/>
        <v>0</v>
      </c>
      <c r="BO5" s="29">
        <f t="shared" si="1"/>
        <v>0</v>
      </c>
      <c r="BP5" s="29">
        <f t="shared" si="1"/>
        <v>0</v>
      </c>
      <c r="BQ5" s="29">
        <f t="shared" si="1"/>
        <v>13.5</v>
      </c>
      <c r="BR5" s="29">
        <f t="shared" si="1"/>
        <v>0</v>
      </c>
      <c r="BS5" s="29">
        <f t="shared" si="1"/>
        <v>0</v>
      </c>
      <c r="BT5" s="30">
        <f t="shared" si="1"/>
        <v>0</v>
      </c>
    </row>
    <row r="6" spans="1:72" s="37" customFormat="1" ht="12.75">
      <c r="A6" s="26" t="s">
        <v>169</v>
      </c>
      <c r="B6" s="31"/>
      <c r="C6" s="31"/>
      <c r="D6" s="32"/>
      <c r="E6" s="27">
        <f>H6+AC6+AT6</f>
        <v>28344.22</v>
      </c>
      <c r="F6" s="27" t="s">
        <v>1</v>
      </c>
      <c r="G6" s="27" t="s">
        <v>2</v>
      </c>
      <c r="H6" s="33">
        <f>SUMIF(I$12:AB$12,"总值",I6:AB6)</f>
        <v>28315.73</v>
      </c>
      <c r="I6" s="27">
        <f t="shared" ref="I6:AB6" si="2">ROUND($A$3*I5/$B$3,2)</f>
        <v>16496.419999999998</v>
      </c>
      <c r="J6" s="27">
        <f t="shared" si="2"/>
        <v>0</v>
      </c>
      <c r="K6" s="27">
        <f t="shared" si="2"/>
        <v>7604.26</v>
      </c>
      <c r="L6" s="27">
        <f t="shared" si="2"/>
        <v>0</v>
      </c>
      <c r="M6" s="27">
        <f t="shared" si="2"/>
        <v>4215.05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28.49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28.49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28344.22</v>
      </c>
      <c r="AZ6" s="27" t="s">
        <v>3</v>
      </c>
      <c r="BA6" s="27">
        <f>ROUND($AY$6*BA5/$AZ$5,2)</f>
        <v>28315.73</v>
      </c>
      <c r="BB6" s="27">
        <f>ROUND($AY$6*BB5/$AZ$5,2)</f>
        <v>16496.419999999998</v>
      </c>
      <c r="BC6" s="27">
        <f t="shared" ref="BC6:BH6" si="4">ROUND($AY$6*BC5/$AZ$5,2)</f>
        <v>7604.26</v>
      </c>
      <c r="BD6" s="27">
        <f t="shared" si="4"/>
        <v>4215.05</v>
      </c>
      <c r="BE6" s="27">
        <f t="shared" si="4"/>
        <v>0</v>
      </c>
      <c r="BF6" s="27">
        <f t="shared" si="4"/>
        <v>0</v>
      </c>
      <c r="BG6" s="27">
        <f t="shared" si="4"/>
        <v>0</v>
      </c>
      <c r="BH6" s="27">
        <f t="shared" si="4"/>
        <v>0</v>
      </c>
      <c r="BI6" s="27">
        <f t="shared" ref="BI6:BT6" si="5">ROUND($AY$6*BI5/$AZ$5,2)</f>
        <v>0</v>
      </c>
      <c r="BJ6" s="27">
        <f t="shared" si="5"/>
        <v>0</v>
      </c>
      <c r="BK6" s="27">
        <f t="shared" si="5"/>
        <v>0</v>
      </c>
      <c r="BL6" s="27">
        <f t="shared" si="5"/>
        <v>28.49</v>
      </c>
      <c r="BM6" s="27">
        <f t="shared" si="5"/>
        <v>0</v>
      </c>
      <c r="BN6" s="27">
        <f t="shared" si="5"/>
        <v>0</v>
      </c>
      <c r="BO6" s="27">
        <f t="shared" si="5"/>
        <v>0</v>
      </c>
      <c r="BP6" s="27">
        <f t="shared" si="5"/>
        <v>0</v>
      </c>
      <c r="BQ6" s="27">
        <f t="shared" si="5"/>
        <v>28.49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3002</v>
      </c>
      <c r="J9" s="51"/>
      <c r="K9" s="3042" t="s">
        <v>3002</v>
      </c>
      <c r="L9" s="51"/>
      <c r="M9" s="3042"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982</v>
      </c>
      <c r="J10" s="51"/>
      <c r="K10" s="3044" t="s">
        <v>982</v>
      </c>
      <c r="L10" s="51"/>
      <c r="M10" s="3044" t="s">
        <v>982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3003</v>
      </c>
      <c r="J11" s="71"/>
      <c r="K11" s="3043" t="s">
        <v>3003</v>
      </c>
      <c r="L11" s="71"/>
      <c r="M11" s="70" t="s">
        <v>3004</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工业</v>
      </c>
      <c r="BC11" s="50" t="str">
        <f>K10</f>
        <v>工业</v>
      </c>
      <c r="BD11" s="50" t="str">
        <f>M10</f>
        <v>工业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标准厂房</v>
      </c>
      <c r="BC12" s="79" t="str">
        <f>K11</f>
        <v>标准厂房</v>
      </c>
      <c r="BD12" s="79" t="str">
        <f>M11</f>
        <v>戊类库房</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2998</v>
      </c>
      <c r="D13" s="3038" t="s">
        <v>1679</v>
      </c>
      <c r="E13" s="27">
        <f t="shared" ref="E13:E20" si="6">IF($C$3="是",ROUND($A$3*G13/$B$3,2),ROUND($A$3*(G13-AT13)/$B$3,2))</f>
        <v>16496.419999999998</v>
      </c>
      <c r="F13" s="81"/>
      <c r="G13" s="82">
        <f t="shared" ref="G13:G20" si="7">H13+AC13+AT13</f>
        <v>7817.6779999999999</v>
      </c>
      <c r="H13" s="33">
        <f t="shared" ref="H13:H20" si="8">SUMIF(I$12:AB$12,"总值",I13:AB13)</f>
        <v>7817.6779999999999</v>
      </c>
      <c r="I13" s="3181">
        <v>7817.6779999999999</v>
      </c>
      <c r="J13" s="3041">
        <v>0</v>
      </c>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1#</v>
      </c>
      <c r="AY13" s="995">
        <f t="shared" ref="AY13:AY20" si="11">ROUND($AY$6*AZ13/$AZ$5,2)</f>
        <v>16496.419999999998</v>
      </c>
      <c r="AZ13" s="27">
        <f t="shared" ref="AZ13:AZ20" si="12">BA13+BL13</f>
        <v>7817.6779999999999</v>
      </c>
      <c r="BA13" s="27">
        <f t="shared" ref="BA13:BA20" si="13">SUM(BB13:BK13)</f>
        <v>7817.6779999999999</v>
      </c>
      <c r="BB13" s="27">
        <f t="shared" ref="BB13:BB20" si="14">IF($D13="是",I13-J13,0)</f>
        <v>7817.6779999999999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7" t="s">
        <v>2999</v>
      </c>
      <c r="D14" s="3038" t="s">
        <v>1679</v>
      </c>
      <c r="E14" s="27">
        <f t="shared" si="6"/>
        <v>7604.26</v>
      </c>
      <c r="F14" s="81"/>
      <c r="G14" s="82">
        <f t="shared" si="7"/>
        <v>3603.6689999999999</v>
      </c>
      <c r="H14" s="33">
        <f t="shared" si="8"/>
        <v>3603.6689999999999</v>
      </c>
      <c r="I14" s="3041"/>
      <c r="J14" s="3041"/>
      <c r="K14" s="3181">
        <v>3603.6689999999999</v>
      </c>
      <c r="L14" s="3041">
        <v>0</v>
      </c>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2#</v>
      </c>
      <c r="AY14" s="995">
        <f t="shared" si="11"/>
        <v>7604.26</v>
      </c>
      <c r="AZ14" s="27">
        <f t="shared" si="12"/>
        <v>3603.6689999999999</v>
      </c>
      <c r="BA14" s="27">
        <f t="shared" si="13"/>
        <v>3603.6689999999999</v>
      </c>
      <c r="BB14" s="27">
        <f t="shared" si="14"/>
        <v>0</v>
      </c>
      <c r="BC14" s="27">
        <f t="shared" si="15"/>
        <v>3603.6689999999999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7" t="s">
        <v>3000</v>
      </c>
      <c r="D15" s="3038" t="s">
        <v>1679</v>
      </c>
      <c r="E15" s="27">
        <f t="shared" si="6"/>
        <v>4215.05</v>
      </c>
      <c r="F15" s="81"/>
      <c r="G15" s="82">
        <f t="shared" si="7"/>
        <v>1997.52</v>
      </c>
      <c r="H15" s="33">
        <f t="shared" si="8"/>
        <v>1997.52</v>
      </c>
      <c r="I15" s="3041"/>
      <c r="J15" s="3041"/>
      <c r="K15" s="3041"/>
      <c r="L15" s="3041"/>
      <c r="M15" s="3041">
        <v>1997.52</v>
      </c>
      <c r="N15" s="83">
        <v>0</v>
      </c>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3#</v>
      </c>
      <c r="AY15" s="995">
        <f t="shared" si="11"/>
        <v>4215.05</v>
      </c>
      <c r="AZ15" s="27">
        <f t="shared" si="12"/>
        <v>1997.52</v>
      </c>
      <c r="BA15" s="27">
        <f t="shared" si="13"/>
        <v>1997.52</v>
      </c>
      <c r="BB15" s="27">
        <f t="shared" si="14"/>
        <v>0</v>
      </c>
      <c r="BC15" s="27">
        <f t="shared" si="15"/>
        <v>0</v>
      </c>
      <c r="BD15" s="27">
        <f t="shared" si="16"/>
        <v>1997.52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7" t="s">
        <v>3001</v>
      </c>
      <c r="D16" s="3038" t="s">
        <v>1679</v>
      </c>
      <c r="E16" s="27">
        <f t="shared" si="6"/>
        <v>28.49</v>
      </c>
      <c r="F16" s="81"/>
      <c r="G16" s="82">
        <f t="shared" si="7"/>
        <v>13.5</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13.5</v>
      </c>
      <c r="AD16" s="3045"/>
      <c r="AE16" s="3045"/>
      <c r="AF16" s="3045"/>
      <c r="AG16" s="3045"/>
      <c r="AH16" s="3045"/>
      <c r="AI16" s="3045"/>
      <c r="AJ16" s="3045"/>
      <c r="AK16" s="3045"/>
      <c r="AL16" s="3045">
        <v>13.5</v>
      </c>
      <c r="AM16" s="3045"/>
      <c r="AN16" s="3045"/>
      <c r="AO16" s="3045"/>
      <c r="AP16" s="3045"/>
      <c r="AQ16" s="3045"/>
      <c r="AR16" s="3045"/>
      <c r="AS16" s="3045"/>
      <c r="AT16" s="3046"/>
      <c r="AU16" s="3047"/>
      <c r="AV16" s="17">
        <f t="shared" si="10"/>
        <v>0</v>
      </c>
      <c r="AW16" s="17">
        <f t="shared" si="10"/>
        <v>0</v>
      </c>
      <c r="AX16" s="17" t="str">
        <f t="shared" si="10"/>
        <v>4#</v>
      </c>
      <c r="AY16" s="995">
        <f t="shared" si="11"/>
        <v>28.49</v>
      </c>
      <c r="AZ16" s="27">
        <f t="shared" si="12"/>
        <v>13.5</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13.5</v>
      </c>
      <c r="BM16" s="27">
        <f t="shared" si="25"/>
        <v>0</v>
      </c>
      <c r="BN16" s="27">
        <f t="shared" si="26"/>
        <v>0</v>
      </c>
      <c r="BO16" s="27">
        <f t="shared" si="27"/>
        <v>0</v>
      </c>
      <c r="BP16" s="27">
        <f t="shared" si="28"/>
        <v>0</v>
      </c>
      <c r="BQ16" s="27">
        <f t="shared" si="29"/>
        <v>13.5</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20" sqref="A20:XFD2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1" t="s">
        <v>203</v>
      </c>
      <c r="B2" s="3271"/>
      <c r="C2" s="3271"/>
      <c r="D2" s="1974" t="s">
        <v>204</v>
      </c>
      <c r="E2" s="106" t="s">
        <v>205</v>
      </c>
      <c r="F2" s="1983"/>
      <c r="G2" s="1197"/>
      <c r="H2" s="1198"/>
      <c r="I2" s="1199" t="s">
        <v>857</v>
      </c>
      <c r="J2" s="1983"/>
      <c r="K2" s="1983"/>
      <c r="L2" s="1983"/>
    </row>
    <row r="3" spans="1:16" ht="15.75" thickBot="1">
      <c r="A3" s="3272" t="s">
        <v>206</v>
      </c>
      <c r="B3" s="3272"/>
      <c r="C3" s="3272"/>
      <c r="D3" s="107">
        <f>'数据-基础表'!AY6</f>
        <v>28344.22</v>
      </c>
      <c r="E3" s="107">
        <f>'数据-基础表'!AZ5</f>
        <v>13432.367</v>
      </c>
      <c r="F3" s="1983"/>
      <c r="G3" s="280" t="s">
        <v>858</v>
      </c>
      <c r="H3" s="275" t="s">
        <v>859</v>
      </c>
      <c r="I3" s="1975">
        <f>ROUND('数据-基础表'!B3/'数据-基础表'!A3,2)</f>
        <v>0.47</v>
      </c>
      <c r="J3" s="1983"/>
      <c r="K3" s="1983"/>
      <c r="L3" s="1983"/>
    </row>
    <row r="4" spans="1:16" ht="15">
      <c r="A4" s="3273"/>
      <c r="B4" s="3274"/>
      <c r="C4" s="3275"/>
      <c r="D4" s="108" t="s">
        <v>204</v>
      </c>
      <c r="E4" s="109" t="s">
        <v>205</v>
      </c>
      <c r="F4" s="1983"/>
      <c r="G4" s="1200"/>
      <c r="H4" s="275" t="s">
        <v>860</v>
      </c>
      <c r="I4" s="1975">
        <f>ROUND(SUMIF('数据-基础表'!I9:AS9,"地上",'数据-基础表'!I5:AS5)/'数据-基础表'!A3,2)</f>
        <v>0.47</v>
      </c>
      <c r="J4" s="1983"/>
      <c r="K4" s="1983"/>
      <c r="L4" s="1983"/>
    </row>
    <row r="5" spans="1:16">
      <c r="A5" s="110" t="s">
        <v>207</v>
      </c>
      <c r="B5" s="3276" t="s">
        <v>230</v>
      </c>
      <c r="C5" s="3276"/>
      <c r="D5" s="111">
        <f>ROUND($D$3*E5/$E$3,2)</f>
        <v>0</v>
      </c>
      <c r="E5" s="112">
        <f>SUMIF('数据-基础表'!$11:$11,"住宅",'数据-基础表'!$5:$5)</f>
        <v>0</v>
      </c>
      <c r="F5" s="1983"/>
      <c r="G5" s="280" t="s">
        <v>861</v>
      </c>
      <c r="H5" s="275" t="s">
        <v>859</v>
      </c>
      <c r="I5" s="1975">
        <f>ROUND(E31/D31,2)</f>
        <v>0.47</v>
      </c>
      <c r="J5" s="1983"/>
      <c r="K5" s="1983"/>
      <c r="L5" s="1983"/>
    </row>
    <row r="6" spans="1:16" ht="15" thickBot="1">
      <c r="A6" s="113"/>
      <c r="B6" s="3276" t="s">
        <v>208</v>
      </c>
      <c r="C6" s="3276"/>
      <c r="D6" s="111">
        <f>ROUND($D$3*E6/$E$3,2)</f>
        <v>28344.22</v>
      </c>
      <c r="E6" s="112">
        <f>E3-E5</f>
        <v>13432.367</v>
      </c>
      <c r="F6" s="1983"/>
      <c r="G6" s="1200"/>
      <c r="H6" s="275" t="s">
        <v>860</v>
      </c>
      <c r="I6" s="1975">
        <f>ROUND(F31/D31,2)</f>
        <v>0.47</v>
      </c>
      <c r="J6" s="1983"/>
      <c r="K6" s="1983"/>
      <c r="L6" s="1983"/>
    </row>
    <row r="7" spans="1:16" ht="15">
      <c r="A7" s="3268"/>
      <c r="B7" s="3269"/>
      <c r="C7" s="3270"/>
      <c r="D7" s="108" t="s">
        <v>204</v>
      </c>
      <c r="E7" s="114" t="s">
        <v>231</v>
      </c>
      <c r="F7" s="1983"/>
      <c r="G7" s="1155" t="s">
        <v>1646</v>
      </c>
      <c r="H7" s="1156"/>
      <c r="I7" s="1845">
        <f>I6</f>
        <v>0.47</v>
      </c>
      <c r="J7" s="1983"/>
      <c r="K7" s="1983"/>
      <c r="L7" s="1983"/>
    </row>
    <row r="8" spans="1:16">
      <c r="A8" s="110" t="s">
        <v>209</v>
      </c>
      <c r="B8" s="115" t="s">
        <v>210</v>
      </c>
      <c r="C8" s="111" t="s">
        <v>211</v>
      </c>
      <c r="D8" s="111">
        <f t="shared" ref="D8:D15" si="0">ROUND($D$3*E8/$E$3,2)</f>
        <v>28315.73</v>
      </c>
      <c r="E8" s="116">
        <f>SUMIF('数据-基础表'!BB10:BK10,"地上",'数据-基础表'!BB5:BK5)</f>
        <v>13418.867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28315.73</v>
      </c>
      <c r="E16" s="120">
        <f>SUM(E8:E15)</f>
        <v>13418.867</v>
      </c>
      <c r="F16" s="1983"/>
      <c r="G16" s="1985"/>
      <c r="H16" s="968" t="s">
        <v>219</v>
      </c>
      <c r="I16" s="969"/>
      <c r="J16" s="1983"/>
      <c r="K16" s="3262" t="s">
        <v>2567</v>
      </c>
      <c r="L16" s="3263"/>
      <c r="M16" s="3263"/>
      <c r="N16" s="3263"/>
      <c r="O16" s="3263"/>
      <c r="P16" s="3264"/>
    </row>
    <row r="17" spans="1:19" ht="15">
      <c r="A17" s="121" t="s">
        <v>216</v>
      </c>
      <c r="B17" s="122" t="s">
        <v>217</v>
      </c>
      <c r="C17" s="2297" t="s">
        <v>2314</v>
      </c>
      <c r="D17" s="108" t="s">
        <v>204</v>
      </c>
      <c r="E17" s="124" t="s">
        <v>205</v>
      </c>
      <c r="F17" s="125"/>
      <c r="G17" s="1365"/>
      <c r="H17" s="970" t="s">
        <v>218</v>
      </c>
      <c r="I17" s="971" t="s">
        <v>2313</v>
      </c>
      <c r="J17" s="1983"/>
      <c r="K17" s="3265" t="s">
        <v>2568</v>
      </c>
      <c r="L17" s="3266"/>
      <c r="M17" s="3267"/>
      <c r="N17" s="3265" t="s">
        <v>2569</v>
      </c>
      <c r="O17" s="3266"/>
      <c r="P17" s="3267"/>
      <c r="R17" s="2298" t="s">
        <v>2312</v>
      </c>
      <c r="S17" s="144"/>
    </row>
    <row r="18" spans="1:19" ht="15">
      <c r="A18" s="117"/>
      <c r="B18" s="128"/>
      <c r="C18" s="129"/>
      <c r="D18" s="2665"/>
      <c r="E18" s="130" t="s">
        <v>220</v>
      </c>
      <c r="F18" s="131" t="s">
        <v>221</v>
      </c>
      <c r="G18" s="1366" t="s">
        <v>222</v>
      </c>
      <c r="H18" s="972" t="s">
        <v>223</v>
      </c>
      <c r="I18" s="973" t="s">
        <v>224</v>
      </c>
      <c r="J18" s="1983"/>
      <c r="K18" s="2628" t="s">
        <v>2570</v>
      </c>
      <c r="L18" s="2629" t="s">
        <v>2571</v>
      </c>
      <c r="M18" s="2630" t="s">
        <v>2572</v>
      </c>
      <c r="N18" s="2628" t="s">
        <v>2570</v>
      </c>
      <c r="O18" s="2629" t="s">
        <v>2571</v>
      </c>
      <c r="P18" s="2630" t="s">
        <v>2572</v>
      </c>
      <c r="R18" s="2299" t="s">
        <v>2310</v>
      </c>
      <c r="S18" s="2299" t="s">
        <v>2311</v>
      </c>
    </row>
    <row r="19" spans="1:19">
      <c r="A19" s="133"/>
      <c r="B19" s="115" t="s">
        <v>225</v>
      </c>
      <c r="C19" s="3048" t="s">
        <v>3005</v>
      </c>
      <c r="D19" s="111">
        <f t="shared" ref="D19:D26" si="1">ROUND($D$3*E19/$E$3,2)</f>
        <v>28315.73</v>
      </c>
      <c r="E19" s="134">
        <f t="shared" ref="E19:E26" si="2">SUM(F19:G19)</f>
        <v>13418.867</v>
      </c>
      <c r="F19" s="135">
        <f>'数据-基础表'!I13+'数据-基础表'!K14+'数据-基础表'!M15</f>
        <v>13418.867</v>
      </c>
      <c r="G19" s="1367"/>
      <c r="H19" s="974">
        <f>ROUND($D$3*I19/$E$3,2)</f>
        <v>28.49</v>
      </c>
      <c r="I19" s="116">
        <f>IF($I$17="自定义",P19,M19)</f>
        <v>13.5</v>
      </c>
      <c r="J19" s="1983"/>
      <c r="K19" s="2631">
        <f t="shared" ref="K19:K26" si="3">ROUND(E$28*E19/E$27,2)</f>
        <v>13.5</v>
      </c>
      <c r="L19" s="275">
        <f t="shared" ref="L19:L26" si="4">ROUND(IF(COUNTIF(C19,"*住宅*")&gt;0,E$29*E19/E$32,0),2)</f>
        <v>0</v>
      </c>
      <c r="M19" s="2632">
        <f>K19+L19</f>
        <v>13.5</v>
      </c>
      <c r="N19" s="2633"/>
      <c r="O19" s="2634"/>
      <c r="P19" s="2635">
        <f>N19+O19</f>
        <v>0</v>
      </c>
      <c r="R19" s="275">
        <f t="shared" ref="R19:S26" si="5">D19+H19</f>
        <v>28344.22</v>
      </c>
      <c r="S19" s="2300">
        <f t="shared" si="5"/>
        <v>13432.367</v>
      </c>
    </row>
    <row r="20" spans="1:19" hidden="1">
      <c r="A20" s="138"/>
      <c r="B20" s="115" t="s">
        <v>226</v>
      </c>
      <c r="C20" s="3048"/>
      <c r="D20" s="111">
        <f t="shared" si="1"/>
        <v>0</v>
      </c>
      <c r="E20" s="134">
        <f t="shared" si="2"/>
        <v>0</v>
      </c>
      <c r="F20" s="135"/>
      <c r="G20" s="1367"/>
      <c r="H20" s="974">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0</v>
      </c>
      <c r="S20" s="2300">
        <f t="shared" si="5"/>
        <v>0</v>
      </c>
    </row>
    <row r="21" spans="1:19" hidden="1">
      <c r="A21" s="138"/>
      <c r="B21" s="115" t="s">
        <v>226</v>
      </c>
      <c r="C21" s="3048"/>
      <c r="D21" s="111">
        <f t="shared" si="1"/>
        <v>0</v>
      </c>
      <c r="E21" s="134">
        <f t="shared" si="2"/>
        <v>0</v>
      </c>
      <c r="F21" s="135"/>
      <c r="G21" s="1367"/>
      <c r="H21" s="974">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hidden="1">
      <c r="A22" s="138"/>
      <c r="B22" s="115" t="s">
        <v>226</v>
      </c>
      <c r="C22" s="1364"/>
      <c r="D22" s="111">
        <f t="shared" si="1"/>
        <v>0</v>
      </c>
      <c r="E22" s="134">
        <f t="shared" si="2"/>
        <v>0</v>
      </c>
      <c r="F22" s="140"/>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hidden="1">
      <c r="A23" s="138"/>
      <c r="B23" s="115" t="s">
        <v>226</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hidden="1">
      <c r="A24" s="138"/>
      <c r="B24" s="115" t="s">
        <v>226</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hidden="1">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hidden="1">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28315.73</v>
      </c>
      <c r="E27" s="143">
        <f>IF(SUM(E19:E26)='数据-基础表'!BA5,SUM(E19:E26),IF(F27="地上面积有误","面积有误","地下面积有误"))</f>
        <v>13418.867</v>
      </c>
      <c r="F27" s="134">
        <f>IF(SUM(F19:F26)=E8,SUM(F19:F26),"地上面积有误")</f>
        <v>13418.867</v>
      </c>
      <c r="G27" s="112">
        <f>SUM(G19:G26)</f>
        <v>0</v>
      </c>
      <c r="H27" s="975">
        <f>SUM(H19:H26)</f>
        <v>28.49</v>
      </c>
      <c r="I27" s="976">
        <f>SUM(I19:I26)</f>
        <v>13.5</v>
      </c>
      <c r="J27" s="1983"/>
      <c r="K27" s="2640">
        <f>SUM(K19:K26)</f>
        <v>13.5</v>
      </c>
      <c r="L27" s="2641">
        <f>SUM(L19:L26)</f>
        <v>0</v>
      </c>
      <c r="M27" s="2642">
        <f>SUM(M19:M26)</f>
        <v>13.5</v>
      </c>
      <c r="N27" s="2640">
        <f t="shared" ref="N27:O27" si="10">SUM(N19:N26)</f>
        <v>0</v>
      </c>
      <c r="O27" s="2641">
        <f t="shared" si="10"/>
        <v>0</v>
      </c>
      <c r="P27" s="2643">
        <f>SUM(P19:P26)</f>
        <v>0</v>
      </c>
      <c r="R27" s="2304">
        <f>IF(SUM(R19:R26)=$D$3,SUM(R19:R26),SUM(R19:R26)&amp;"误差"&amp;ROUND(SUM(R19:R26)-$D$3,2))</f>
        <v>28344.22</v>
      </c>
      <c r="S27" s="275">
        <f>IF(SUM(S19:S26)=$E$3,SUM(S19:S26),SUM(S19:S26)&amp;"误差"&amp;ROUND(SUM(S19:S26)-E3,2))</f>
        <v>13432.367</v>
      </c>
    </row>
    <row r="28" spans="1:19">
      <c r="A28" s="138"/>
      <c r="B28" s="115" t="s">
        <v>227</v>
      </c>
      <c r="C28" s="136" t="s">
        <v>228</v>
      </c>
      <c r="D28" s="111">
        <f>ROUND($D$3*E28/$E$3,2)</f>
        <v>28.49</v>
      </c>
      <c r="E28" s="134">
        <f>SUM(F28:G28)</f>
        <v>13.5</v>
      </c>
      <c r="F28" s="144">
        <f>'数据-基础表'!BQ5+'数据-基础表'!BS5</f>
        <v>13.5</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28.49</v>
      </c>
      <c r="E30" s="134">
        <f>SUM(E28:E29)</f>
        <v>13.5</v>
      </c>
      <c r="F30" s="134">
        <f>SUM(F28:F29)</f>
        <v>13.5</v>
      </c>
      <c r="G30" s="112">
        <f>SUM(G28:G29)</f>
        <v>0</v>
      </c>
      <c r="H30" s="1983"/>
      <c r="I30" s="1983"/>
      <c r="J30" s="1983"/>
      <c r="K30" s="1983"/>
      <c r="L30" s="1983"/>
    </row>
    <row r="31" spans="1:19" ht="32.25" customHeight="1" thickBot="1">
      <c r="A31" s="1369"/>
      <c r="B31" s="1370" t="s">
        <v>229</v>
      </c>
      <c r="C31" s="2329" t="s">
        <v>2323</v>
      </c>
      <c r="D31" s="1371">
        <f>D27+D30</f>
        <v>28344.22</v>
      </c>
      <c r="E31" s="1371">
        <f>E27+E30</f>
        <v>13432.367</v>
      </c>
      <c r="F31" s="1372">
        <f>F27+F30</f>
        <v>13432.367</v>
      </c>
      <c r="G31" s="1373">
        <f>G27+G30</f>
        <v>0</v>
      </c>
      <c r="H31" s="1983"/>
      <c r="I31" s="1983"/>
      <c r="J31" s="1983"/>
      <c r="K31" s="1983"/>
      <c r="L31" s="1983"/>
    </row>
    <row r="32" spans="1:19">
      <c r="A32" s="1983"/>
      <c r="B32" s="2362" t="s">
        <v>2322</v>
      </c>
      <c r="C32" s="2670"/>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G6" activePane="bottomRight" state="frozen"/>
      <selection pane="topRight" activeCell="D1" sqref="D1"/>
      <selection pane="bottomLeft" activeCell="A4" sqref="A4"/>
      <selection pane="bottomRight" activeCell="AO28" sqref="AO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43250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44"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工业</v>
      </c>
      <c r="B6" s="2336" t="str">
        <f>IF(A6=0,"","经营性")</f>
        <v>经营性</v>
      </c>
      <c r="C6" s="173" t="s">
        <v>982</v>
      </c>
      <c r="D6" s="2307">
        <f>SUMIF(项目基本情况!D$15:I$15,C6,项目基本情况!D$18:I$18)</f>
        <v>50</v>
      </c>
      <c r="E6" s="2308">
        <f>IF(B6="","",SUMIF(项目基本情况!D$15:I$15,C6,项目基本情况!D$17:I$17))</f>
        <v>59907</v>
      </c>
      <c r="F6" s="174">
        <f>SUMIF(项目基本情况!D$15:I$15,C6,项目基本情况!D$19:I$19)</f>
        <v>45.63</v>
      </c>
      <c r="G6" s="175">
        <f>IF(ISERROR(ROUND(POWER(1+H6,D6-F6)*(POWER(1+H6,F6)-1)/(POWER(1+H6,D6)-1),3)),0,ROUND(POWER(1+H6,D6-F6)*(POWER(1+H6,F6)-1)/(POWER(1+H6,D6)-1),3))</f>
        <v>0.96899999999999997</v>
      </c>
      <c r="H6" s="3049">
        <v>0.04</v>
      </c>
      <c r="I6" s="3049">
        <v>0.05</v>
      </c>
      <c r="J6" s="176">
        <v>8.5000000000000006E-2</v>
      </c>
      <c r="K6" s="179">
        <f>SUMIF('数据-汇总表'!C$19:C$33,'数据-取费表'!A6,'数据-汇总表'!E$19:E$33)</f>
        <v>13418.867</v>
      </c>
      <c r="L6" s="3050">
        <v>2500</v>
      </c>
      <c r="M6" s="177">
        <f t="shared" ref="M6:M14" si="0">ROUND(K6*L6/10000,0)</f>
        <v>3355</v>
      </c>
      <c r="N6" s="3051">
        <v>0</v>
      </c>
      <c r="O6" s="177">
        <f>IF($N$5="成新度","——",ROUND(M6*N6,0))</f>
        <v>0</v>
      </c>
      <c r="P6" s="178">
        <f>IF($N$5="成新度","——",M6-O6)</f>
        <v>3355</v>
      </c>
      <c r="Q6" s="3052">
        <v>0.05</v>
      </c>
      <c r="R6" s="179">
        <f>SUMIF('数据-汇总表'!C$19:C$33,A6,'数据-汇总表'!R$19:R$33)</f>
        <v>28344.22</v>
      </c>
      <c r="S6" s="132">
        <f>IF('数据-汇总表'!$I$17="按面积比例",SUMIF('数据-汇总表'!C$19:C$33,A6,'数据-汇总表'!K$19:K$33),SUMIF('数据-汇总表'!C$19:C$33,A6,'数据-汇总表'!N$19:N$33))</f>
        <v>13.5</v>
      </c>
      <c r="T6" s="2233">
        <f>IF($T$4="按面积比例",IF(ISERROR(ROUND($M$14*S6/S$16,0)),"0",ROUND($M$14*S6/S$16,0)),"需自行计算录入")</f>
        <v>1</v>
      </c>
      <c r="U6" s="180">
        <v>1.1000000000000001</v>
      </c>
      <c r="V6" s="181">
        <v>0.02</v>
      </c>
      <c r="W6" s="181">
        <v>0.1</v>
      </c>
      <c r="X6" s="2320"/>
      <c r="Y6" s="182">
        <v>1</v>
      </c>
      <c r="Z6" s="183"/>
      <c r="AA6" s="176"/>
      <c r="AB6" s="176"/>
      <c r="AC6" s="2323"/>
      <c r="AD6" s="184"/>
      <c r="AE6" s="972">
        <f ca="1">IF(AN6="",0,SUMIF(INDIRECT("'"&amp;AN6&amp;"'"&amp;"!E:E"),$AE$5,INDIRECT("'"&amp;AN6&amp;"'"&amp;"!F:F")))</f>
        <v>44.13</v>
      </c>
      <c r="AF6" s="141"/>
      <c r="AG6" s="1212">
        <f>IF(AF6="",0,AE6-AF6)</f>
        <v>0</v>
      </c>
      <c r="AH6" s="141"/>
      <c r="AI6" s="187">
        <v>365</v>
      </c>
      <c r="AJ6" s="188"/>
      <c r="AK6" s="189">
        <v>1.4999999999999999E-2</v>
      </c>
      <c r="AL6" s="190">
        <v>1.5E-3</v>
      </c>
      <c r="AM6" s="3063">
        <v>0.01</v>
      </c>
      <c r="AN6" s="2415" t="s">
        <v>3006</v>
      </c>
      <c r="AO6" s="1999"/>
      <c r="AP6" s="1203">
        <f>ROUND(1-1/(1+H6)^F6,3)</f>
        <v>0.83299999999999996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hidden="1">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9"/>
      <c r="I7" s="3049"/>
      <c r="J7" s="176"/>
      <c r="K7" s="179">
        <f>SUMIF('数据-汇总表'!C$19:C$33,'数据-取费表'!A7,'数据-汇总表'!E$19:E$33)</f>
        <v>0</v>
      </c>
      <c r="L7" s="3050"/>
      <c r="M7" s="177">
        <f t="shared" si="0"/>
        <v>0</v>
      </c>
      <c r="N7" s="3051"/>
      <c r="O7" s="177">
        <f t="shared" ref="O7:O14" si="3">IF($N$5="成新度","——",ROUND(M7*N7,0))</f>
        <v>0</v>
      </c>
      <c r="P7" s="178">
        <f t="shared" ref="P7:P14" si="4">IF($N$5="成新度","——",M7-O7)</f>
        <v>0</v>
      </c>
      <c r="Q7" s="3052"/>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49"/>
      <c r="I8" s="3049"/>
      <c r="J8" s="176"/>
      <c r="K8" s="179">
        <f>SUMIF('数据-汇总表'!C$19:C$33,'数据-取费表'!A8,'数据-汇总表'!E$19:E$33)</f>
        <v>0</v>
      </c>
      <c r="L8" s="3050"/>
      <c r="M8" s="177">
        <f>ROUND(K8*L8/10000,0)</f>
        <v>0</v>
      </c>
      <c r="N8" s="3051"/>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13.5</v>
      </c>
      <c r="L14" s="3050">
        <v>800</v>
      </c>
      <c r="M14" s="177">
        <f t="shared" si="0"/>
        <v>1</v>
      </c>
      <c r="N14" s="3051">
        <v>0</v>
      </c>
      <c r="O14" s="177">
        <f t="shared" si="3"/>
        <v>0</v>
      </c>
      <c r="P14" s="178">
        <f t="shared" si="4"/>
        <v>1</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0.96899999999999997</v>
      </c>
      <c r="H16" s="203">
        <f>ROUND(SUMPRODUCT(H6:H13,K6:K13)/SUMPRODUCT((H6:H13&gt;0)*(K6:K13)),3)</f>
        <v>0.04</v>
      </c>
      <c r="I16" s="204"/>
      <c r="J16" s="204"/>
      <c r="K16" s="205">
        <f>SUM(K6:K15)</f>
        <v>13432.367</v>
      </c>
      <c r="L16" s="206">
        <f>ROUND(M16*10000/SUM(K6:K14),0)</f>
        <v>2498</v>
      </c>
      <c r="M16" s="206">
        <f>SUM(M6:M14)</f>
        <v>3356</v>
      </c>
      <c r="N16" s="207">
        <f>ROUND(SUMPRODUCT(M6:M14,N6:N14)/M16,3)</f>
        <v>0</v>
      </c>
      <c r="O16" s="206">
        <f>SUM(O6:O14)</f>
        <v>0</v>
      </c>
      <c r="P16" s="206">
        <f>SUM(P6:P14)</f>
        <v>3356</v>
      </c>
      <c r="Q16" s="208">
        <f>ROUND(SUMPRODUCT(Q6:Q13,K6:K13)/SUMPRODUCT((Q6:Q13&gt;0)*(K6:K13)),2)</f>
        <v>0.05</v>
      </c>
      <c r="R16" s="2310">
        <f>SUM(R6:R13)</f>
        <v>28344.22</v>
      </c>
      <c r="S16" s="209">
        <f>SUM(S6:S13)</f>
        <v>13.5</v>
      </c>
      <c r="T16" s="210">
        <f>IF(SUMIF(T6:T13,"&lt;9E307")=M14,SUMIF(T6:T13,"&lt;9E307"),"有误，请检查")</f>
        <v>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0.83299999999999996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227">
        <v>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2339</v>
      </c>
      <c r="B28" s="229">
        <v>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0">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98"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9"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1410</v>
      </c>
      <c r="C53" s="3100" t="s">
        <v>2905</v>
      </c>
      <c r="D53" s="3101"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2907</v>
      </c>
      <c r="B54" s="186">
        <v>30</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2908</v>
      </c>
      <c r="B55" s="186">
        <v>24</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2909</v>
      </c>
      <c r="B56" s="186">
        <v>18</v>
      </c>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2910</v>
      </c>
      <c r="B57" s="186">
        <v>12</v>
      </c>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2911</v>
      </c>
      <c r="B58" s="186">
        <v>3</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2912</v>
      </c>
      <c r="B59" s="186">
        <v>1.5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37" sqref="H3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7" t="s">
        <v>1664</v>
      </c>
      <c r="B1" s="3278"/>
      <c r="C1" s="3278"/>
      <c r="D1" s="3278"/>
      <c r="E1" s="3278"/>
      <c r="F1" s="3278"/>
      <c r="G1" s="3278"/>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27">
      <c r="A3" s="1226" t="s">
        <v>1667</v>
      </c>
      <c r="B3" s="1227" t="s">
        <v>1654</v>
      </c>
      <c r="C3" s="3105"/>
      <c r="D3" s="2008"/>
      <c r="E3" s="1228" t="s">
        <v>1667</v>
      </c>
      <c r="F3" s="1229" t="s">
        <v>1655</v>
      </c>
      <c r="G3" s="3109"/>
      <c r="H3" s="2007"/>
      <c r="I3" s="2007"/>
      <c r="J3" s="2007"/>
      <c r="K3" s="2007"/>
      <c r="L3" s="2007"/>
      <c r="M3" s="2007"/>
      <c r="N3" s="2007"/>
      <c r="O3" s="2007"/>
      <c r="P3" s="2007"/>
      <c r="Q3" s="2007"/>
      <c r="R3" s="2007"/>
    </row>
    <row r="4" spans="1:18" ht="14.25">
      <c r="A4" s="1228"/>
      <c r="B4" s="1230" t="s">
        <v>1668</v>
      </c>
      <c r="C4" s="3106"/>
      <c r="D4" s="2008"/>
      <c r="E4" s="1231"/>
      <c r="F4" s="1232" t="s">
        <v>1669</v>
      </c>
      <c r="G4" s="3107"/>
      <c r="H4" s="2007"/>
      <c r="I4" s="2007"/>
      <c r="J4" s="2007"/>
      <c r="K4" s="2007"/>
      <c r="L4" s="2007"/>
      <c r="M4" s="2007"/>
      <c r="N4" s="2007"/>
      <c r="O4" s="2007"/>
      <c r="P4" s="2007"/>
      <c r="Q4" s="2007"/>
      <c r="R4" s="2007"/>
    </row>
    <row r="5" spans="1:18" ht="14.25">
      <c r="A5" s="1228"/>
      <c r="B5" s="1230" t="s">
        <v>1670</v>
      </c>
      <c r="C5" s="3106"/>
      <c r="D5" s="2008"/>
      <c r="E5" s="1231"/>
      <c r="F5" s="1230" t="s">
        <v>2547</v>
      </c>
      <c r="G5" s="3107"/>
      <c r="H5" s="2007"/>
      <c r="I5" s="2007"/>
      <c r="J5" s="2007"/>
      <c r="K5" s="2007"/>
      <c r="L5" s="2007"/>
      <c r="M5" s="2007"/>
      <c r="N5" s="2007"/>
      <c r="O5" s="2007"/>
      <c r="P5" s="2007"/>
      <c r="Q5" s="2007"/>
      <c r="R5" s="2007"/>
    </row>
    <row r="6" spans="1:18" ht="14.25">
      <c r="A6" s="1228"/>
      <c r="B6" s="1230" t="s">
        <v>1656</v>
      </c>
      <c r="C6" s="3107"/>
      <c r="D6" s="2008"/>
      <c r="E6" s="1231"/>
      <c r="F6" s="1230" t="s">
        <v>2548</v>
      </c>
      <c r="G6" s="3107"/>
      <c r="H6" s="2007"/>
      <c r="I6" s="2007"/>
      <c r="J6" s="2007"/>
      <c r="K6" s="2007"/>
      <c r="L6" s="2007"/>
      <c r="M6" s="2007"/>
      <c r="N6" s="2007"/>
      <c r="O6" s="2007"/>
      <c r="P6" s="2007"/>
      <c r="Q6" s="2007"/>
      <c r="R6" s="2007"/>
    </row>
    <row r="7" spans="1:18" ht="15" thickBot="1">
      <c r="A7" s="1228"/>
      <c r="B7" s="1230" t="s">
        <v>2547</v>
      </c>
      <c r="C7" s="3107"/>
      <c r="D7" s="2009"/>
      <c r="E7" s="1233"/>
      <c r="F7" s="1234" t="s">
        <v>1671</v>
      </c>
      <c r="G7" s="3110"/>
      <c r="H7" s="2007"/>
      <c r="I7" s="2007"/>
      <c r="J7" s="2007"/>
      <c r="K7" s="2007"/>
      <c r="L7" s="2007"/>
      <c r="M7" s="2007"/>
      <c r="N7" s="2007"/>
      <c r="O7" s="2007"/>
      <c r="P7" s="2007"/>
      <c r="Q7" s="2007"/>
      <c r="R7" s="2007"/>
    </row>
    <row r="8" spans="1:18" ht="14.25">
      <c r="A8" s="1228"/>
      <c r="B8" s="1230" t="s">
        <v>2548</v>
      </c>
      <c r="C8" s="3107"/>
      <c r="D8" s="2009"/>
      <c r="E8" s="2009"/>
      <c r="F8" s="1552"/>
      <c r="G8" s="1552"/>
      <c r="H8" s="2007"/>
      <c r="I8" s="2007"/>
      <c r="J8" s="2007"/>
      <c r="K8" s="2007"/>
      <c r="L8" s="2007"/>
      <c r="M8" s="2007"/>
      <c r="N8" s="2007"/>
      <c r="O8" s="2007"/>
      <c r="P8" s="2007"/>
      <c r="Q8" s="2007"/>
      <c r="R8" s="2007"/>
    </row>
    <row r="9" spans="1:18" ht="14.25">
      <c r="A9" s="1228"/>
      <c r="B9" s="1230" t="s">
        <v>1657</v>
      </c>
      <c r="C9" s="3106"/>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108"/>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27">
      <c r="A15" s="2611" t="s">
        <v>1658</v>
      </c>
      <c r="B15" s="1241" t="s">
        <v>1654</v>
      </c>
      <c r="C15" s="1242">
        <f>C3</f>
        <v>0</v>
      </c>
      <c r="D15" s="2008"/>
      <c r="E15" s="2608" t="s">
        <v>1659</v>
      </c>
      <c r="F15" s="1241" t="s">
        <v>1674</v>
      </c>
      <c r="G15" s="1243">
        <f>G3</f>
        <v>0</v>
      </c>
    </row>
    <row r="16" spans="1:18">
      <c r="A16" s="2612"/>
      <c r="B16" s="1244" t="s">
        <v>1668</v>
      </c>
      <c r="C16" s="1245">
        <f>C4</f>
        <v>0</v>
      </c>
      <c r="D16" s="2008"/>
      <c r="E16" s="2609"/>
      <c r="F16" s="1246" t="s">
        <v>1669</v>
      </c>
      <c r="G16" s="1004">
        <f>G4</f>
        <v>0</v>
      </c>
    </row>
    <row r="17" spans="1:7" ht="14.25">
      <c r="A17" s="2612"/>
      <c r="B17" s="1244" t="s">
        <v>1670</v>
      </c>
      <c r="C17" s="1245">
        <f>C5</f>
        <v>0</v>
      </c>
      <c r="D17" s="2009"/>
      <c r="E17" s="2609"/>
      <c r="F17" s="1246" t="s">
        <v>1675</v>
      </c>
      <c r="G17" s="2817"/>
    </row>
    <row r="18" spans="1:7">
      <c r="A18" s="2612"/>
      <c r="B18" s="1246" t="s">
        <v>1656</v>
      </c>
      <c r="C18" s="1004">
        <f>C6</f>
        <v>0</v>
      </c>
      <c r="D18" s="2009"/>
      <c r="E18" s="2609"/>
      <c r="F18" s="1246" t="s">
        <v>1671</v>
      </c>
      <c r="G18" s="1004">
        <f>G7</f>
        <v>0</v>
      </c>
    </row>
    <row r="19" spans="1:7" ht="14.25">
      <c r="A19" s="2612"/>
      <c r="B19" s="1246" t="s">
        <v>1660</v>
      </c>
      <c r="C19" s="2817"/>
      <c r="D19" s="2008"/>
      <c r="E19" s="2609"/>
      <c r="F19" s="1230" t="s">
        <v>2547</v>
      </c>
      <c r="G19" s="1004">
        <f>G5</f>
        <v>0</v>
      </c>
    </row>
    <row r="20" spans="1:7">
      <c r="A20" s="2612"/>
      <c r="B20" s="1246" t="s">
        <v>1661</v>
      </c>
      <c r="C20" s="1245">
        <f>C9</f>
        <v>0</v>
      </c>
      <c r="D20" s="2009"/>
      <c r="E20" s="2609"/>
      <c r="F20" s="1230" t="s">
        <v>2548</v>
      </c>
      <c r="G20" s="1004">
        <f>G6</f>
        <v>0</v>
      </c>
    </row>
    <row r="21" spans="1:7" ht="14.25">
      <c r="A21" s="2612"/>
      <c r="B21" s="1230" t="s">
        <v>2547</v>
      </c>
      <c r="C21" s="1004">
        <f>C7</f>
        <v>0</v>
      </c>
      <c r="D21" s="2008"/>
      <c r="E21" s="2609"/>
      <c r="F21" s="1246" t="s">
        <v>1662</v>
      </c>
      <c r="G21" s="3111"/>
    </row>
    <row r="22" spans="1:7" ht="14.25">
      <c r="A22" s="2612"/>
      <c r="B22" s="1230" t="s">
        <v>2548</v>
      </c>
      <c r="C22" s="1004">
        <f>C8</f>
        <v>0</v>
      </c>
      <c r="D22" s="2008"/>
      <c r="E22" s="2609"/>
      <c r="F22" s="1246" t="s">
        <v>1672</v>
      </c>
      <c r="G22" s="2817"/>
    </row>
    <row r="23" spans="1:7" ht="15" thickBot="1">
      <c r="A23" s="2612"/>
      <c r="B23" s="1246" t="s">
        <v>1662</v>
      </c>
      <c r="C23" s="3111"/>
      <c r="E23" s="2610"/>
      <c r="F23" s="1247" t="s">
        <v>1676</v>
      </c>
      <c r="G23" s="3112" t="s">
        <v>3042</v>
      </c>
    </row>
    <row r="24" spans="1:7" ht="14.25" thickBot="1">
      <c r="A24" s="2613"/>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4" sqref="E34"/>
    </sheetView>
  </sheetViews>
  <sheetFormatPr defaultColWidth="14.625" defaultRowHeight="13.5"/>
  <cols>
    <col min="1" max="1" width="24.375" customWidth="1"/>
  </cols>
  <sheetData>
    <row r="1" spans="1:9" ht="16.5">
      <c r="A1" s="3069" t="s">
        <v>2845</v>
      </c>
      <c r="B1" s="3069">
        <f>SUM(B14:B23)</f>
        <v>13432.367</v>
      </c>
      <c r="C1" s="3070"/>
      <c r="D1" s="3070"/>
      <c r="E1" s="3070"/>
      <c r="F1" s="3070"/>
    </row>
    <row r="2" spans="1:9" ht="16.5">
      <c r="A2" s="3069" t="s">
        <v>2846</v>
      </c>
      <c r="B2" s="3069">
        <f>SUM(C14:C23)</f>
        <v>28344.22</v>
      </c>
      <c r="C2" s="3070"/>
      <c r="D2" s="3070"/>
      <c r="E2" s="3070"/>
      <c r="F2" s="3070"/>
    </row>
    <row r="3" spans="1:9" ht="16.5">
      <c r="A3" s="3069" t="s">
        <v>2847</v>
      </c>
      <c r="B3" s="3071">
        <f>项目基本情况!D3</f>
        <v>43250</v>
      </c>
      <c r="C3" s="3070"/>
      <c r="D3" s="3070"/>
      <c r="E3" s="3070"/>
      <c r="F3" s="3070"/>
    </row>
    <row r="4" spans="1:9" ht="33">
      <c r="A4" s="3069" t="s">
        <v>2848</v>
      </c>
      <c r="B4" s="3069" t="s">
        <v>2849</v>
      </c>
      <c r="C4" s="3069" t="s">
        <v>2850</v>
      </c>
      <c r="D4" s="3069" t="s">
        <v>2851</v>
      </c>
      <c r="E4" s="3070"/>
      <c r="F4" s="3070"/>
    </row>
    <row r="5" spans="1:9" ht="16.5">
      <c r="A5" s="3069" t="s">
        <v>2852</v>
      </c>
      <c r="B5" s="3069">
        <f ca="1">SUM(D14:D23)</f>
        <v>3093</v>
      </c>
      <c r="C5" s="3069">
        <f ca="1">ROUND(B5*10000/$B$1,0)</f>
        <v>2303</v>
      </c>
      <c r="D5" s="3069">
        <f ca="1">ROUND(B5*10000/$B$2,0)</f>
        <v>1091</v>
      </c>
      <c r="E5" s="3070"/>
      <c r="F5" s="3070"/>
    </row>
    <row r="6" spans="1:9" ht="16.5">
      <c r="A6" s="3069" t="s">
        <v>2853</v>
      </c>
      <c r="B6" s="3069">
        <f>SUM(G14:G23)</f>
        <v>0</v>
      </c>
      <c r="C6" s="3069">
        <f t="shared" ref="C6:C8" si="0">ROUND(B6*10000/$B$1,0)</f>
        <v>0</v>
      </c>
      <c r="D6" s="3069">
        <f t="shared" ref="D6:D8" si="1">ROUND(B6*10000/$B$2,0)</f>
        <v>0</v>
      </c>
      <c r="E6" s="3070"/>
      <c r="F6" s="3070"/>
    </row>
    <row r="7" spans="1:9" ht="16.5">
      <c r="A7" s="3069" t="s">
        <v>2854</v>
      </c>
      <c r="B7" s="3069">
        <f ca="1">SUM(H14:H23)</f>
        <v>3093</v>
      </c>
      <c r="C7" s="3069">
        <f t="shared" ca="1" si="0"/>
        <v>2303</v>
      </c>
      <c r="D7" s="3069">
        <f t="shared" ca="1" si="1"/>
        <v>1091</v>
      </c>
      <c r="E7" s="3070"/>
      <c r="F7" s="3070"/>
    </row>
    <row r="8" spans="1:9" ht="16.5">
      <c r="A8" s="3069" t="s">
        <v>2855</v>
      </c>
      <c r="B8" s="3069">
        <f>SUM(I14:I23)</f>
        <v>0</v>
      </c>
      <c r="C8" s="3069">
        <f t="shared" si="0"/>
        <v>0</v>
      </c>
      <c r="D8" s="3069">
        <f t="shared" si="1"/>
        <v>0</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13432.367</v>
      </c>
      <c r="C14" s="3073">
        <f>结果表!K38</f>
        <v>28344.22</v>
      </c>
      <c r="D14" s="3073">
        <f ca="1">结果表!C42</f>
        <v>3093</v>
      </c>
      <c r="E14" s="3073">
        <f ca="1">ROUND(D14*10000/B14,0)</f>
        <v>2303</v>
      </c>
      <c r="F14" s="3073">
        <f ca="1">ROUND(D14*10000/C14,0)</f>
        <v>1091</v>
      </c>
      <c r="G14" s="3073" t="str">
        <f>结果表!C44</f>
        <v>——</v>
      </c>
      <c r="H14" s="3073">
        <f ca="1">结果表!C45</f>
        <v>3093</v>
      </c>
      <c r="I14" s="3073" t="str">
        <f>结果表!C46</f>
        <v>——</v>
      </c>
    </row>
    <row r="15" spans="1:9" ht="16.5">
      <c r="A15" s="3076" t="s">
        <v>2862</v>
      </c>
      <c r="B15" s="3077"/>
      <c r="C15" s="3077"/>
      <c r="D15" s="3077"/>
      <c r="E15" s="3073" t="e">
        <f t="shared" ref="E15:E23" si="2">ROUND(D15*10000/B15,0)</f>
        <v>#DIV/0!</v>
      </c>
      <c r="F15" s="3073" t="e">
        <f t="shared" ref="F15:F23" si="3">ROUND(D15*10000/C15,0)</f>
        <v>#DIV/0!</v>
      </c>
      <c r="G15" s="3074"/>
      <c r="H15" s="3074"/>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0" sqref="I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3046</v>
      </c>
      <c r="E1" s="1804" t="s">
        <v>2058</v>
      </c>
      <c r="F1" s="1806" t="s">
        <v>3047</v>
      </c>
      <c r="G1" s="311"/>
      <c r="H1" s="311"/>
      <c r="I1" s="311"/>
      <c r="J1" s="2028"/>
      <c r="K1" s="2028"/>
      <c r="L1" s="2028"/>
      <c r="M1" s="2028"/>
      <c r="N1" s="2028"/>
      <c r="O1" s="2028"/>
      <c r="P1" s="2028"/>
      <c r="Q1" s="2028"/>
      <c r="R1" s="2028"/>
      <c r="S1" s="2028"/>
      <c r="T1" s="2028"/>
      <c r="U1" s="2028"/>
      <c r="V1" s="2028"/>
    </row>
    <row r="2" spans="1:22" ht="21.75" customHeight="1" thickBot="1">
      <c r="A2" s="3324" t="str">
        <f>项目基本情况!K2</f>
        <v>北京市顺义区北小营镇北小营村东出让国有建设用地使用权</v>
      </c>
      <c r="B2" s="3325"/>
      <c r="C2" s="3326"/>
      <c r="D2" s="3326"/>
      <c r="E2" s="3326"/>
      <c r="F2" s="3326"/>
      <c r="G2" s="3325"/>
      <c r="H2" s="3325"/>
      <c r="I2" s="3327"/>
      <c r="J2" s="2029"/>
      <c r="K2" s="2028"/>
      <c r="L2" s="2028"/>
      <c r="M2" s="2028"/>
      <c r="N2" s="2028"/>
      <c r="O2" s="2028"/>
      <c r="P2" s="2028"/>
      <c r="Q2" s="2028"/>
      <c r="R2" s="2028"/>
      <c r="S2" s="2028"/>
      <c r="T2" s="2028"/>
      <c r="U2" s="2028"/>
      <c r="V2" s="2028"/>
    </row>
    <row r="3" spans="1:22" ht="14.25">
      <c r="A3" s="3335" t="s">
        <v>298</v>
      </c>
      <c r="B3" s="3336"/>
      <c r="C3" s="3336"/>
      <c r="D3" s="3336"/>
      <c r="E3" s="3336"/>
      <c r="F3" s="3336"/>
      <c r="G3" s="3336"/>
      <c r="H3" s="3336"/>
      <c r="I3" s="3336"/>
      <c r="J3" s="2029"/>
      <c r="K3" s="2028"/>
      <c r="L3" s="2028"/>
      <c r="M3" s="2028"/>
      <c r="N3" s="2028"/>
      <c r="O3" s="2028"/>
      <c r="P3" s="2028"/>
      <c r="Q3" s="2028"/>
      <c r="R3" s="2028"/>
      <c r="S3" s="2028"/>
      <c r="T3" s="2028"/>
      <c r="U3" s="2028"/>
      <c r="V3" s="2028"/>
    </row>
    <row r="4" spans="1:22" ht="14.25">
      <c r="A4" s="258" t="s">
        <v>299</v>
      </c>
      <c r="B4" s="259" t="s">
        <v>300</v>
      </c>
      <c r="C4" s="260" t="s">
        <v>3007</v>
      </c>
      <c r="D4" s="260" t="s">
        <v>3008</v>
      </c>
      <c r="E4" s="3299" t="s">
        <v>301</v>
      </c>
      <c r="F4" s="3341"/>
      <c r="G4" s="3341"/>
      <c r="H4" s="3341"/>
      <c r="I4" s="330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8" t="s">
        <v>302</v>
      </c>
      <c r="B5" s="3329">
        <v>25</v>
      </c>
      <c r="C5" s="3337"/>
      <c r="D5" s="3340"/>
      <c r="E5" s="261" t="s">
        <v>303</v>
      </c>
      <c r="F5" s="262"/>
      <c r="G5" s="262"/>
      <c r="H5" s="262"/>
      <c r="I5" s="263"/>
      <c r="J5" s="2029"/>
      <c r="K5" s="2028"/>
      <c r="L5" s="2028"/>
      <c r="M5" s="2028"/>
      <c r="N5" s="2028"/>
      <c r="O5" s="2028"/>
      <c r="P5" s="2028"/>
      <c r="Q5" s="2028"/>
      <c r="R5" s="2028"/>
      <c r="S5" s="2028"/>
      <c r="T5" s="2028"/>
      <c r="U5" s="2028"/>
      <c r="V5" s="2028"/>
    </row>
    <row r="6" spans="1:22" ht="14.25">
      <c r="A6" s="3328"/>
      <c r="B6" s="3329"/>
      <c r="C6" s="3338"/>
      <c r="D6" s="3340"/>
      <c r="E6" s="261" t="s">
        <v>304</v>
      </c>
      <c r="F6" s="262"/>
      <c r="G6" s="262"/>
      <c r="H6" s="262"/>
      <c r="I6" s="263"/>
      <c r="J6" s="2029"/>
      <c r="K6" s="2028"/>
      <c r="L6" s="2028"/>
      <c r="M6" s="2028"/>
      <c r="N6" s="2028"/>
      <c r="O6" s="2028"/>
      <c r="P6" s="2028"/>
      <c r="Q6" s="2028"/>
      <c r="R6" s="2028"/>
      <c r="S6" s="2028"/>
      <c r="T6" s="2028"/>
      <c r="U6" s="2028"/>
      <c r="V6" s="2028"/>
    </row>
    <row r="7" spans="1:22" ht="14.25">
      <c r="A7" s="3328"/>
      <c r="B7" s="3329"/>
      <c r="C7" s="3339"/>
      <c r="D7" s="3340"/>
      <c r="E7" s="261" t="s">
        <v>305</v>
      </c>
      <c r="F7" s="262"/>
      <c r="G7" s="262"/>
      <c r="H7" s="262"/>
      <c r="I7" s="263"/>
      <c r="J7" s="2029"/>
      <c r="K7" s="2028"/>
      <c r="L7" s="2028"/>
      <c r="M7" s="2028"/>
      <c r="N7" s="2028"/>
      <c r="O7" s="2028"/>
      <c r="P7" s="2028"/>
      <c r="Q7" s="2028"/>
      <c r="R7" s="2028"/>
      <c r="S7" s="2028"/>
      <c r="T7" s="2028"/>
      <c r="U7" s="2028"/>
      <c r="V7" s="2028"/>
    </row>
    <row r="8" spans="1:22" ht="14.25">
      <c r="A8" s="3328" t="s">
        <v>306</v>
      </c>
      <c r="B8" s="3329">
        <v>15</v>
      </c>
      <c r="C8" s="3337"/>
      <c r="D8" s="3340"/>
      <c r="E8" s="261" t="s">
        <v>307</v>
      </c>
      <c r="F8" s="262"/>
      <c r="G8" s="262"/>
      <c r="H8" s="262"/>
      <c r="I8" s="263"/>
      <c r="J8" s="2029"/>
      <c r="K8" s="2028"/>
      <c r="L8" s="2028"/>
      <c r="M8" s="2028"/>
      <c r="N8" s="2028"/>
      <c r="O8" s="2028"/>
      <c r="P8" s="2028"/>
      <c r="Q8" s="2028"/>
      <c r="R8" s="2028"/>
      <c r="S8" s="2028"/>
      <c r="T8" s="2028"/>
      <c r="U8" s="2028"/>
      <c r="V8" s="2028"/>
    </row>
    <row r="9" spans="1:22" ht="14.25">
      <c r="A9" s="3328"/>
      <c r="B9" s="3329"/>
      <c r="C9" s="3339"/>
      <c r="D9" s="3340"/>
      <c r="E9" s="261" t="s">
        <v>308</v>
      </c>
      <c r="F9" s="262"/>
      <c r="G9" s="262"/>
      <c r="H9" s="262"/>
      <c r="I9" s="263"/>
      <c r="J9" s="2029"/>
      <c r="K9" s="2028"/>
      <c r="L9" s="2028"/>
      <c r="M9" s="2028"/>
      <c r="N9" s="2028"/>
      <c r="O9" s="2028"/>
      <c r="P9" s="2028"/>
      <c r="Q9" s="2028"/>
      <c r="R9" s="2028"/>
      <c r="S9" s="2028"/>
      <c r="T9" s="2028"/>
      <c r="U9" s="2028"/>
      <c r="V9" s="2028"/>
    </row>
    <row r="10" spans="1:22" ht="14.25">
      <c r="A10" s="3328" t="s">
        <v>309</v>
      </c>
      <c r="B10" s="3329">
        <v>15</v>
      </c>
      <c r="C10" s="3337"/>
      <c r="D10" s="3340"/>
      <c r="E10" s="261" t="s">
        <v>310</v>
      </c>
      <c r="F10" s="262"/>
      <c r="G10" s="262"/>
      <c r="H10" s="262"/>
      <c r="I10" s="263"/>
      <c r="J10" s="2029"/>
      <c r="K10" s="2028"/>
      <c r="L10" s="2028"/>
      <c r="M10" s="2028"/>
      <c r="N10" s="2028"/>
      <c r="O10" s="2028"/>
      <c r="P10" s="2028"/>
      <c r="Q10" s="2028"/>
      <c r="R10" s="2028"/>
      <c r="S10" s="2028"/>
      <c r="T10" s="2028"/>
      <c r="U10" s="2028"/>
      <c r="V10" s="2028"/>
    </row>
    <row r="11" spans="1:22" ht="14.25">
      <c r="A11" s="3328"/>
      <c r="B11" s="3329"/>
      <c r="C11" s="3339"/>
      <c r="D11" s="3340"/>
      <c r="E11" s="261" t="s">
        <v>311</v>
      </c>
      <c r="F11" s="262"/>
      <c r="G11" s="262"/>
      <c r="H11" s="262"/>
      <c r="I11" s="263"/>
      <c r="J11" s="2029"/>
      <c r="K11" s="2028"/>
      <c r="L11" s="2028"/>
      <c r="M11" s="2028"/>
      <c r="N11" s="2028"/>
      <c r="O11" s="2028"/>
      <c r="P11" s="2028"/>
      <c r="Q11" s="2028"/>
      <c r="R11" s="2028"/>
      <c r="S11" s="2028"/>
      <c r="T11" s="2028"/>
      <c r="U11" s="2028"/>
      <c r="V11" s="2028"/>
    </row>
    <row r="12" spans="1:22" ht="14.25">
      <c r="A12" s="3328" t="s">
        <v>312</v>
      </c>
      <c r="B12" s="3329">
        <v>15</v>
      </c>
      <c r="C12" s="3337"/>
      <c r="D12" s="3340"/>
      <c r="E12" s="261" t="s">
        <v>313</v>
      </c>
      <c r="F12" s="262"/>
      <c r="G12" s="262"/>
      <c r="H12" s="262"/>
      <c r="I12" s="263"/>
      <c r="J12" s="2029"/>
      <c r="K12" s="2028"/>
      <c r="L12" s="2028"/>
      <c r="M12" s="2028"/>
      <c r="N12" s="2028"/>
      <c r="O12" s="2028"/>
      <c r="P12" s="2028"/>
      <c r="Q12" s="2028"/>
      <c r="R12" s="2028"/>
      <c r="S12" s="2028"/>
      <c r="T12" s="2028"/>
      <c r="U12" s="2028"/>
      <c r="V12" s="2028"/>
    </row>
    <row r="13" spans="1:22" ht="14.25">
      <c r="A13" s="3328"/>
      <c r="B13" s="3329"/>
      <c r="C13" s="3339"/>
      <c r="D13" s="3340"/>
      <c r="E13" s="261" t="s">
        <v>314</v>
      </c>
      <c r="F13" s="262"/>
      <c r="G13" s="262"/>
      <c r="H13" s="262"/>
      <c r="I13" s="263"/>
      <c r="J13" s="2029"/>
      <c r="K13" s="2028"/>
      <c r="L13" s="2028"/>
      <c r="M13" s="2028"/>
      <c r="N13" s="2028"/>
      <c r="O13" s="2028"/>
      <c r="P13" s="2028"/>
      <c r="Q13" s="2028"/>
      <c r="R13" s="2028"/>
      <c r="S13" s="2028"/>
      <c r="T13" s="2028"/>
      <c r="U13" s="2028"/>
      <c r="V13" s="2028"/>
    </row>
    <row r="14" spans="1:22" ht="14.25">
      <c r="A14" s="3328" t="s">
        <v>315</v>
      </c>
      <c r="B14" s="3329">
        <v>30</v>
      </c>
      <c r="C14" s="3337">
        <v>5</v>
      </c>
      <c r="D14" s="3340">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28"/>
      <c r="B15" s="3329"/>
      <c r="C15" s="3338"/>
      <c r="D15" s="3340"/>
      <c r="E15" s="261" t="s">
        <v>317</v>
      </c>
      <c r="F15" s="262"/>
      <c r="G15" s="262"/>
      <c r="H15" s="262"/>
      <c r="I15" s="263"/>
      <c r="J15" s="2029"/>
      <c r="K15" s="2028"/>
      <c r="L15" s="2028"/>
      <c r="M15" s="2028"/>
      <c r="N15" s="2028"/>
      <c r="O15" s="2028"/>
      <c r="P15" s="2028"/>
      <c r="Q15" s="2028"/>
      <c r="R15" s="2028"/>
      <c r="S15" s="2028"/>
      <c r="T15" s="2028"/>
      <c r="U15" s="2028"/>
      <c r="V15" s="2028"/>
    </row>
    <row r="16" spans="1:22" ht="14.25">
      <c r="A16" s="3328"/>
      <c r="B16" s="3329"/>
      <c r="C16" s="3339"/>
      <c r="D16" s="334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3736</v>
      </c>
      <c r="D19" s="271">
        <f ca="1">SUMIF(INDIRECT("'"&amp;D4&amp;"'"&amp;"!A:A"),结果表!B19,INDIRECT("'"&amp;D4&amp;"'"&amp;"!B:B"))</f>
        <v>2450</v>
      </c>
      <c r="E19" s="268" t="s">
        <v>323</v>
      </c>
      <c r="F19" s="269" t="s">
        <v>322</v>
      </c>
      <c r="G19" s="272">
        <f ca="1">ROUND(C19*$C$18+D19*$D$18,0)</f>
        <v>3093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2781</v>
      </c>
      <c r="D20" s="277">
        <f ca="1">SUMIF(INDIRECT("'"&amp;D4&amp;"'"&amp;"!A:A"),结果表!B20,INDIRECT("'"&amp;D4&amp;"'"&amp;"!B:B"))</f>
        <v>1824</v>
      </c>
      <c r="E20" s="274"/>
      <c r="F20" s="275" t="s">
        <v>325</v>
      </c>
      <c r="G20" s="278">
        <f ca="1">ROUND(C20*$C$18+D20*$D$18,0)</f>
        <v>2303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1318</v>
      </c>
      <c r="D21" s="151">
        <f ca="1">SUMIF(INDIRECT("'"&amp;D4&amp;"'"&amp;"!A:A"),结果表!B21,INDIRECT("'"&amp;D4&amp;"'"&amp;"!B:B"))</f>
        <v>864</v>
      </c>
      <c r="E21" s="274"/>
      <c r="F21" s="280" t="s">
        <v>327</v>
      </c>
      <c r="G21" s="282">
        <f ca="1">ROUND(C21*$C$18+D21*$D$18,0)</f>
        <v>1091</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0.52489795918367355</v>
      </c>
      <c r="E22" s="284"/>
      <c r="F22" s="285"/>
      <c r="G22" s="286">
        <f ca="1">ROUND(G19/('数据-汇总表'!D3/666.67),0)</f>
        <v>73</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3"/>
      <c r="B25" s="1320" t="s">
        <v>331</v>
      </c>
      <c r="C25" s="290">
        <f>IF(B30=0,0,C30)</f>
        <v>0</v>
      </c>
      <c r="D25" s="291"/>
      <c r="E25" s="311"/>
      <c r="F25" s="311"/>
      <c r="G25" s="311"/>
      <c r="H25" s="311"/>
      <c r="I25" s="311"/>
      <c r="J25" s="2028"/>
      <c r="K25" s="1254" t="str">
        <f ca="1">项目基本情况!B16&amp;"国有建设用地使用权价格："&amp;O38&amp;"万元"</f>
        <v>出让国有建设用地使用权价格：3093万元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大写金额：人民币叁仟零玖拾叁万元整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单位面积地价：1091元/平方米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楼面地价：2303元/平方米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60" t="s">
        <v>336</v>
      </c>
      <c r="B30" s="309"/>
      <c r="C30" s="309"/>
      <c r="D30" s="310"/>
      <c r="E30" s="3161" t="s">
        <v>2963</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92" t="str">
        <f ca="1">IF(项目基本情况!E8="抵押价格","——","抵押担保权已注销时的抵押价格："&amp;O40&amp;"万元")</f>
        <v>抵押担保权已注销时的抵押价格：3093万元</v>
      </c>
      <c r="L31" s="2488"/>
      <c r="M31" s="2488"/>
      <c r="N31" s="2488"/>
      <c r="O31" s="2489"/>
      <c r="P31" s="2028"/>
      <c r="V31" s="2028"/>
    </row>
    <row r="32" spans="1:26" ht="18.75" thickBot="1">
      <c r="A32" s="268" t="s">
        <v>337</v>
      </c>
      <c r="B32" s="1380" t="s">
        <v>1689</v>
      </c>
      <c r="C32" s="1381">
        <f ca="1">G19-C24</f>
        <v>3093</v>
      </c>
      <c r="D32" s="1382" t="s">
        <v>1690</v>
      </c>
      <c r="E32" s="311"/>
      <c r="F32" s="311"/>
      <c r="G32" s="311"/>
      <c r="H32" s="311"/>
      <c r="I32" s="311"/>
      <c r="J32" s="2028"/>
      <c r="K32" s="2487" t="str">
        <f ca="1">IF(K31="——","——","大写金额：人民币"&amp;NUMBERSTRING(INT(O40*10000),2)&amp;"元整")</f>
        <v>大写金额：人民币叁仟零玖拾叁万元整</v>
      </c>
      <c r="L32" s="2490"/>
      <c r="M32" s="2490"/>
      <c r="N32" s="2490"/>
      <c r="O32" s="2491"/>
      <c r="P32" s="2028"/>
      <c r="V32" s="2028"/>
    </row>
    <row r="33" spans="1:26" ht="18.75" thickBot="1">
      <c r="A33" s="298" t="s">
        <v>340</v>
      </c>
      <c r="B33" s="1383" t="s">
        <v>1691</v>
      </c>
      <c r="C33" s="264">
        <f ca="1">ROUND(C32*10000/'数据-汇总表'!E3,0)</f>
        <v>2303</v>
      </c>
      <c r="D33" s="1384" t="s">
        <v>1692</v>
      </c>
      <c r="E33" s="3301" t="s">
        <v>338</v>
      </c>
      <c r="F33" s="296" t="s">
        <v>339</v>
      </c>
      <c r="G33" s="297"/>
      <c r="H33" s="3187" t="s">
        <v>3049</v>
      </c>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1693</v>
      </c>
      <c r="C34" s="264">
        <f ca="1">ROUND(C32*10000/'数据-汇总表'!D3,0)</f>
        <v>1091</v>
      </c>
      <c r="D34" s="1386" t="s">
        <v>1692</v>
      </c>
      <c r="E34" s="3302"/>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73</v>
      </c>
      <c r="D35" s="1389" t="s">
        <v>1694</v>
      </c>
      <c r="E35" s="3303"/>
      <c r="F35" s="301" t="s">
        <v>342</v>
      </c>
      <c r="G35" s="981"/>
      <c r="H35" s="980" t="s">
        <v>343</v>
      </c>
      <c r="I35" s="311"/>
      <c r="J35" s="2028"/>
      <c r="K35" s="3307" t="s">
        <v>350</v>
      </c>
      <c r="L35" s="3307" t="s">
        <v>351</v>
      </c>
      <c r="M35" s="1263" t="s">
        <v>352</v>
      </c>
      <c r="N35" s="3307" t="s">
        <v>353</v>
      </c>
      <c r="O35" s="3307" t="s">
        <v>354</v>
      </c>
      <c r="P35" s="2028"/>
      <c r="V35" s="2028"/>
    </row>
    <row r="36" spans="1:26" ht="16.5" customHeight="1">
      <c r="A36" s="303" t="s">
        <v>344</v>
      </c>
      <c r="B36" s="304" t="s">
        <v>333</v>
      </c>
      <c r="C36" s="305" t="s">
        <v>345</v>
      </c>
      <c r="D36" s="305" t="s">
        <v>346</v>
      </c>
      <c r="E36" s="306" t="s">
        <v>347</v>
      </c>
      <c r="F36" s="311"/>
      <c r="G36" s="311"/>
      <c r="H36" s="311"/>
      <c r="I36" s="311"/>
      <c r="J36" s="2030"/>
      <c r="K36" s="3308"/>
      <c r="L36" s="3308"/>
      <c r="M36" s="1265" t="s">
        <v>355</v>
      </c>
      <c r="N36" s="3308"/>
      <c r="O36" s="3308"/>
      <c r="P36" s="2028"/>
      <c r="V36" s="2028"/>
    </row>
    <row r="37" spans="1:26" ht="16.5" customHeight="1" thickBot="1">
      <c r="A37" s="1259" t="s">
        <v>348</v>
      </c>
      <c r="B37" s="307"/>
      <c r="C37" s="294"/>
      <c r="D37" s="294"/>
      <c r="E37" s="295"/>
      <c r="F37" s="311"/>
      <c r="G37" s="311"/>
      <c r="H37" s="311"/>
      <c r="I37" s="311"/>
      <c r="J37" s="2030"/>
      <c r="K37" s="3309"/>
      <c r="L37" s="3309"/>
      <c r="M37" s="1266"/>
      <c r="N37" s="3309"/>
      <c r="O37" s="3309"/>
      <c r="P37" s="2028"/>
      <c r="V37" s="2028"/>
    </row>
    <row r="38" spans="1:26" ht="16.5" customHeight="1" thickBot="1">
      <c r="A38" s="1259" t="s">
        <v>349</v>
      </c>
      <c r="B38" s="307"/>
      <c r="C38" s="294"/>
      <c r="D38" s="294"/>
      <c r="E38" s="295"/>
      <c r="F38" s="311"/>
      <c r="G38" s="311"/>
      <c r="H38" s="311"/>
      <c r="I38" s="311"/>
      <c r="J38" s="2030"/>
      <c r="K38" s="1267">
        <f>'数据-汇总表'!D3</f>
        <v>28344.22</v>
      </c>
      <c r="L38" s="1268">
        <f>'数据-汇总表'!E3</f>
        <v>13432.367</v>
      </c>
      <c r="M38" s="1268">
        <f ca="1">C34</f>
        <v>1091</v>
      </c>
      <c r="N38" s="1268">
        <f ca="1">C33</f>
        <v>2303</v>
      </c>
      <c r="O38" s="1269">
        <f ca="1">C32</f>
        <v>3093</v>
      </c>
      <c r="P38" s="2028"/>
      <c r="V38" s="2028"/>
    </row>
    <row r="39" spans="1:26" ht="16.5" customHeight="1" thickBot="1">
      <c r="A39" s="1264"/>
      <c r="B39" s="308"/>
      <c r="C39" s="309"/>
      <c r="D39" s="309"/>
      <c r="E39" s="310"/>
      <c r="F39" s="311"/>
      <c r="G39" s="311"/>
      <c r="H39" s="311"/>
      <c r="I39" s="311"/>
      <c r="J39" s="2030"/>
      <c r="K39" s="3284" t="str">
        <f>MID(A44,3,LEN(A44)-2)</f>
        <v/>
      </c>
      <c r="L39" s="3285"/>
      <c r="M39" s="3285"/>
      <c r="N39" s="3286"/>
      <c r="O39" s="1391" t="str">
        <f>C44</f>
        <v>——</v>
      </c>
      <c r="P39" s="2028"/>
      <c r="V39" s="2028"/>
    </row>
    <row r="40" spans="1:26" ht="19.5" thickBot="1">
      <c r="A40" s="104" t="s">
        <v>873</v>
      </c>
      <c r="B40" s="311"/>
      <c r="C40" s="311"/>
      <c r="D40" s="311"/>
      <c r="E40" s="311"/>
      <c r="F40" s="311"/>
      <c r="G40" s="311"/>
      <c r="H40" s="311"/>
      <c r="I40" s="311"/>
      <c r="J40" s="2030"/>
      <c r="K40" s="3284" t="str">
        <f t="shared" ref="K40:K41" si="0">MID(A45,3,LEN(A45)-2)</f>
        <v>抵押担保权已注销时的抵押价格</v>
      </c>
      <c r="L40" s="3285"/>
      <c r="M40" s="3285"/>
      <c r="N40" s="3286"/>
      <c r="O40" s="1391">
        <f ca="1">C45</f>
        <v>3093</v>
      </c>
      <c r="P40" s="2028"/>
      <c r="V40" s="2028"/>
    </row>
    <row r="41" spans="1:26" ht="16.5" thickBot="1">
      <c r="A41" s="312" t="s">
        <v>356</v>
      </c>
      <c r="B41" s="313"/>
      <c r="C41" s="314" t="s">
        <v>357</v>
      </c>
      <c r="D41" s="315" t="s">
        <v>358</v>
      </c>
      <c r="E41" s="315" t="s">
        <v>359</v>
      </c>
      <c r="F41" s="316" t="s">
        <v>360</v>
      </c>
      <c r="G41" s="311"/>
      <c r="H41" s="311"/>
      <c r="I41" s="311"/>
      <c r="J41" s="2030"/>
      <c r="K41" s="3284" t="str">
        <f t="shared" si="0"/>
        <v/>
      </c>
      <c r="L41" s="3285"/>
      <c r="M41" s="3285"/>
      <c r="N41" s="3286"/>
      <c r="O41" s="1391" t="str">
        <f>C46</f>
        <v>——</v>
      </c>
      <c r="P41" s="2028"/>
      <c r="V41" s="2028"/>
    </row>
    <row r="42" spans="1:26" ht="29.25">
      <c r="A42" s="3344" t="s">
        <v>2068</v>
      </c>
      <c r="B42" s="3345"/>
      <c r="C42" s="264">
        <f ca="1">C32</f>
        <v>3093</v>
      </c>
      <c r="D42" s="317">
        <f ca="1">C33</f>
        <v>2303</v>
      </c>
      <c r="E42" s="317">
        <f ca="1">C34</f>
        <v>1091</v>
      </c>
      <c r="F42" s="318">
        <f ca="1">C35</f>
        <v>73</v>
      </c>
      <c r="G42" s="311"/>
      <c r="H42" s="311"/>
      <c r="I42" s="319"/>
      <c r="J42" s="2030"/>
      <c r="K42" s="1270" t="s">
        <v>361</v>
      </c>
      <c r="L42" s="2047" t="s">
        <v>362</v>
      </c>
      <c r="M42" s="1271" t="s">
        <v>363</v>
      </c>
      <c r="N42" s="2048" t="s">
        <v>364</v>
      </c>
      <c r="O42" s="2049" t="s">
        <v>365</v>
      </c>
      <c r="P42" s="2028"/>
      <c r="V42" s="2028"/>
    </row>
    <row r="43" spans="1:26" ht="18">
      <c r="A43" s="3354" t="s">
        <v>2731</v>
      </c>
      <c r="B43" s="3355"/>
      <c r="C43" s="264">
        <f>IF(H33="正常操作",G33+G34+G35,G34+G35)</f>
        <v>0</v>
      </c>
      <c r="D43" s="317" t="s">
        <v>43</v>
      </c>
      <c r="E43" s="317" t="s">
        <v>44</v>
      </c>
      <c r="F43" s="318" t="s">
        <v>44</v>
      </c>
      <c r="G43" s="2890" t="s">
        <v>952</v>
      </c>
      <c r="H43" s="311"/>
      <c r="I43" s="319"/>
      <c r="J43" s="2030"/>
      <c r="K43" s="1272" t="str">
        <f>C4</f>
        <v>比较法-工业</v>
      </c>
      <c r="L43" s="1273">
        <f ca="1">IF(L42="估价结果/万元",C19,C20)</f>
        <v>3736</v>
      </c>
      <c r="M43" s="1274">
        <f>C18</f>
        <v>0.5</v>
      </c>
      <c r="N43" s="1275">
        <f ca="1">IF(N42="测算结果/万元",G19,G20)</f>
        <v>3093</v>
      </c>
      <c r="O43" s="1276">
        <f ca="1">IF(O42="最终结果/万元",C32,C33)</f>
        <v>3093</v>
      </c>
      <c r="P43" s="2028"/>
      <c r="V43" s="2028"/>
    </row>
    <row r="44" spans="1:26" ht="30.75" thickBot="1">
      <c r="A44" s="3344" t="str">
        <f>IF(OR(项目基本情况!E8="抵押价格",项目基本情况!E8="已注销及未注销"),"3.抵押价格","——")</f>
        <v>——</v>
      </c>
      <c r="B44" s="3345"/>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2450</v>
      </c>
      <c r="M44" s="1279">
        <f>D18</f>
        <v>0.5</v>
      </c>
      <c r="N44" s="1280"/>
      <c r="O44" s="1281"/>
      <c r="P44" s="2028"/>
      <c r="V44" s="2028"/>
    </row>
    <row r="45" spans="1:26" ht="15">
      <c r="A45" s="3349" t="str">
        <f>IF(项目基本情况!E8="已注销及未注销","4.抵押担保权已注销时的抵押价格",IF(项目基本情况!E8="已注销","3.抵押担保权已注销时的抵押价格","——"))</f>
        <v>3.抵押担保权已注销时的抵押价格</v>
      </c>
      <c r="B45" s="3350"/>
      <c r="C45" s="1803">
        <f ca="1">IF(A45="——","——",IF(项目基本情况!E8="抵押价格","——",C32-G34-G35))</f>
        <v>3093</v>
      </c>
      <c r="D45" s="317">
        <f ca="1">ROUND(C45*10000/'数据-汇总表'!E3,0)</f>
        <v>2303</v>
      </c>
      <c r="E45" s="317">
        <f ca="1">ROUND(C45*10000/'数据-汇总表'!D3,0)</f>
        <v>1091</v>
      </c>
      <c r="F45" s="318">
        <f ca="1">ROUND(C45/('数据-汇总表'!D3/666.67),0)</f>
        <v>73</v>
      </c>
      <c r="G45" s="311"/>
      <c r="H45" s="311"/>
      <c r="I45" s="319"/>
      <c r="J45" s="2030"/>
      <c r="K45" s="2028"/>
      <c r="L45" s="2028"/>
      <c r="M45" s="2028"/>
      <c r="N45" s="2028"/>
      <c r="O45" s="2028"/>
      <c r="P45" s="2028"/>
      <c r="V45" s="2028"/>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12" t="s">
        <v>374</v>
      </c>
      <c r="B63" s="3313"/>
      <c r="C63" s="3314"/>
      <c r="D63" s="341">
        <f ca="1">ROUND(C42*F63,0)</f>
        <v>1856</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51" t="s">
        <v>378</v>
      </c>
      <c r="B64" s="3352"/>
      <c r="C64" s="3352"/>
      <c r="D64" s="3352"/>
      <c r="E64" s="3352"/>
      <c r="F64" s="3352"/>
      <c r="G64" s="3353"/>
      <c r="H64" s="1287"/>
      <c r="I64" s="948"/>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348" t="s">
        <v>386</v>
      </c>
      <c r="B66" s="3319"/>
      <c r="C66" s="3319"/>
      <c r="D66" s="261">
        <f ca="1">IF(H66="情况1",0,IF(H66="情况2",D70,IF(H66="情况3",D71,IF(H66="情况4",D72))))</f>
        <v>97</v>
      </c>
      <c r="E66" s="992" t="str">
        <f>IF(H66="情况4","(销售额-原购置价)×税（费）率","销售额×税（费）率")</f>
        <v>销售额×税（费）率</v>
      </c>
      <c r="F66" s="350">
        <f>IF(H66="情况1","免征",'数据-取费表'!B41)</f>
        <v>5.5000000000000007E-2</v>
      </c>
      <c r="G66" s="351" t="s">
        <v>387</v>
      </c>
      <c r="H66" s="191" t="s">
        <v>388</v>
      </c>
      <c r="I66" s="1287"/>
      <c r="J66" s="2034"/>
      <c r="K66" s="1290">
        <v>1</v>
      </c>
      <c r="L66" s="3288" t="s">
        <v>385</v>
      </c>
      <c r="M66" s="3289"/>
      <c r="N66" s="2482"/>
      <c r="O66" s="2483"/>
      <c r="P66" s="2484"/>
      <c r="Q66" s="2028"/>
      <c r="R66" s="2028"/>
      <c r="S66" s="2028"/>
      <c r="T66" s="2028"/>
      <c r="U66" s="2028"/>
      <c r="V66" s="2028"/>
    </row>
    <row r="67" spans="1:22" ht="25.5" customHeight="1">
      <c r="A67" s="352" t="s">
        <v>390</v>
      </c>
      <c r="B67" s="3331" t="s">
        <v>391</v>
      </c>
      <c r="C67" s="3331"/>
      <c r="D67" s="353">
        <v>0</v>
      </c>
      <c r="E67" s="41" t="s">
        <v>392</v>
      </c>
      <c r="F67" s="62" t="s">
        <v>21</v>
      </c>
      <c r="G67" s="3315"/>
      <c r="H67" s="311"/>
      <c r="I67" s="1291"/>
      <c r="J67" s="2035"/>
      <c r="K67" s="1976">
        <v>2</v>
      </c>
      <c r="L67" s="3287" t="s">
        <v>389</v>
      </c>
      <c r="M67" s="3287"/>
      <c r="N67" s="1324">
        <f>'数据-取费表'!B2</f>
        <v>43250</v>
      </c>
      <c r="O67" s="1324"/>
      <c r="P67" s="1324"/>
      <c r="Q67" s="2028"/>
      <c r="R67" s="2028"/>
      <c r="S67" s="2028"/>
      <c r="T67" s="2028"/>
      <c r="U67" s="2028"/>
      <c r="V67" s="2028"/>
    </row>
    <row r="68" spans="1:22" ht="25.5" customHeight="1">
      <c r="A68" s="354"/>
      <c r="B68" s="3331" t="s">
        <v>394</v>
      </c>
      <c r="C68" s="3331"/>
      <c r="D68" s="355"/>
      <c r="E68" s="77"/>
      <c r="F68" s="356"/>
      <c r="G68" s="3316"/>
      <c r="H68" s="311"/>
      <c r="I68" s="1291"/>
      <c r="J68" s="2035"/>
      <c r="K68" s="1976">
        <v>3</v>
      </c>
      <c r="L68" s="3287" t="s">
        <v>393</v>
      </c>
      <c r="M68" s="3287"/>
      <c r="N68" s="1292">
        <f ca="1">C42</f>
        <v>3093</v>
      </c>
      <c r="O68" s="1292"/>
      <c r="P68" s="1292"/>
      <c r="Q68" s="2028"/>
      <c r="R68" s="2028"/>
      <c r="S68" s="2028"/>
      <c r="T68" s="2028"/>
      <c r="U68" s="2028"/>
      <c r="V68" s="2028"/>
    </row>
    <row r="69" spans="1:22" ht="12" customHeight="1">
      <c r="A69" s="357"/>
      <c r="B69" s="3331" t="s">
        <v>395</v>
      </c>
      <c r="C69" s="3331"/>
      <c r="D69" s="358"/>
      <c r="E69" s="73"/>
      <c r="F69" s="356"/>
      <c r="G69" s="3317"/>
      <c r="H69" s="311"/>
      <c r="I69" s="1291"/>
      <c r="J69" s="2035"/>
      <c r="K69" s="1293">
        <v>4</v>
      </c>
      <c r="L69" s="3293" t="s">
        <v>2884</v>
      </c>
      <c r="M69" s="3294"/>
      <c r="N69" s="1294" t="str">
        <f>C44</f>
        <v>——</v>
      </c>
      <c r="O69" s="1294"/>
      <c r="P69" s="1294"/>
      <c r="Q69" s="2028"/>
      <c r="R69" s="2028"/>
      <c r="S69" s="2028"/>
      <c r="T69" s="2028"/>
      <c r="U69" s="2028"/>
      <c r="V69" s="2028"/>
    </row>
    <row r="70" spans="1:22" ht="24" customHeight="1">
      <c r="A70" s="359" t="s">
        <v>396</v>
      </c>
      <c r="B70" s="3331" t="s">
        <v>397</v>
      </c>
      <c r="C70" s="3331"/>
      <c r="D70" s="358">
        <f ca="1">ROUND(D63*'数据-取费表'!B41/(1+'数据-取费表'!C42),0)</f>
        <v>97</v>
      </c>
      <c r="E70" s="17" t="s">
        <v>398</v>
      </c>
      <c r="F70" s="360">
        <f>'数据-取费表'!B41</f>
        <v>5.5000000000000007E-2</v>
      </c>
      <c r="G70" s="361"/>
      <c r="H70" s="311"/>
      <c r="I70" s="1291"/>
      <c r="J70" s="2035"/>
      <c r="K70" s="3086"/>
      <c r="L70" s="3087"/>
      <c r="M70" s="3087"/>
      <c r="N70" s="3088" t="s">
        <v>2889</v>
      </c>
      <c r="O70" s="3087"/>
      <c r="P70" s="3089"/>
      <c r="Q70" s="2028"/>
      <c r="R70" s="2028"/>
      <c r="S70" s="2028"/>
      <c r="T70" s="2028"/>
      <c r="U70" s="2028"/>
      <c r="V70" s="2028"/>
    </row>
    <row r="71" spans="1:22" ht="12" customHeight="1">
      <c r="A71" s="359" t="s">
        <v>404</v>
      </c>
      <c r="B71" s="3330" t="s">
        <v>405</v>
      </c>
      <c r="C71" s="3342"/>
      <c r="D71" s="358">
        <f ca="1">ROUND(D63*'数据-取费表'!B41/(1+'数据-取费表'!C42),0)</f>
        <v>97</v>
      </c>
      <c r="E71" s="17" t="s">
        <v>398</v>
      </c>
      <c r="F71" s="360">
        <f>'数据-取费表'!B41</f>
        <v>5.5000000000000007E-2</v>
      </c>
      <c r="G71" s="361"/>
      <c r="H71" s="311"/>
      <c r="I71" s="1291"/>
      <c r="J71" s="2035"/>
      <c r="K71" s="3085" t="s">
        <v>399</v>
      </c>
      <c r="L71" s="3295" t="s">
        <v>400</v>
      </c>
      <c r="M71" s="3295"/>
      <c r="N71" s="3085" t="s">
        <v>401</v>
      </c>
      <c r="O71" s="3085" t="s">
        <v>402</v>
      </c>
      <c r="P71" s="3085" t="s">
        <v>403</v>
      </c>
      <c r="Q71" s="2028"/>
      <c r="R71" s="2028"/>
      <c r="S71" s="2028"/>
      <c r="T71" s="2028"/>
      <c r="U71" s="2028"/>
      <c r="V71" s="2028"/>
    </row>
    <row r="72" spans="1:22" ht="12" customHeight="1">
      <c r="A72" s="359" t="s">
        <v>407</v>
      </c>
      <c r="B72" s="3330" t="s">
        <v>408</v>
      </c>
      <c r="C72" s="3342"/>
      <c r="D72" s="358">
        <f ca="1">C86</f>
        <v>0</v>
      </c>
      <c r="E72" s="73" t="s">
        <v>409</v>
      </c>
      <c r="F72" s="360">
        <f>'数据-取费表'!B41</f>
        <v>5.5000000000000007E-2</v>
      </c>
      <c r="G72" s="361"/>
      <c r="H72" s="1297"/>
      <c r="I72" s="1291"/>
      <c r="J72" s="2035"/>
      <c r="K72" s="1976">
        <v>1</v>
      </c>
      <c r="L72" s="3292" t="s">
        <v>406</v>
      </c>
      <c r="M72" s="3292"/>
      <c r="N72" s="1295">
        <f ca="1">D66</f>
        <v>97</v>
      </c>
      <c r="O72" s="1859" t="str">
        <f>E66</f>
        <v>销售额×税（费）率</v>
      </c>
      <c r="P72" s="1296">
        <f>F66</f>
        <v>5.5000000000000007E-2</v>
      </c>
      <c r="Q72" s="2028"/>
      <c r="R72" s="2028"/>
      <c r="S72" s="2028"/>
      <c r="T72" s="2028"/>
      <c r="U72" s="2028"/>
      <c r="V72" s="2028"/>
    </row>
    <row r="73" spans="1:22" ht="24" customHeight="1">
      <c r="A73" s="3318" t="s">
        <v>411</v>
      </c>
      <c r="B73" s="3319"/>
      <c r="C73" s="3319"/>
      <c r="D73" s="362">
        <f>IF(H73="个人住宅",0,ROUND(D63*I73,0))</f>
        <v>0</v>
      </c>
      <c r="E73" s="17" t="s">
        <v>412</v>
      </c>
      <c r="F73" s="360" t="str">
        <f>IF(H73="正常",I73,"免征")</f>
        <v>免征</v>
      </c>
      <c r="G73" s="361"/>
      <c r="H73" s="191" t="s">
        <v>2456</v>
      </c>
      <c r="I73" s="360">
        <f>'数据-取费表'!B49</f>
        <v>5.0000000000000001E-4</v>
      </c>
      <c r="J73" s="2035"/>
      <c r="K73" s="1976">
        <v>2</v>
      </c>
      <c r="L73" s="3292" t="s">
        <v>410</v>
      </c>
      <c r="M73" s="3292"/>
      <c r="N73" s="1295">
        <f t="shared" ref="N73:P74" si="1">D73</f>
        <v>0</v>
      </c>
      <c r="O73" s="1859" t="str">
        <f t="shared" si="1"/>
        <v>销售额×税（费）率</v>
      </c>
      <c r="P73" s="1296" t="str">
        <f t="shared" si="1"/>
        <v>免征</v>
      </c>
      <c r="Q73" s="2028"/>
      <c r="R73" s="2028"/>
      <c r="S73" s="2028"/>
      <c r="T73" s="2028"/>
      <c r="U73" s="2028"/>
      <c r="V73" s="2028"/>
    </row>
    <row r="74" spans="1:22" ht="24.75">
      <c r="A74" s="3318" t="s">
        <v>415</v>
      </c>
      <c r="B74" s="3319"/>
      <c r="C74" s="3319"/>
      <c r="D74" s="362">
        <f ca="1">IF(H74="个人住宅",D75,D76)</f>
        <v>430</v>
      </c>
      <c r="E74" s="17" t="s">
        <v>416</v>
      </c>
      <c r="F74" s="360" t="str">
        <f>IF(H74="正常",F76,"免征")</f>
        <v>——</v>
      </c>
      <c r="G74" s="982" t="s">
        <v>417</v>
      </c>
      <c r="H74" s="363" t="s">
        <v>413</v>
      </c>
      <c r="I74" s="42"/>
      <c r="J74" s="2035"/>
      <c r="K74" s="1976">
        <v>3</v>
      </c>
      <c r="L74" s="3292" t="s">
        <v>414</v>
      </c>
      <c r="M74" s="3292"/>
      <c r="N74" s="1295">
        <f t="shared" ca="1" si="1"/>
        <v>430</v>
      </c>
      <c r="O74" s="1859" t="str">
        <f t="shared" si="1"/>
        <v>增值额×税（费）率</v>
      </c>
      <c r="P74" s="1298" t="str">
        <f t="shared" si="1"/>
        <v>——</v>
      </c>
      <c r="Q74" s="2028"/>
      <c r="R74" s="2028"/>
      <c r="S74" s="2028"/>
      <c r="T74" s="2028"/>
      <c r="U74" s="2028"/>
      <c r="V74" s="2028"/>
    </row>
    <row r="75" spans="1:22" ht="24">
      <c r="A75" s="359" t="s">
        <v>418</v>
      </c>
      <c r="B75" s="3299" t="s">
        <v>419</v>
      </c>
      <c r="C75" s="3300"/>
      <c r="D75" s="364">
        <v>0</v>
      </c>
      <c r="E75" s="41" t="s">
        <v>420</v>
      </c>
      <c r="F75" s="365"/>
      <c r="G75" s="361"/>
      <c r="H75" s="42"/>
      <c r="I75" s="42"/>
      <c r="J75" s="2035"/>
      <c r="K75" s="3078">
        <f>IF(H77="非个人房产","",4)</f>
        <v>4</v>
      </c>
      <c r="L75" s="3292" t="str">
        <f>IF(H77="非个人房产","——","个人所得税")</f>
        <v>个人所得税</v>
      </c>
      <c r="M75" s="3292"/>
      <c r="N75" s="1299">
        <f ca="1">D77</f>
        <v>19</v>
      </c>
      <c r="O75" s="1872" t="str">
        <f>E77</f>
        <v>销售额×税（费）率</v>
      </c>
      <c r="P75" s="1300">
        <f>F77</f>
        <v>0.01</v>
      </c>
      <c r="Q75" s="2028"/>
      <c r="R75" s="2028"/>
      <c r="S75" s="2028"/>
      <c r="T75" s="2028"/>
      <c r="U75" s="2028"/>
      <c r="V75" s="2028"/>
    </row>
    <row r="76" spans="1:22" ht="24.75">
      <c r="A76" s="359" t="s">
        <v>396</v>
      </c>
      <c r="B76" s="3299" t="s">
        <v>422</v>
      </c>
      <c r="C76" s="3341"/>
      <c r="D76" s="362">
        <f ca="1">IF(H76="转让取得",C99,C115)</f>
        <v>430</v>
      </c>
      <c r="E76" s="17" t="s">
        <v>423</v>
      </c>
      <c r="F76" s="53" t="s">
        <v>21</v>
      </c>
      <c r="G76" s="361"/>
      <c r="H76" s="363" t="s">
        <v>424</v>
      </c>
      <c r="I76" s="42"/>
      <c r="J76" s="2035"/>
      <c r="K76" s="3078" t="str">
        <f>IF(项目基本情况!K6="上海银行",IF(K75="",4,K75+1),"")</f>
        <v/>
      </c>
      <c r="L76" s="3280" t="str">
        <f>IF(项目基本情况!K6="上海银行","其他处置费用","")</f>
        <v/>
      </c>
      <c r="M76" s="3281"/>
      <c r="N76" s="1295" t="str">
        <f>IF(项目基本情况!K6="上海银行",N89,"")</f>
        <v/>
      </c>
      <c r="O76" s="3282" t="str">
        <f>IF(项目基本情况!K6="上海银行","包含处置中涉及的律师、诉讼、拍卖、评估等费用","")</f>
        <v/>
      </c>
      <c r="P76" s="3283"/>
      <c r="Q76" s="2028"/>
      <c r="R76" s="2028"/>
      <c r="S76" s="2028"/>
      <c r="T76" s="2028"/>
      <c r="U76" s="2028"/>
      <c r="V76" s="2028"/>
    </row>
    <row r="77" spans="1:22" ht="26.25" thickBot="1">
      <c r="A77" s="3310" t="s">
        <v>426</v>
      </c>
      <c r="B77" s="3311"/>
      <c r="C77" s="3311"/>
      <c r="D77" s="366">
        <f ca="1">IF(H77="非个人房产","——",IF(H77="个人住宅",0,ROUND(D63*I77,0)))</f>
        <v>19</v>
      </c>
      <c r="E77" s="367" t="str">
        <f>IF(H77="非个人房产","——","销售额×税（费）率")</f>
        <v>销售额×税（费）率</v>
      </c>
      <c r="F77" s="368">
        <f>IF(H77="非个人房产","——",IF(H77="个人住宅","免征",I77))</f>
        <v>0.01</v>
      </c>
      <c r="G77" s="983" t="s">
        <v>417</v>
      </c>
      <c r="H77" s="363" t="s">
        <v>2885</v>
      </c>
      <c r="I77" s="369">
        <v>0.01</v>
      </c>
      <c r="J77" s="2035"/>
      <c r="K77" s="3306">
        <f>IF(AND(K75="",K76=""),4,IF(项目基本情况!K6="上海银行",K76+1,K75+1))</f>
        <v>5</v>
      </c>
      <c r="L77" s="3292" t="s">
        <v>2886</v>
      </c>
      <c r="M77" s="3084" t="s">
        <v>421</v>
      </c>
      <c r="N77" s="1301"/>
      <c r="O77" s="1302">
        <f ca="1">SUMIF(N72:N76,"&lt;9e307")</f>
        <v>546</v>
      </c>
      <c r="P77" s="1303"/>
      <c r="Q77" s="3082" t="e">
        <f ca="1">O77/N69</f>
        <v>#VALUE!</v>
      </c>
      <c r="R77" s="2028"/>
      <c r="S77" s="2028"/>
      <c r="T77" s="2028"/>
      <c r="U77" s="2028"/>
      <c r="V77" s="2028"/>
    </row>
    <row r="78" spans="1:22" ht="12" customHeight="1">
      <c r="A78" s="1304"/>
      <c r="B78" s="311"/>
      <c r="C78" s="311"/>
      <c r="D78" s="311"/>
      <c r="E78" s="42"/>
      <c r="F78" s="42"/>
      <c r="G78" s="42"/>
      <c r="H78" s="1002"/>
      <c r="I78" s="311"/>
      <c r="J78" s="2035"/>
      <c r="K78" s="3306"/>
      <c r="L78" s="3292"/>
      <c r="M78" s="3084" t="s">
        <v>425</v>
      </c>
      <c r="N78" s="1301"/>
      <c r="O78" s="1302" t="str">
        <f ca="1">NUMBERSTRING(INT(O77*10000),2)&amp;"元整"</f>
        <v>伍佰肆拾陆万元整</v>
      </c>
      <c r="P78" s="1303"/>
      <c r="Q78" s="2028"/>
      <c r="R78" s="2028"/>
      <c r="S78" s="2028"/>
      <c r="T78" s="2028"/>
      <c r="U78" s="2028"/>
      <c r="V78" s="2028"/>
    </row>
    <row r="79" spans="1:22" ht="13.5" thickBot="1">
      <c r="A79" s="3296" t="s">
        <v>427</v>
      </c>
      <c r="B79" s="3296"/>
      <c r="C79" s="3296"/>
      <c r="D79" s="3296"/>
      <c r="E79" s="3296"/>
      <c r="F79" s="42"/>
      <c r="G79" s="42"/>
      <c r="H79" s="1002"/>
      <c r="I79" s="311"/>
      <c r="J79" s="2035"/>
      <c r="K79" s="3290">
        <f>K77+1</f>
        <v>6</v>
      </c>
      <c r="L79" s="3292" t="s">
        <v>2887</v>
      </c>
      <c r="M79" s="3084" t="s">
        <v>421</v>
      </c>
      <c r="N79" s="1301"/>
      <c r="O79" s="1302" t="e">
        <f ca="1">N69-O77</f>
        <v>#VALUE!</v>
      </c>
      <c r="P79" s="1303"/>
      <c r="Q79" s="2028"/>
      <c r="R79" s="2028"/>
      <c r="S79" s="2028"/>
      <c r="T79" s="2028"/>
      <c r="U79" s="2028"/>
      <c r="V79" s="2028"/>
    </row>
    <row r="80" spans="1:22" ht="12.75">
      <c r="A80" s="3297" t="s">
        <v>428</v>
      </c>
      <c r="B80" s="3298"/>
      <c r="C80" s="993"/>
      <c r="D80" s="993" t="s">
        <v>429</v>
      </c>
      <c r="E80" s="370" t="s">
        <v>430</v>
      </c>
      <c r="F80" s="42"/>
      <c r="G80" s="42"/>
      <c r="H80" s="1002"/>
      <c r="I80" s="311"/>
      <c r="J80" s="2028"/>
      <c r="K80" s="3291"/>
      <c r="L80" s="3292"/>
      <c r="M80" s="3084"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1768</v>
      </c>
      <c r="D81" s="373"/>
      <c r="E81" s="374"/>
      <c r="F81" s="42"/>
      <c r="G81" s="42"/>
      <c r="H81" s="1002"/>
      <c r="I81" s="311"/>
      <c r="J81" s="2028"/>
      <c r="K81" s="3078">
        <f>K79+1</f>
        <v>7</v>
      </c>
      <c r="L81" s="3304" t="s">
        <v>2888</v>
      </c>
      <c r="M81" s="3305"/>
      <c r="N81" s="1305"/>
      <c r="O81" s="1306" t="e">
        <f ca="1">ROUND(O79*10000/'数据-汇总表'!E3,0)</f>
        <v>#VALUE!</v>
      </c>
      <c r="P81" s="1307"/>
      <c r="Q81" s="2028"/>
      <c r="R81" s="2028"/>
      <c r="S81" s="2028"/>
      <c r="T81" s="2028"/>
      <c r="U81" s="2028"/>
      <c r="V81" s="2028"/>
    </row>
    <row r="82" spans="1:26" ht="13.5" thickTop="1">
      <c r="A82" s="375" t="s">
        <v>1825</v>
      </c>
      <c r="B82" s="376" t="s">
        <v>432</v>
      </c>
      <c r="C82" s="377">
        <f ca="1">D63</f>
        <v>1856</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279" t="s">
        <v>2875</v>
      </c>
      <c r="L83" s="3090" t="s">
        <v>2876</v>
      </c>
      <c r="M83" s="3080" t="e">
        <f>IF(N69&gt;10000,N69*0.5%,IF(AND(N69&gt;1000,N69&lt;=10000),N69*1%,IF(AND(N69&gt;100,N69&lt;=1000),N69*3%,IF(AND(N69&gt;10,N69&lt;=100),N69*5%,N69*8%))))</f>
        <v>#VALUE!</v>
      </c>
      <c r="N83" s="53" t="e">
        <f>ROUND(M83,1)</f>
        <v>#VALUE!</v>
      </c>
      <c r="O83" s="3083"/>
      <c r="P83" s="2028"/>
      <c r="Q83" s="2028"/>
      <c r="R83" s="2028"/>
      <c r="S83" s="2028"/>
      <c r="T83" s="2028"/>
      <c r="U83" s="2028"/>
      <c r="V83" s="2028"/>
    </row>
    <row r="84" spans="1:26" ht="12.75">
      <c r="A84" s="381" t="s">
        <v>1827</v>
      </c>
      <c r="B84" s="382" t="s">
        <v>434</v>
      </c>
      <c r="C84" s="383">
        <v>2000</v>
      </c>
      <c r="D84" s="384" t="s">
        <v>19</v>
      </c>
      <c r="E84" s="3125" t="s">
        <v>2935</v>
      </c>
      <c r="F84" s="42"/>
      <c r="G84" s="42"/>
      <c r="H84" s="1002"/>
      <c r="I84" s="311"/>
      <c r="J84" s="2028"/>
      <c r="K84" s="3279"/>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2878</v>
      </c>
      <c r="P84" s="2028"/>
      <c r="Q84" s="2028"/>
      <c r="R84" s="2028"/>
      <c r="S84" s="2028"/>
      <c r="T84" s="2028"/>
      <c r="U84" s="2028"/>
      <c r="V84" s="2028"/>
    </row>
    <row r="85" spans="1:26" ht="12.75">
      <c r="A85" s="381" t="s">
        <v>1828</v>
      </c>
      <c r="B85" s="382" t="s">
        <v>435</v>
      </c>
      <c r="C85" s="385">
        <f ca="1">C81-C84</f>
        <v>-232</v>
      </c>
      <c r="D85" s="378" t="s">
        <v>19</v>
      </c>
      <c r="E85" s="379"/>
      <c r="F85" s="42"/>
      <c r="G85" s="42"/>
      <c r="H85" s="1002"/>
      <c r="I85" s="311"/>
      <c r="J85" s="2028"/>
      <c r="K85" s="3279"/>
      <c r="L85" s="3090" t="s">
        <v>2879</v>
      </c>
      <c r="M85" s="3080" t="e">
        <f>IF(N69&gt;1000,N69*0.1%,IF(AND(N69&gt;500,N69&lt;=1000),N69*0.5%,IF(AND(N69&gt;50,N69&lt;=500),N69*1%,IF(AND(N69&gt;1,N69&lt;=50),N69*1.5%))))</f>
        <v>#VALUE!</v>
      </c>
      <c r="N85" s="53" t="e">
        <f t="shared" si="2"/>
        <v>#VALUE!</v>
      </c>
      <c r="O85" s="2028" t="s">
        <v>2878</v>
      </c>
      <c r="P85" s="2028"/>
      <c r="Q85" s="2028"/>
      <c r="R85" s="2028"/>
      <c r="S85" s="2028"/>
      <c r="T85" s="2028"/>
      <c r="U85" s="2028"/>
      <c r="V85" s="2028"/>
    </row>
    <row r="86" spans="1:26" ht="13.5" thickBot="1">
      <c r="A86" s="386" t="s">
        <v>1829</v>
      </c>
      <c r="B86" s="387" t="s">
        <v>436</v>
      </c>
      <c r="C86" s="388">
        <f ca="1">IF(C85&lt;=0,0,ROUND(C85*D86,0))</f>
        <v>0</v>
      </c>
      <c r="D86" s="389">
        <f>'数据-取费表'!B41</f>
        <v>5.5000000000000007E-2</v>
      </c>
      <c r="E86" s="390"/>
      <c r="F86" s="42"/>
      <c r="G86" s="42"/>
      <c r="H86" s="1002"/>
      <c r="I86" s="311"/>
      <c r="J86" s="2028"/>
      <c r="K86" s="3279"/>
      <c r="L86" s="3090" t="s">
        <v>2880</v>
      </c>
      <c r="M86" s="3080" t="e">
        <f>N69*0.5%</f>
        <v>#VALUE!</v>
      </c>
      <c r="N86" s="53" t="e">
        <f>IF(M86&gt;0.5,0.5,ROUND(M86,0))</f>
        <v>#VALUE!</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79"/>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8"/>
      <c r="R87" s="2028"/>
      <c r="S87" s="2028"/>
      <c r="T87" s="2028"/>
      <c r="U87" s="2028"/>
      <c r="V87" s="2028"/>
      <c r="W87" s="292"/>
      <c r="X87" s="292"/>
      <c r="Y87" s="292"/>
      <c r="Z87" s="292"/>
    </row>
    <row r="88" spans="1:26" s="1313" customFormat="1" ht="15" thickBot="1">
      <c r="A88" s="3333" t="s">
        <v>437</v>
      </c>
      <c r="B88" s="3334"/>
      <c r="C88" s="3334"/>
      <c r="D88" s="3334"/>
      <c r="E88" s="3334"/>
      <c r="F88" s="3334"/>
      <c r="G88" s="3334"/>
      <c r="H88" s="3334"/>
      <c r="I88" s="1314"/>
      <c r="J88" s="2036"/>
      <c r="K88" s="3279"/>
      <c r="L88" s="3090" t="s">
        <v>2883</v>
      </c>
      <c r="M88" s="3080" t="e">
        <f>IF(N69&gt;10000,N69*0.5%,IF(AND(N69&gt;5000,N69&lt;=10000),N69*1%,IF(AND(N69&gt;1000,N69&lt;=5000),N69*2%,IF(AND(N69&gt;200,N69&lt;=1000),N69*3%,N69*5%))))</f>
        <v>#VALUE!</v>
      </c>
      <c r="N88" s="53" t="e">
        <f>ROUND(M88,1)</f>
        <v>#VALUE!</v>
      </c>
      <c r="O88" s="3083"/>
      <c r="P88" s="11"/>
      <c r="Q88" s="2033"/>
      <c r="R88" s="2033"/>
      <c r="S88" s="2033"/>
      <c r="T88" s="2033"/>
      <c r="U88" s="2033"/>
      <c r="V88" s="2033"/>
      <c r="W88" s="2037"/>
      <c r="X88" s="2037"/>
      <c r="Y88" s="2037"/>
      <c r="Z88" s="2037"/>
    </row>
    <row r="89" spans="1:26" s="1313" customFormat="1" ht="14.25">
      <c r="A89" s="3297" t="s">
        <v>428</v>
      </c>
      <c r="B89" s="3298"/>
      <c r="C89" s="993"/>
      <c r="D89" s="993" t="s">
        <v>429</v>
      </c>
      <c r="E89" s="391" t="s">
        <v>438</v>
      </c>
      <c r="F89" s="392"/>
      <c r="G89" s="392"/>
      <c r="H89" s="393"/>
      <c r="I89" s="1315"/>
      <c r="J89" s="2038"/>
      <c r="K89" s="3279"/>
      <c r="L89" s="3090" t="s">
        <v>27</v>
      </c>
      <c r="M89" s="3081"/>
      <c r="N89" s="53" t="e">
        <f>ROUND(SUM(N83:N88),0)</f>
        <v>#VALUE!</v>
      </c>
      <c r="O89" s="3091"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1768</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2570</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30" t="s">
        <v>447</v>
      </c>
      <c r="F94" s="3331"/>
      <c r="G94" s="3331"/>
      <c r="H94" s="333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9</v>
      </c>
      <c r="D96" s="406">
        <f>'数据-取费表'!B43</f>
        <v>5.000000000000001E-3</v>
      </c>
      <c r="E96" s="3320" t="s">
        <v>2429</v>
      </c>
      <c r="F96" s="3321"/>
      <c r="G96" s="3321"/>
      <c r="H96" s="3322"/>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2" t="s">
        <v>451</v>
      </c>
      <c r="C97" s="385">
        <f ca="1">C90-C91</f>
        <v>-802</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3" t="s">
        <v>454</v>
      </c>
      <c r="B101" s="3334"/>
      <c r="C101" s="3334"/>
      <c r="D101" s="3334"/>
      <c r="E101" s="3334"/>
      <c r="F101" s="3334"/>
      <c r="G101" s="3334"/>
      <c r="H101" s="333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297" t="s">
        <v>428</v>
      </c>
      <c r="B102" s="3298"/>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1768</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699</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6" t="s">
        <v>461</v>
      </c>
      <c r="C109" s="405">
        <f>IF(H109="——",IF(F1="现房",'剩余法-现房'!C18,'剩余法-待开发'!C18),I109)</f>
        <v>55</v>
      </c>
      <c r="D109" s="406"/>
      <c r="E109" s="3323" t="s">
        <v>462</v>
      </c>
      <c r="F109" s="3321"/>
      <c r="G109" s="3321"/>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6" t="s">
        <v>463</v>
      </c>
      <c r="C110" s="405">
        <f>ROUND((C105+C108+C109)*D110,0)</f>
        <v>63</v>
      </c>
      <c r="D110" s="406">
        <v>0.1</v>
      </c>
      <c r="E110" s="3323" t="s">
        <v>464</v>
      </c>
      <c r="F110" s="3321"/>
      <c r="G110" s="3321"/>
      <c r="H110" s="3322"/>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6" t="s">
        <v>450</v>
      </c>
      <c r="C111" s="405">
        <f ca="1">ROUND(D63*D111/(1+'数据-取费表'!C42),0)</f>
        <v>9</v>
      </c>
      <c r="D111" s="406">
        <f>'数据-取费表'!B43</f>
        <v>5.000000000000001E-3</v>
      </c>
      <c r="E111" s="3320" t="s">
        <v>2429</v>
      </c>
      <c r="F111" s="3321"/>
      <c r="G111" s="3321"/>
      <c r="H111" s="3322"/>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6" t="s">
        <v>465</v>
      </c>
      <c r="C112" s="405">
        <f>ROUND(C108*D112,0)</f>
        <v>0</v>
      </c>
      <c r="D112" s="406">
        <v>0.2</v>
      </c>
      <c r="E112" s="3323" t="s">
        <v>2454</v>
      </c>
      <c r="F112" s="3321"/>
      <c r="G112" s="3321"/>
      <c r="H112" s="3322"/>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2" t="s">
        <v>451</v>
      </c>
      <c r="C113" s="385">
        <f ca="1">ROUND(C103-C104,0)</f>
        <v>1069</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2" t="s">
        <v>452</v>
      </c>
      <c r="C114" s="407">
        <f ca="1">IF(C113&lt;=0,0,C113/C104)</f>
        <v>1.5293276108726752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7" t="s">
        <v>453</v>
      </c>
      <c r="C115" s="408">
        <f ca="1">ROUND(IF(C113&lt;=0,0,IF(C114&gt;=200%,C113*60%-C104*35%,IF(C114&gt;=100%,C113*50%-C104*15%,IF(C114&gt;=50%,C113*40%-C104*5%,IF(C114&lt;50%,C113*30%,0))))),0)</f>
        <v>430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B0F0"/>
    <pageSetUpPr fitToPage="1"/>
  </sheetPr>
  <dimension ref="A1:AC262"/>
  <sheetViews>
    <sheetView topLeftCell="A4" zoomScale="89" zoomScaleNormal="89" workbookViewId="0">
      <selection activeCell="L19" sqref="L1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8.62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f>F63</f>
        <v>3736</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10">
        <f>ROUND(B2*10000/'数据-汇总表'!E3,0)</f>
        <v>2781</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520</v>
      </c>
      <c r="B4" s="427">
        <f>IF(B43="单位面积地价",C45,ROUND(B2*10000/'数据-汇总表'!D3,0))</f>
        <v>1318</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f>ROUND(B2/('数据-汇总表'!D3/666.67),0)</f>
        <v>88</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376" t="s">
        <v>522</v>
      </c>
      <c r="D6" s="3377"/>
      <c r="E6" s="3378" t="s">
        <v>523</v>
      </c>
      <c r="F6" s="3379"/>
      <c r="G6" s="3376" t="s">
        <v>524</v>
      </c>
      <c r="H6" s="3377"/>
      <c r="I6" s="3376" t="s">
        <v>525</v>
      </c>
      <c r="J6" s="3377"/>
      <c r="K6" s="514" t="s">
        <v>526</v>
      </c>
      <c r="L6" s="2133"/>
      <c r="M6" s="2134"/>
      <c r="N6" s="2134"/>
      <c r="O6" s="2134"/>
      <c r="P6" s="3380" t="s">
        <v>527</v>
      </c>
      <c r="Q6" s="3381"/>
      <c r="R6" s="3386" t="s">
        <v>523</v>
      </c>
      <c r="S6" s="3387"/>
      <c r="T6" s="3386" t="s">
        <v>524</v>
      </c>
      <c r="U6" s="3387"/>
      <c r="V6" s="3366" t="s">
        <v>525</v>
      </c>
      <c r="W6" s="3366"/>
      <c r="X6" s="1566"/>
      <c r="Y6" s="3386" t="s">
        <v>527</v>
      </c>
      <c r="Z6" s="3387"/>
      <c r="AA6" s="3373" t="s">
        <v>523</v>
      </c>
      <c r="AB6" s="3374" t="s">
        <v>524</v>
      </c>
      <c r="AC6" s="3373" t="s">
        <v>525</v>
      </c>
    </row>
    <row r="7" spans="1:29" ht="33" customHeight="1">
      <c r="A7" s="515"/>
      <c r="B7" s="516"/>
      <c r="C7" s="3394" t="str">
        <f>项目基本情况!F10</f>
        <v>顺义区北小营镇北小营村东</v>
      </c>
      <c r="D7" s="3395"/>
      <c r="E7" s="3392" t="s">
        <v>3050</v>
      </c>
      <c r="F7" s="3393"/>
      <c r="G7" s="3398" t="s">
        <v>3053</v>
      </c>
      <c r="H7" s="3395"/>
      <c r="I7" s="3398" t="s">
        <v>3054</v>
      </c>
      <c r="J7" s="3395"/>
      <c r="K7" s="514"/>
      <c r="L7" s="2133"/>
      <c r="M7" s="2134"/>
      <c r="N7" s="2134"/>
      <c r="O7" s="2134"/>
      <c r="P7" s="3382"/>
      <c r="Q7" s="3383"/>
      <c r="R7" s="3388"/>
      <c r="S7" s="3389"/>
      <c r="T7" s="3388"/>
      <c r="U7" s="3389"/>
      <c r="V7" s="3366"/>
      <c r="W7" s="3366"/>
      <c r="X7" s="1566"/>
      <c r="Y7" s="3388"/>
      <c r="Z7" s="3389"/>
      <c r="AA7" s="3374"/>
      <c r="AB7" s="3374"/>
      <c r="AC7" s="3374"/>
    </row>
    <row r="8" spans="1:29" ht="15.75" thickBot="1">
      <c r="A8" s="517"/>
      <c r="B8" s="518"/>
      <c r="C8" s="3396" t="s">
        <v>2926</v>
      </c>
      <c r="D8" s="3397"/>
      <c r="E8" s="3400" t="s">
        <v>2926</v>
      </c>
      <c r="F8" s="3401"/>
      <c r="G8" s="3396" t="s">
        <v>2926</v>
      </c>
      <c r="H8" s="3397"/>
      <c r="I8" s="3396" t="s">
        <v>2926</v>
      </c>
      <c r="J8" s="3397"/>
      <c r="K8" s="514" t="s">
        <v>528</v>
      </c>
      <c r="L8" s="2133"/>
      <c r="M8" s="2134"/>
      <c r="N8" s="2134"/>
      <c r="O8" s="2134"/>
      <c r="P8" s="3384"/>
      <c r="Q8" s="3385"/>
      <c r="R8" s="3388"/>
      <c r="S8" s="3389"/>
      <c r="T8" s="3390"/>
      <c r="U8" s="3391"/>
      <c r="V8" s="3366"/>
      <c r="W8" s="3366"/>
      <c r="X8" s="1566"/>
      <c r="Y8" s="3390"/>
      <c r="Z8" s="3391"/>
      <c r="AA8" s="3375"/>
      <c r="AB8" s="3375"/>
      <c r="AC8" s="3375"/>
    </row>
    <row r="9" spans="1:29" s="1219" customFormat="1" ht="15.75" thickBot="1">
      <c r="A9" s="2936"/>
      <c r="B9" s="2943" t="s">
        <v>529</v>
      </c>
      <c r="C9" s="519">
        <f>'数据-取费表'!B2</f>
        <v>43250</v>
      </c>
      <c r="D9" s="520">
        <v>100</v>
      </c>
      <c r="E9" s="521">
        <v>42668</v>
      </c>
      <c r="F9" s="522">
        <f>SUMIF(67:67,YEAR(E9)&amp;"-"&amp;INT((MONTH(E9)+2)/3),68:68)</f>
        <v>97</v>
      </c>
      <c r="G9" s="3185">
        <v>42102</v>
      </c>
      <c r="H9" s="520">
        <f>SUMIF(67:67,YEAR(G9)&amp;"-"&amp;INT((MONTH(G9)+2)/3),68:68)</f>
        <v>94</v>
      </c>
      <c r="I9" s="523">
        <v>43094</v>
      </c>
      <c r="J9" s="520">
        <f>SUMIF(67:67,YEAR(I9)&amp;"-"&amp;INT((MONTH(I9)+2)/3),68:68)</f>
        <v>99</v>
      </c>
      <c r="K9" s="524"/>
      <c r="L9" s="2135"/>
      <c r="M9" s="2136"/>
      <c r="N9" s="2136"/>
      <c r="O9" s="2136"/>
      <c r="P9" s="3371" t="s">
        <v>530</v>
      </c>
      <c r="Q9" s="3399"/>
      <c r="R9" s="1567" t="s">
        <v>8</v>
      </c>
      <c r="S9" s="1568">
        <f t="shared" ref="S9:S17" si="0">F9</f>
        <v>97</v>
      </c>
      <c r="T9" s="1567" t="s">
        <v>8</v>
      </c>
      <c r="U9" s="1568">
        <f t="shared" ref="U9:U17" si="1">H9</f>
        <v>94</v>
      </c>
      <c r="V9" s="1567" t="s">
        <v>8</v>
      </c>
      <c r="W9" s="1568">
        <f t="shared" ref="W9:W17" si="2">J9</f>
        <v>99</v>
      </c>
      <c r="X9" s="1569"/>
      <c r="Y9" s="3371" t="s">
        <v>530</v>
      </c>
      <c r="Z9" s="3372"/>
      <c r="AA9" s="1570">
        <f>D9/F9</f>
        <v>1.0309278350515463</v>
      </c>
      <c r="AB9" s="1570">
        <f>D9/H9</f>
        <v>1.0638297872340425</v>
      </c>
      <c r="AC9" s="1570">
        <f>D9/J9</f>
        <v>1.0101010101010102</v>
      </c>
    </row>
    <row r="10" spans="1:29" s="1219" customFormat="1" ht="15.75" thickBot="1">
      <c r="A10" s="2937"/>
      <c r="B10" s="2944" t="s">
        <v>531</v>
      </c>
      <c r="C10" s="525" t="s">
        <v>532</v>
      </c>
      <c r="D10" s="520">
        <v>100</v>
      </c>
      <c r="E10" s="525" t="s">
        <v>3041</v>
      </c>
      <c r="F10" s="522">
        <f>SUMIF(70:70,E10,71:71)-SUMIF(70:70,C10,71:71)+100</f>
        <v>100</v>
      </c>
      <c r="G10" s="525" t="s">
        <v>3041</v>
      </c>
      <c r="H10" s="520">
        <f>SUMIF(70:70,G10,71:71)-SUMIF(70:70,C10,71:71)+100</f>
        <v>100</v>
      </c>
      <c r="I10" s="525" t="s">
        <v>3041</v>
      </c>
      <c r="J10" s="520">
        <f>SUMIF(70:70,I10,71:71)-SUMIF(70:70,C10,71:71)+100</f>
        <v>100</v>
      </c>
      <c r="K10" s="524"/>
      <c r="L10" s="2135"/>
      <c r="M10" s="2136"/>
      <c r="N10" s="2136"/>
      <c r="O10" s="2136"/>
      <c r="P10" s="3371" t="s">
        <v>533</v>
      </c>
      <c r="Q10" s="3372"/>
      <c r="R10" s="1567" t="s">
        <v>8</v>
      </c>
      <c r="S10" s="1568">
        <f t="shared" si="0"/>
        <v>100</v>
      </c>
      <c r="T10" s="1567" t="s">
        <v>8</v>
      </c>
      <c r="U10" s="1568">
        <f t="shared" si="1"/>
        <v>100</v>
      </c>
      <c r="V10" s="1567" t="s">
        <v>8</v>
      </c>
      <c r="W10" s="1568">
        <f t="shared" si="2"/>
        <v>100</v>
      </c>
      <c r="X10" s="1569"/>
      <c r="Y10" s="3371" t="s">
        <v>533</v>
      </c>
      <c r="Z10" s="3372"/>
      <c r="AA10" s="1570">
        <f t="shared" ref="AA10:AA42" si="3">D10/F10</f>
        <v>1</v>
      </c>
      <c r="AB10" s="1570">
        <f t="shared" ref="AB10:AB42" si="4">D10/H10</f>
        <v>1</v>
      </c>
      <c r="AC10" s="1570">
        <f t="shared" ref="AC10:AC42" si="5">D10/J10</f>
        <v>1</v>
      </c>
    </row>
    <row r="11" spans="1:29" s="1219" customFormat="1" ht="15">
      <c r="A11" s="2938"/>
      <c r="B11" s="2945" t="s">
        <v>2757</v>
      </c>
      <c r="C11" s="526" t="s">
        <v>982</v>
      </c>
      <c r="D11" s="254">
        <v>100</v>
      </c>
      <c r="E11" s="526" t="s">
        <v>982</v>
      </c>
      <c r="F11" s="254">
        <f>SUMIF(72:72,E11,73:73)-SUMIF(72:72,C11,73:73)+100</f>
        <v>100</v>
      </c>
      <c r="G11" s="526" t="s">
        <v>982</v>
      </c>
      <c r="H11" s="254">
        <f>SUMIF(72:72,G11,73:73)-SUMIF(72:72,C11,73:73)+100</f>
        <v>100</v>
      </c>
      <c r="I11" s="526" t="s">
        <v>982</v>
      </c>
      <c r="J11" s="254">
        <f>SUMIF(72:72,I11,73:73)-SUMIF(72:72,C11,73:73)+100</f>
        <v>100</v>
      </c>
      <c r="K11" s="524"/>
      <c r="L11" s="2135"/>
      <c r="M11" s="2136"/>
      <c r="N11" s="2136"/>
      <c r="O11" s="2137"/>
      <c r="P11" s="3364" t="s">
        <v>535</v>
      </c>
      <c r="Q11" s="1150" t="str">
        <f t="shared" ref="Q11:Q17" si="6">B11</f>
        <v>用途</v>
      </c>
      <c r="R11" s="1567" t="s">
        <v>8</v>
      </c>
      <c r="S11" s="1568">
        <f t="shared" si="0"/>
        <v>100</v>
      </c>
      <c r="T11" s="1567" t="s">
        <v>8</v>
      </c>
      <c r="U11" s="1568">
        <f t="shared" si="1"/>
        <v>100</v>
      </c>
      <c r="V11" s="1567" t="s">
        <v>8</v>
      </c>
      <c r="W11" s="1568">
        <f t="shared" si="2"/>
        <v>100</v>
      </c>
      <c r="X11" s="1569"/>
      <c r="Y11" s="3329" t="s">
        <v>536</v>
      </c>
      <c r="Z11" s="1149" t="str">
        <f t="shared" ref="Z11:Z17" si="7">Q11</f>
        <v>用途</v>
      </c>
      <c r="AA11" s="1570">
        <f t="shared" si="3"/>
        <v>1</v>
      </c>
      <c r="AB11" s="1570">
        <f t="shared" si="4"/>
        <v>1</v>
      </c>
      <c r="AC11" s="1570">
        <f t="shared" si="5"/>
        <v>1</v>
      </c>
    </row>
    <row r="12" spans="1:29" s="1337" customFormat="1" ht="27">
      <c r="A12" s="2939"/>
      <c r="B12" s="2944" t="s">
        <v>2758</v>
      </c>
      <c r="C12" s="528">
        <f>项目基本情况!I19</f>
        <v>45.63</v>
      </c>
      <c r="D12" s="255">
        <v>100</v>
      </c>
      <c r="E12" s="528">
        <v>50</v>
      </c>
      <c r="F12" s="255">
        <f>ROUND(100/'数据-取费表'!G16,0)</f>
        <v>103</v>
      </c>
      <c r="G12" s="528">
        <v>50</v>
      </c>
      <c r="H12" s="255">
        <f>ROUND(100/'数据-取费表'!G16,0)</f>
        <v>103</v>
      </c>
      <c r="I12" s="528">
        <v>50</v>
      </c>
      <c r="J12" s="255">
        <f>ROUND(100/'数据-取费表'!G16,0)</f>
        <v>103</v>
      </c>
      <c r="K12" s="531"/>
      <c r="L12" s="2138"/>
      <c r="M12" s="2178"/>
      <c r="N12" s="2178"/>
      <c r="O12" s="2139"/>
      <c r="P12" s="3364"/>
      <c r="Q12" s="1150" t="str">
        <f t="shared" si="6"/>
        <v>土地使用年限（年）</v>
      </c>
      <c r="R12" s="1567" t="s">
        <v>8</v>
      </c>
      <c r="S12" s="1568">
        <f t="shared" si="0"/>
        <v>103</v>
      </c>
      <c r="T12" s="1567" t="s">
        <v>8</v>
      </c>
      <c r="U12" s="1568">
        <f t="shared" si="1"/>
        <v>103</v>
      </c>
      <c r="V12" s="1567" t="s">
        <v>8</v>
      </c>
      <c r="W12" s="1568">
        <f t="shared" si="2"/>
        <v>103</v>
      </c>
      <c r="X12" s="1569"/>
      <c r="Y12" s="3329"/>
      <c r="Z12" s="1149" t="str">
        <f t="shared" si="7"/>
        <v>土地使用年限（年）</v>
      </c>
      <c r="AA12" s="1570">
        <f t="shared" si="3"/>
        <v>0.970873786407767</v>
      </c>
      <c r="AB12" s="1570">
        <f t="shared" si="4"/>
        <v>0.970873786407767</v>
      </c>
      <c r="AC12" s="1570">
        <f t="shared" si="5"/>
        <v>0.970873786407767</v>
      </c>
    </row>
    <row r="13" spans="1:29" ht="15.75" thickBot="1">
      <c r="A13" s="2940"/>
      <c r="B13" s="2944" t="s">
        <v>2759</v>
      </c>
      <c r="C13" s="533">
        <f>'数据-汇总表'!I7</f>
        <v>0.47</v>
      </c>
      <c r="D13" s="255">
        <v>100</v>
      </c>
      <c r="E13" s="533">
        <v>0.8</v>
      </c>
      <c r="F13" s="255">
        <f>LOOKUP(E13,77:77,78:78)-LOOKUP(C13,77:77,78:78)+100</f>
        <v>100</v>
      </c>
      <c r="G13" s="534">
        <v>0.8</v>
      </c>
      <c r="H13" s="255">
        <f>LOOKUP(G13,77:77,78:78)-LOOKUP(C13,77:77,78:78)+100</f>
        <v>100</v>
      </c>
      <c r="I13" s="533">
        <v>0.8</v>
      </c>
      <c r="J13" s="255">
        <f>LOOKUP(I13,77:77,78:78)-LOOKUP(C13,77:77,78:78)+100</f>
        <v>100</v>
      </c>
      <c r="K13" s="535">
        <v>3</v>
      </c>
      <c r="L13" s="2140"/>
      <c r="M13" s="2134"/>
      <c r="N13" s="2134"/>
      <c r="O13" s="2141"/>
      <c r="P13" s="3364"/>
      <c r="Q13" s="1150" t="str">
        <f t="shared" si="6"/>
        <v>容积率</v>
      </c>
      <c r="R13" s="1567" t="s">
        <v>8</v>
      </c>
      <c r="S13" s="1568">
        <f t="shared" si="0"/>
        <v>100</v>
      </c>
      <c r="T13" s="1567" t="s">
        <v>8</v>
      </c>
      <c r="U13" s="1568">
        <f t="shared" si="1"/>
        <v>100</v>
      </c>
      <c r="V13" s="1567" t="s">
        <v>8</v>
      </c>
      <c r="W13" s="1568">
        <f t="shared" si="2"/>
        <v>100</v>
      </c>
      <c r="X13" s="1569"/>
      <c r="Y13" s="3329"/>
      <c r="Z13" s="1149" t="str">
        <f t="shared" si="7"/>
        <v>容积率</v>
      </c>
      <c r="AA13" s="1570">
        <f t="shared" si="3"/>
        <v>1</v>
      </c>
      <c r="AB13" s="1570">
        <f t="shared" si="4"/>
        <v>1</v>
      </c>
      <c r="AC13" s="1570">
        <f t="shared" si="5"/>
        <v>1</v>
      </c>
    </row>
    <row r="14" spans="1:29" s="1219" customFormat="1" ht="15" hidden="1">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4"/>
      <c r="Q14" s="1150">
        <f t="shared" si="6"/>
        <v>111</v>
      </c>
      <c r="R14" s="1567" t="s">
        <v>8</v>
      </c>
      <c r="S14" s="1568">
        <f t="shared" si="0"/>
        <v>100</v>
      </c>
      <c r="T14" s="1567" t="s">
        <v>8</v>
      </c>
      <c r="U14" s="1568">
        <f t="shared" si="1"/>
        <v>100</v>
      </c>
      <c r="V14" s="1567" t="s">
        <v>8</v>
      </c>
      <c r="W14" s="1568">
        <f t="shared" si="2"/>
        <v>100</v>
      </c>
      <c r="X14" s="1569"/>
      <c r="Y14" s="3329"/>
      <c r="Z14" s="1149">
        <f t="shared" si="7"/>
        <v>111</v>
      </c>
      <c r="AA14" s="1570">
        <f>D14/F14</f>
        <v>1</v>
      </c>
      <c r="AB14" s="1570">
        <f>D14/H14</f>
        <v>1</v>
      </c>
      <c r="AC14" s="1570">
        <f>D14/J14</f>
        <v>1</v>
      </c>
    </row>
    <row r="15" spans="1:29" ht="15" hidden="1">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4"/>
      <c r="Q15" s="1150">
        <f t="shared" si="6"/>
        <v>111</v>
      </c>
      <c r="R15" s="1567" t="s">
        <v>8</v>
      </c>
      <c r="S15" s="1568">
        <f t="shared" si="0"/>
        <v>100</v>
      </c>
      <c r="T15" s="1567" t="s">
        <v>8</v>
      </c>
      <c r="U15" s="1568">
        <f t="shared" si="1"/>
        <v>100</v>
      </c>
      <c r="V15" s="1567" t="s">
        <v>8</v>
      </c>
      <c r="W15" s="1568">
        <f t="shared" si="2"/>
        <v>100</v>
      </c>
      <c r="X15" s="1569"/>
      <c r="Y15" s="3329"/>
      <c r="Z15" s="1149">
        <f t="shared" si="7"/>
        <v>111</v>
      </c>
      <c r="AA15" s="1570">
        <f t="shared" si="3"/>
        <v>1</v>
      </c>
      <c r="AB15" s="1570">
        <f t="shared" si="4"/>
        <v>1</v>
      </c>
      <c r="AC15" s="1570">
        <f t="shared" si="5"/>
        <v>1</v>
      </c>
    </row>
    <row r="16" spans="1:29" ht="15.75" hidden="1"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4"/>
      <c r="Q16" s="1150">
        <f t="shared" si="6"/>
        <v>111</v>
      </c>
      <c r="R16" s="1567" t="s">
        <v>8</v>
      </c>
      <c r="S16" s="1568">
        <f t="shared" si="0"/>
        <v>100</v>
      </c>
      <c r="T16" s="1567" t="s">
        <v>8</v>
      </c>
      <c r="U16" s="1568">
        <f t="shared" si="1"/>
        <v>100</v>
      </c>
      <c r="V16" s="1567" t="s">
        <v>8</v>
      </c>
      <c r="W16" s="1568">
        <f t="shared" si="2"/>
        <v>100</v>
      </c>
      <c r="X16" s="1569"/>
      <c r="Y16" s="3329"/>
      <c r="Z16" s="1149">
        <f t="shared" si="7"/>
        <v>111</v>
      </c>
      <c r="AA16" s="1570">
        <f t="shared" si="3"/>
        <v>1</v>
      </c>
      <c r="AB16" s="1570">
        <f t="shared" si="4"/>
        <v>1</v>
      </c>
      <c r="AC16" s="1570">
        <f t="shared" si="5"/>
        <v>1</v>
      </c>
    </row>
    <row r="17" spans="1:29" ht="15">
      <c r="A17" s="2934" t="s">
        <v>2755</v>
      </c>
      <c r="B17" s="166" t="s">
        <v>598</v>
      </c>
      <c r="C17" s="921">
        <f>估价对象房地状况!G15</f>
        <v>0</v>
      </c>
      <c r="D17" s="549">
        <v>100</v>
      </c>
      <c r="E17" s="550"/>
      <c r="F17" s="549">
        <f>SUMIF(85:85,E18,86:86)-SUMIF(85:85,C18,86:86)+100</f>
        <v>105</v>
      </c>
      <c r="G17" s="550"/>
      <c r="H17" s="549">
        <f>SUMIF(85:85,G18,86:86)-SUMIF(85:85,C18,86:86)+100</f>
        <v>100</v>
      </c>
      <c r="I17" s="552"/>
      <c r="J17" s="549">
        <f>SUMIF(85:85,I18,86:86)-SUMIF(85:85,C18,86:86)+100</f>
        <v>105</v>
      </c>
      <c r="K17" s="535">
        <v>5</v>
      </c>
      <c r="L17" s="2142"/>
      <c r="M17" s="2134"/>
      <c r="N17" s="2134"/>
      <c r="O17" s="2141"/>
      <c r="P17" s="3367" t="s">
        <v>540</v>
      </c>
      <c r="Q17" s="1571" t="str">
        <f t="shared" si="6"/>
        <v>产业集聚程度</v>
      </c>
      <c r="R17" s="1572" t="s">
        <v>8</v>
      </c>
      <c r="S17" s="1573">
        <f t="shared" si="0"/>
        <v>105</v>
      </c>
      <c r="T17" s="1572" t="s">
        <v>8</v>
      </c>
      <c r="U17" s="1573">
        <f t="shared" si="1"/>
        <v>100</v>
      </c>
      <c r="V17" s="1572" t="s">
        <v>8</v>
      </c>
      <c r="W17" s="1573">
        <f t="shared" si="2"/>
        <v>105</v>
      </c>
      <c r="X17" s="1566"/>
      <c r="Y17" s="3367" t="s">
        <v>540</v>
      </c>
      <c r="Z17" s="1574" t="str">
        <f t="shared" si="7"/>
        <v>产业集聚程度</v>
      </c>
      <c r="AA17" s="1575">
        <f t="shared" si="3"/>
        <v>0.95238095238095233</v>
      </c>
      <c r="AB17" s="1575">
        <f t="shared" si="4"/>
        <v>1</v>
      </c>
      <c r="AC17" s="1575">
        <f t="shared" si="5"/>
        <v>0.95238095238095233</v>
      </c>
    </row>
    <row r="18" spans="1:29" ht="15">
      <c r="A18" s="532"/>
      <c r="B18" s="869"/>
      <c r="C18" s="576" t="s">
        <v>3029</v>
      </c>
      <c r="D18" s="555"/>
      <c r="E18" s="554" t="s">
        <v>3037</v>
      </c>
      <c r="F18" s="555"/>
      <c r="G18" s="554" t="s">
        <v>3029</v>
      </c>
      <c r="H18" s="559"/>
      <c r="I18" s="554" t="s">
        <v>3037</v>
      </c>
      <c r="J18" s="555"/>
      <c r="K18" s="531"/>
      <c r="L18" s="2142"/>
      <c r="M18" s="2134"/>
      <c r="N18" s="2134"/>
      <c r="O18" s="2141"/>
      <c r="P18" s="3368"/>
      <c r="Q18" s="1571"/>
      <c r="R18" s="1572"/>
      <c r="S18" s="1573"/>
      <c r="T18" s="1572"/>
      <c r="U18" s="1573"/>
      <c r="V18" s="1572"/>
      <c r="W18" s="1573"/>
      <c r="X18" s="1566"/>
      <c r="Y18" s="3368"/>
      <c r="Z18" s="1574"/>
      <c r="AA18" s="1575">
        <v>1</v>
      </c>
      <c r="AB18" s="1575">
        <v>1</v>
      </c>
      <c r="AC18" s="1575">
        <v>1</v>
      </c>
    </row>
    <row r="19" spans="1:29" ht="15">
      <c r="A19" s="532"/>
      <c r="B19" s="871" t="s">
        <v>543</v>
      </c>
      <c r="C19" s="872">
        <f>估价对象房地状况!G16</f>
        <v>0</v>
      </c>
      <c r="D19" s="559">
        <v>100</v>
      </c>
      <c r="E19" s="562"/>
      <c r="F19" s="565">
        <f>SUMIF(87:87,E20,88:88)-SUMIF(87:87,C20,88:88)+100</f>
        <v>105</v>
      </c>
      <c r="G19" s="562"/>
      <c r="H19" s="565">
        <f>SUMIF(87:87,G20,88:88)-SUMIF(87:87,C20,88:88)+100</f>
        <v>105</v>
      </c>
      <c r="I19" s="564"/>
      <c r="J19" s="559">
        <f>SUMIF(87:87,I20,88:88)-SUMIF(87:87,C20,88:88)+100</f>
        <v>105</v>
      </c>
      <c r="K19" s="535">
        <v>5</v>
      </c>
      <c r="L19" s="2142"/>
      <c r="M19" s="2134"/>
      <c r="N19" s="2134"/>
      <c r="O19" s="2141"/>
      <c r="P19" s="3368"/>
      <c r="Q19" s="1571" t="str">
        <f>B19</f>
        <v>交通便捷度</v>
      </c>
      <c r="R19" s="1572" t="s">
        <v>8</v>
      </c>
      <c r="S19" s="1573">
        <f>F19</f>
        <v>105</v>
      </c>
      <c r="T19" s="1572" t="s">
        <v>8</v>
      </c>
      <c r="U19" s="1573">
        <f>H19</f>
        <v>105</v>
      </c>
      <c r="V19" s="1572" t="s">
        <v>8</v>
      </c>
      <c r="W19" s="1573">
        <f>J19</f>
        <v>105</v>
      </c>
      <c r="X19" s="1566"/>
      <c r="Y19" s="3368"/>
      <c r="Z19" s="1574" t="str">
        <f>Q19</f>
        <v>交通便捷度</v>
      </c>
      <c r="AA19" s="1575">
        <f t="shared" si="3"/>
        <v>0.95238095238095233</v>
      </c>
      <c r="AB19" s="1575">
        <f t="shared" si="4"/>
        <v>0.95238095238095233</v>
      </c>
      <c r="AC19" s="1575">
        <f t="shared" si="5"/>
        <v>0.95238095238095233</v>
      </c>
    </row>
    <row r="20" spans="1:29" ht="15">
      <c r="A20" s="532"/>
      <c r="B20" s="922"/>
      <c r="C20" s="576" t="s">
        <v>3029</v>
      </c>
      <c r="D20" s="555"/>
      <c r="E20" s="556" t="s">
        <v>3037</v>
      </c>
      <c r="F20" s="555"/>
      <c r="G20" s="556" t="s">
        <v>3037</v>
      </c>
      <c r="H20" s="555"/>
      <c r="I20" s="558" t="s">
        <v>3037</v>
      </c>
      <c r="J20" s="555"/>
      <c r="K20" s="531"/>
      <c r="L20" s="2142"/>
      <c r="M20" s="2134"/>
      <c r="N20" s="2134"/>
      <c r="O20" s="2141"/>
      <c r="P20" s="3368"/>
      <c r="Q20" s="1571"/>
      <c r="R20" s="1572"/>
      <c r="S20" s="1573"/>
      <c r="T20" s="1572"/>
      <c r="U20" s="1573"/>
      <c r="V20" s="1572"/>
      <c r="W20" s="1573"/>
      <c r="X20" s="1566"/>
      <c r="Y20" s="3368"/>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v>3</v>
      </c>
      <c r="L21" s="2142"/>
      <c r="M21" s="2134"/>
      <c r="N21" s="2134"/>
      <c r="O21" s="2141"/>
      <c r="P21" s="3368"/>
      <c r="Q21" s="1571" t="str">
        <f t="shared" ref="Q21:Q35" si="8">B21</f>
        <v>区域土地利用方向</v>
      </c>
      <c r="R21" s="1572" t="s">
        <v>8</v>
      </c>
      <c r="S21" s="1573">
        <f>F21</f>
        <v>100</v>
      </c>
      <c r="T21" s="1572" t="s">
        <v>8</v>
      </c>
      <c r="U21" s="1573">
        <f>H21</f>
        <v>100</v>
      </c>
      <c r="V21" s="1572" t="s">
        <v>8</v>
      </c>
      <c r="W21" s="1573">
        <f>J21</f>
        <v>100</v>
      </c>
      <c r="X21" s="1566"/>
      <c r="Y21" s="3368"/>
      <c r="Z21" s="1574" t="str">
        <f>Q21</f>
        <v>区域土地利用方向</v>
      </c>
      <c r="AA21" s="1575">
        <f t="shared" si="3"/>
        <v>1</v>
      </c>
      <c r="AB21" s="1575">
        <f t="shared" si="4"/>
        <v>1</v>
      </c>
      <c r="AC21" s="1575">
        <f t="shared" si="5"/>
        <v>1</v>
      </c>
    </row>
    <row r="22" spans="1:29" ht="15">
      <c r="A22" s="515"/>
      <c r="B22" s="595"/>
      <c r="C22" s="576" t="s">
        <v>3037</v>
      </c>
      <c r="D22" s="555"/>
      <c r="E22" s="556" t="s">
        <v>3037</v>
      </c>
      <c r="F22" s="557"/>
      <c r="G22" s="558" t="s">
        <v>3037</v>
      </c>
      <c r="H22" s="557"/>
      <c r="I22" s="558" t="s">
        <v>3037</v>
      </c>
      <c r="J22" s="557"/>
      <c r="K22" s="1347"/>
      <c r="L22" s="2142"/>
      <c r="M22" s="2134"/>
      <c r="N22" s="2134"/>
      <c r="O22" s="2141"/>
      <c r="P22" s="3368"/>
      <c r="Q22" s="1571"/>
      <c r="R22" s="1572"/>
      <c r="S22" s="1573"/>
      <c r="T22" s="1572"/>
      <c r="U22" s="1573"/>
      <c r="V22" s="1572"/>
      <c r="W22" s="1573"/>
      <c r="X22" s="1566"/>
      <c r="Y22" s="3368"/>
      <c r="Z22" s="1574"/>
      <c r="AA22" s="1575"/>
      <c r="AB22" s="1575"/>
      <c r="AC22" s="1575"/>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98</v>
      </c>
      <c r="K23" s="535">
        <v>2</v>
      </c>
      <c r="L23" s="2142"/>
      <c r="M23" s="2134"/>
      <c r="N23" s="2134"/>
      <c r="O23" s="2141"/>
      <c r="P23" s="3368"/>
      <c r="Q23" s="1571" t="str">
        <f t="shared" si="8"/>
        <v>环境状况</v>
      </c>
      <c r="R23" s="1572" t="s">
        <v>8</v>
      </c>
      <c r="S23" s="1573">
        <f>F23</f>
        <v>100</v>
      </c>
      <c r="T23" s="1572" t="s">
        <v>8</v>
      </c>
      <c r="U23" s="1573">
        <f>H23</f>
        <v>100</v>
      </c>
      <c r="V23" s="1572" t="s">
        <v>8</v>
      </c>
      <c r="W23" s="1573">
        <f>J23</f>
        <v>98</v>
      </c>
      <c r="X23" s="1566"/>
      <c r="Y23" s="3368"/>
      <c r="Z23" s="1574" t="str">
        <f>Q23</f>
        <v>环境状况</v>
      </c>
      <c r="AA23" s="1575">
        <f t="shared" si="3"/>
        <v>1</v>
      </c>
      <c r="AB23" s="1575">
        <f t="shared" si="4"/>
        <v>1</v>
      </c>
      <c r="AC23" s="1575">
        <f t="shared" si="5"/>
        <v>1.0204081632653061</v>
      </c>
    </row>
    <row r="24" spans="1:29" ht="15">
      <c r="A24" s="515"/>
      <c r="B24" s="595"/>
      <c r="C24" s="576" t="s">
        <v>3037</v>
      </c>
      <c r="D24" s="555"/>
      <c r="E24" s="554" t="s">
        <v>3037</v>
      </c>
      <c r="F24" s="555"/>
      <c r="G24" s="554" t="s">
        <v>3037</v>
      </c>
      <c r="H24" s="555"/>
      <c r="I24" s="576" t="s">
        <v>3029</v>
      </c>
      <c r="J24" s="555"/>
      <c r="K24" s="531"/>
      <c r="L24" s="2142"/>
      <c r="M24" s="2134"/>
      <c r="N24" s="2134"/>
      <c r="O24" s="2141"/>
      <c r="P24" s="3368"/>
      <c r="Q24" s="1571"/>
      <c r="R24" s="1572"/>
      <c r="S24" s="1573"/>
      <c r="T24" s="1572"/>
      <c r="U24" s="1573"/>
      <c r="V24" s="1572"/>
      <c r="W24" s="1573"/>
      <c r="X24" s="1566"/>
      <c r="Y24" s="3368"/>
      <c r="Z24" s="1574"/>
      <c r="AA24" s="1575">
        <v>1</v>
      </c>
      <c r="AB24" s="1575">
        <v>1</v>
      </c>
      <c r="AC24" s="1575">
        <v>1</v>
      </c>
    </row>
    <row r="25" spans="1:29" s="1219" customFormat="1" ht="15">
      <c r="A25" s="577"/>
      <c r="B25" s="2617"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v>2</v>
      </c>
      <c r="L25" s="2135"/>
      <c r="M25" s="2136"/>
      <c r="N25" s="2136"/>
      <c r="O25" s="2137"/>
      <c r="P25" s="3368"/>
      <c r="Q25" s="1150" t="str">
        <f t="shared" si="8"/>
        <v>公共配套设施</v>
      </c>
      <c r="R25" s="1567" t="s">
        <v>8</v>
      </c>
      <c r="S25" s="1568">
        <f>F25</f>
        <v>100</v>
      </c>
      <c r="T25" s="1567" t="s">
        <v>8</v>
      </c>
      <c r="U25" s="1568">
        <f>H25</f>
        <v>100</v>
      </c>
      <c r="V25" s="1567" t="s">
        <v>8</v>
      </c>
      <c r="W25" s="1568">
        <f>J25</f>
        <v>100</v>
      </c>
      <c r="X25" s="1569"/>
      <c r="Y25" s="3368"/>
      <c r="Z25" s="1149" t="str">
        <f>Q25</f>
        <v>公共配套设施</v>
      </c>
      <c r="AA25" s="1575">
        <f>D25/F25</f>
        <v>1</v>
      </c>
      <c r="AB25" s="1575">
        <f>D25/H25</f>
        <v>1</v>
      </c>
      <c r="AC25" s="1575">
        <f>D25/J25</f>
        <v>1</v>
      </c>
    </row>
    <row r="26" spans="1:29" s="1219" customFormat="1" ht="15">
      <c r="A26" s="577"/>
      <c r="B26" s="595"/>
      <c r="C26" s="2616" t="s">
        <v>3029</v>
      </c>
      <c r="D26" s="555"/>
      <c r="E26" s="554" t="s">
        <v>3029</v>
      </c>
      <c r="F26" s="555"/>
      <c r="G26" s="554" t="s">
        <v>3029</v>
      </c>
      <c r="H26" s="555"/>
      <c r="I26" s="576" t="s">
        <v>3029</v>
      </c>
      <c r="J26" s="555"/>
      <c r="K26" s="531"/>
      <c r="L26" s="2135"/>
      <c r="M26" s="2136"/>
      <c r="N26" s="2136"/>
      <c r="O26" s="2137"/>
      <c r="P26" s="3368"/>
      <c r="Q26" s="1150"/>
      <c r="R26" s="1567"/>
      <c r="S26" s="1568"/>
      <c r="T26" s="1567"/>
      <c r="U26" s="1568"/>
      <c r="V26" s="1567"/>
      <c r="W26" s="1568"/>
      <c r="X26" s="1569"/>
      <c r="Y26" s="3368"/>
      <c r="Z26" s="1149"/>
      <c r="AA26" s="1570">
        <v>1</v>
      </c>
      <c r="AB26" s="1570">
        <v>1</v>
      </c>
      <c r="AC26" s="1570">
        <v>1</v>
      </c>
    </row>
    <row r="27" spans="1:29" s="1219" customFormat="1" ht="15">
      <c r="A27" s="577"/>
      <c r="B27" s="2617"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v>2</v>
      </c>
      <c r="L27" s="2135"/>
      <c r="M27" s="2136"/>
      <c r="N27" s="2136"/>
      <c r="O27" s="2137"/>
      <c r="P27" s="3368"/>
      <c r="Q27" s="2602" t="str">
        <f t="shared" ref="Q27" si="9">B27</f>
        <v>基础设施水平</v>
      </c>
      <c r="R27" s="1567" t="s">
        <v>8</v>
      </c>
      <c r="S27" s="1568">
        <f>F27</f>
        <v>100</v>
      </c>
      <c r="T27" s="1567" t="s">
        <v>8</v>
      </c>
      <c r="U27" s="1568">
        <f>H27</f>
        <v>100</v>
      </c>
      <c r="V27" s="1567" t="s">
        <v>8</v>
      </c>
      <c r="W27" s="1568">
        <f>J27</f>
        <v>100</v>
      </c>
      <c r="X27" s="1569"/>
      <c r="Y27" s="3368"/>
      <c r="Z27" s="2599" t="str">
        <f>Q27</f>
        <v>基础设施水平</v>
      </c>
      <c r="AA27" s="1575">
        <f>D27/F27</f>
        <v>1</v>
      </c>
      <c r="AB27" s="1575">
        <f>D27/H27</f>
        <v>1</v>
      </c>
      <c r="AC27" s="1575">
        <f>D27/J27</f>
        <v>1</v>
      </c>
    </row>
    <row r="28" spans="1:29" s="1219" customFormat="1" ht="15">
      <c r="A28" s="577"/>
      <c r="B28" s="595"/>
      <c r="C28" s="2616" t="s">
        <v>3031</v>
      </c>
      <c r="D28" s="555"/>
      <c r="E28" s="579" t="s">
        <v>3031</v>
      </c>
      <c r="F28" s="555"/>
      <c r="G28" s="579" t="s">
        <v>3031</v>
      </c>
      <c r="H28" s="555"/>
      <c r="I28" s="579" t="s">
        <v>3031</v>
      </c>
      <c r="J28" s="555"/>
      <c r="K28" s="531"/>
      <c r="L28" s="2135"/>
      <c r="M28" s="2136"/>
      <c r="N28" s="2136"/>
      <c r="O28" s="2137"/>
      <c r="P28" s="3368"/>
      <c r="Q28" s="2602"/>
      <c r="R28" s="1567"/>
      <c r="S28" s="1568"/>
      <c r="T28" s="1567"/>
      <c r="U28" s="1568"/>
      <c r="V28" s="1567"/>
      <c r="W28" s="1568"/>
      <c r="X28" s="1569"/>
      <c r="Y28" s="3368"/>
      <c r="Z28" s="2599"/>
      <c r="AA28" s="1570">
        <v>1</v>
      </c>
      <c r="AB28" s="1570">
        <v>1</v>
      </c>
      <c r="AC28" s="1570">
        <v>1</v>
      </c>
    </row>
    <row r="29" spans="1:29" ht="15">
      <c r="A29" s="532"/>
      <c r="B29" s="595" t="s">
        <v>547</v>
      </c>
      <c r="C29" s="583" t="s">
        <v>3040</v>
      </c>
      <c r="D29" s="540">
        <v>100</v>
      </c>
      <c r="E29" s="580" t="s">
        <v>3040</v>
      </c>
      <c r="F29" s="540">
        <f>SUMIF(97:97,E29,98:98)-SUMIF(97:97,C29,98:98)+100</f>
        <v>100</v>
      </c>
      <c r="G29" s="580" t="s">
        <v>3040</v>
      </c>
      <c r="H29" s="540">
        <f>SUMIF(97:97,G29,98:98)-SUMIF(97:97,C29,98:98)+100</f>
        <v>100</v>
      </c>
      <c r="I29" s="580" t="s">
        <v>3040</v>
      </c>
      <c r="J29" s="540">
        <f>SUMIF(97:97,I29,98:98)-SUMIF(97:97,C29,98:98)+100</f>
        <v>100</v>
      </c>
      <c r="K29" s="535">
        <v>2</v>
      </c>
      <c r="L29" s="2142"/>
      <c r="M29" s="2134"/>
      <c r="N29" s="2134"/>
      <c r="O29" s="2141"/>
      <c r="P29" s="336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68"/>
      <c r="Z29" s="1574" t="str">
        <f t="shared" ref="Z29:Z42" si="13">Q29</f>
        <v>临街状况</v>
      </c>
      <c r="AA29" s="1575">
        <f t="shared" si="3"/>
        <v>1</v>
      </c>
      <c r="AB29" s="1575">
        <f t="shared" si="4"/>
        <v>1</v>
      </c>
      <c r="AC29" s="1575">
        <f t="shared" si="5"/>
        <v>1</v>
      </c>
    </row>
    <row r="30" spans="1:29" ht="27">
      <c r="A30" s="532"/>
      <c r="B30" s="922" t="s">
        <v>548</v>
      </c>
      <c r="C30" s="2619">
        <f>估价对象房地状况!G22</f>
        <v>0</v>
      </c>
      <c r="D30" s="559">
        <v>100</v>
      </c>
      <c r="E30" s="562"/>
      <c r="F30" s="559">
        <f>SUMIF(99:99,E31,100:100)-SUMIF(99:99,C31,100:100)+100</f>
        <v>101</v>
      </c>
      <c r="G30" s="562"/>
      <c r="H30" s="559">
        <f>SUMIF(99:99,G31,100:100)-SUMIF(99:99,C31,100:100)+100</f>
        <v>102</v>
      </c>
      <c r="I30" s="3189" t="s">
        <v>3052</v>
      </c>
      <c r="J30" s="559">
        <f>SUMIF(99:99,I31,100:100)-SUMIF(99:99,C31,100:100)+100</f>
        <v>100</v>
      </c>
      <c r="K30" s="535">
        <v>1</v>
      </c>
      <c r="L30" s="2142"/>
      <c r="M30" s="2134"/>
      <c r="N30" s="2134"/>
      <c r="O30" s="2141"/>
      <c r="P30" s="3368"/>
      <c r="Q30" s="1571" t="str">
        <f t="shared" si="8"/>
        <v>毗邻道路的类型与等级</v>
      </c>
      <c r="R30" s="1572" t="s">
        <v>8</v>
      </c>
      <c r="S30" s="1573">
        <f t="shared" si="10"/>
        <v>101</v>
      </c>
      <c r="T30" s="1572" t="s">
        <v>8</v>
      </c>
      <c r="U30" s="1573">
        <f t="shared" si="11"/>
        <v>102</v>
      </c>
      <c r="V30" s="1572" t="s">
        <v>8</v>
      </c>
      <c r="W30" s="1573">
        <f t="shared" si="12"/>
        <v>100</v>
      </c>
      <c r="X30" s="1566"/>
      <c r="Y30" s="3368"/>
      <c r="Z30" s="1574" t="str">
        <f t="shared" si="13"/>
        <v>毗邻道路的类型与等级</v>
      </c>
      <c r="AA30" s="1575">
        <f t="shared" si="3"/>
        <v>0.99009900990099009</v>
      </c>
      <c r="AB30" s="1575">
        <f t="shared" si="4"/>
        <v>0.98039215686274506</v>
      </c>
      <c r="AC30" s="1575">
        <f t="shared" si="5"/>
        <v>1</v>
      </c>
    </row>
    <row r="31" spans="1:29" ht="15">
      <c r="A31" s="532"/>
      <c r="B31" s="595"/>
      <c r="C31" s="576" t="s">
        <v>3018</v>
      </c>
      <c r="D31" s="555"/>
      <c r="E31" s="576" t="s">
        <v>3017</v>
      </c>
      <c r="F31" s="555"/>
      <c r="G31" s="576" t="s">
        <v>3016</v>
      </c>
      <c r="H31" s="555"/>
      <c r="I31" s="576" t="s">
        <v>3018</v>
      </c>
      <c r="J31" s="555"/>
      <c r="K31" s="581"/>
      <c r="L31" s="2142"/>
      <c r="M31" s="2134"/>
      <c r="N31" s="2134"/>
      <c r="O31" s="2141"/>
      <c r="P31" s="3368"/>
      <c r="Q31" s="1571"/>
      <c r="R31" s="1572"/>
      <c r="S31" s="1573"/>
      <c r="T31" s="1572"/>
      <c r="U31" s="1573"/>
      <c r="V31" s="1572"/>
      <c r="W31" s="1573"/>
      <c r="X31" s="1566"/>
      <c r="Y31" s="3368"/>
      <c r="Z31" s="1574"/>
      <c r="AA31" s="1575">
        <v>1</v>
      </c>
      <c r="AB31" s="1575">
        <v>1</v>
      </c>
      <c r="AC31" s="1575">
        <v>1</v>
      </c>
    </row>
    <row r="32" spans="1:29" ht="15.75" thickBot="1">
      <c r="A32" s="532"/>
      <c r="B32" s="527" t="s">
        <v>549</v>
      </c>
      <c r="C32" s="2620" t="str">
        <f>估价对象房地状况!G23</f>
        <v>6级</v>
      </c>
      <c r="D32" s="540">
        <v>100</v>
      </c>
      <c r="E32" s="580" t="s">
        <v>3024</v>
      </c>
      <c r="F32" s="540">
        <f>SUMIF(101:101,E32,102:102)-SUMIF(101:101,C32,102:102)+100</f>
        <v>100</v>
      </c>
      <c r="G32" s="580" t="s">
        <v>3024</v>
      </c>
      <c r="H32" s="540">
        <f>SUMIF(101:101,G32,102:102)-SUMIF(101:101,C32,102:102)+100</f>
        <v>100</v>
      </c>
      <c r="I32" s="580" t="s">
        <v>3024</v>
      </c>
      <c r="J32" s="540">
        <f>SUMIF(101:101,I32,102:102)-SUMIF(101:101,C32,102:102)+100</f>
        <v>100</v>
      </c>
      <c r="K32" s="584">
        <v>2</v>
      </c>
      <c r="L32" s="2142"/>
      <c r="M32" s="2134"/>
      <c r="N32" s="2134"/>
      <c r="O32" s="2141"/>
      <c r="P32" s="3368"/>
      <c r="Q32" s="1571" t="str">
        <f t="shared" si="8"/>
        <v>土地级别</v>
      </c>
      <c r="R32" s="1572" t="s">
        <v>8</v>
      </c>
      <c r="S32" s="1573">
        <f t="shared" si="10"/>
        <v>100</v>
      </c>
      <c r="T32" s="1572" t="s">
        <v>8</v>
      </c>
      <c r="U32" s="1573">
        <f t="shared" si="11"/>
        <v>100</v>
      </c>
      <c r="V32" s="1572" t="s">
        <v>8</v>
      </c>
      <c r="W32" s="1573">
        <f t="shared" si="12"/>
        <v>100</v>
      </c>
      <c r="X32" s="1566"/>
      <c r="Y32" s="3368"/>
      <c r="Z32" s="1574" t="str">
        <f t="shared" si="13"/>
        <v>土地级别</v>
      </c>
      <c r="AA32" s="1575">
        <f t="shared" si="3"/>
        <v>1</v>
      </c>
      <c r="AB32" s="1575">
        <f t="shared" si="4"/>
        <v>1</v>
      </c>
      <c r="AC32" s="1575">
        <f t="shared" si="5"/>
        <v>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68"/>
      <c r="Q33" s="1571">
        <f t="shared" si="8"/>
        <v>111</v>
      </c>
      <c r="R33" s="1572" t="s">
        <v>8</v>
      </c>
      <c r="S33" s="1573">
        <f t="shared" si="10"/>
        <v>100</v>
      </c>
      <c r="T33" s="1572" t="s">
        <v>8</v>
      </c>
      <c r="U33" s="1573">
        <f t="shared" si="11"/>
        <v>100</v>
      </c>
      <c r="V33" s="1572" t="s">
        <v>8</v>
      </c>
      <c r="W33" s="1573">
        <f t="shared" si="12"/>
        <v>100</v>
      </c>
      <c r="X33" s="1566"/>
      <c r="Y33" s="3368"/>
      <c r="Z33" s="1574">
        <f t="shared" si="13"/>
        <v>111</v>
      </c>
      <c r="AA33" s="1575">
        <f t="shared" si="3"/>
        <v>1</v>
      </c>
      <c r="AB33" s="1575">
        <f t="shared" si="4"/>
        <v>1</v>
      </c>
      <c r="AC33" s="1575">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69" t="s">
        <v>550</v>
      </c>
      <c r="Q34" s="1571">
        <f t="shared" si="8"/>
        <v>111</v>
      </c>
      <c r="R34" s="1572" t="s">
        <v>8</v>
      </c>
      <c r="S34" s="1573">
        <f t="shared" si="10"/>
        <v>100</v>
      </c>
      <c r="T34" s="1572" t="s">
        <v>8</v>
      </c>
      <c r="U34" s="1573">
        <f t="shared" si="11"/>
        <v>100</v>
      </c>
      <c r="V34" s="1572" t="s">
        <v>8</v>
      </c>
      <c r="W34" s="1573">
        <f t="shared" si="12"/>
        <v>100</v>
      </c>
      <c r="X34" s="1566"/>
      <c r="Y34" s="3370" t="s">
        <v>550</v>
      </c>
      <c r="Z34" s="1574">
        <f t="shared" si="13"/>
        <v>111</v>
      </c>
      <c r="AA34" s="1575">
        <f t="shared" si="3"/>
        <v>1</v>
      </c>
      <c r="AB34" s="1575">
        <f t="shared" si="4"/>
        <v>1</v>
      </c>
      <c r="AC34" s="1575">
        <f t="shared" si="5"/>
        <v>1</v>
      </c>
    </row>
    <row r="35" spans="1:29" s="1338" customFormat="1" ht="15.75" hidden="1"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70"/>
      <c r="Q35" s="1571">
        <f t="shared" si="8"/>
        <v>111</v>
      </c>
      <c r="R35" s="1576" t="s">
        <v>8</v>
      </c>
      <c r="S35" s="1577">
        <f t="shared" si="10"/>
        <v>100</v>
      </c>
      <c r="T35" s="1576" t="s">
        <v>8</v>
      </c>
      <c r="U35" s="1577">
        <f t="shared" si="11"/>
        <v>100</v>
      </c>
      <c r="V35" s="1576" t="s">
        <v>8</v>
      </c>
      <c r="W35" s="1577">
        <f t="shared" si="12"/>
        <v>100</v>
      </c>
      <c r="X35" s="1578"/>
      <c r="Y35" s="3370"/>
      <c r="Z35" s="1579">
        <f t="shared" si="13"/>
        <v>111</v>
      </c>
      <c r="AA35" s="1575">
        <f t="shared" si="3"/>
        <v>1</v>
      </c>
      <c r="AB35" s="1575">
        <f t="shared" si="4"/>
        <v>1</v>
      </c>
      <c r="AC35" s="1575">
        <f t="shared" si="5"/>
        <v>1</v>
      </c>
    </row>
    <row r="36" spans="1:29" ht="15">
      <c r="A36" s="2931" t="s">
        <v>2756</v>
      </c>
      <c r="B36" s="595" t="s">
        <v>552</v>
      </c>
      <c r="C36" s="596">
        <f>'数据-汇总表'!D3</f>
        <v>28344.22</v>
      </c>
      <c r="D36" s="597">
        <v>100</v>
      </c>
      <c r="E36" s="596">
        <v>11912.8</v>
      </c>
      <c r="F36" s="597">
        <f>LOOKUP(E36,110:110,111:111)-LOOKUP(C36,110:110,111:111)+100</f>
        <v>99</v>
      </c>
      <c r="G36" s="596">
        <v>56802.68</v>
      </c>
      <c r="H36" s="597">
        <f>LOOKUP(G36,110:110,111:111)-LOOKUP(C36,110:110,111:111)+100</f>
        <v>101</v>
      </c>
      <c r="I36" s="598">
        <v>4280.58</v>
      </c>
      <c r="J36" s="597">
        <f>LOOKUP(I36,110:110,111:111)-LOOKUP(C36,110:110,111:111)+100</f>
        <v>98</v>
      </c>
      <c r="K36" s="581"/>
      <c r="L36" s="2142"/>
      <c r="M36" s="2134"/>
      <c r="N36" s="2134"/>
      <c r="O36" s="2141"/>
      <c r="P36" s="3370"/>
      <c r="Q36" s="1571" t="str">
        <f>B36</f>
        <v>宗地面积</v>
      </c>
      <c r="R36" s="1572" t="s">
        <v>8</v>
      </c>
      <c r="S36" s="1573">
        <f t="shared" si="10"/>
        <v>99</v>
      </c>
      <c r="T36" s="1572" t="s">
        <v>8</v>
      </c>
      <c r="U36" s="1573">
        <f t="shared" si="11"/>
        <v>101</v>
      </c>
      <c r="V36" s="1572" t="s">
        <v>8</v>
      </c>
      <c r="W36" s="1573">
        <f t="shared" si="12"/>
        <v>98</v>
      </c>
      <c r="X36" s="1566"/>
      <c r="Y36" s="3370"/>
      <c r="Z36" s="1574" t="str">
        <f t="shared" si="13"/>
        <v>宗地面积</v>
      </c>
      <c r="AA36" s="1575">
        <f t="shared" si="3"/>
        <v>1.0101010101010102</v>
      </c>
      <c r="AB36" s="1575">
        <f t="shared" si="4"/>
        <v>0.99009900990099009</v>
      </c>
      <c r="AC36" s="1575">
        <f t="shared" si="5"/>
        <v>1.0204081632653061</v>
      </c>
    </row>
    <row r="37" spans="1:29" ht="15">
      <c r="A37" s="594"/>
      <c r="B37" s="527" t="s">
        <v>553</v>
      </c>
      <c r="C37" s="599" t="s">
        <v>3026</v>
      </c>
      <c r="D37" s="540">
        <v>100</v>
      </c>
      <c r="E37" s="599" t="s">
        <v>3026</v>
      </c>
      <c r="F37" s="540">
        <f>SUMIF(112:112,E37,113:113)-SUMIF(112:112,C37,113:113)+100</f>
        <v>100</v>
      </c>
      <c r="G37" s="599" t="s">
        <v>3026</v>
      </c>
      <c r="H37" s="540">
        <f>SUMIF(112:112,G37,113:113)-SUMIF(112:112,C37,113:113)+100</f>
        <v>100</v>
      </c>
      <c r="I37" s="599" t="s">
        <v>3026</v>
      </c>
      <c r="J37" s="540">
        <f>SUMIF(112:112,I37,113:113)-SUMIF(112:112,C37,113:113)+100</f>
        <v>100</v>
      </c>
      <c r="K37" s="584">
        <v>2</v>
      </c>
      <c r="L37" s="2142"/>
      <c r="M37" s="2134"/>
      <c r="N37" s="2134"/>
      <c r="O37" s="2141"/>
      <c r="P37" s="3370"/>
      <c r="Q37" s="1571" t="str">
        <f t="shared" ref="Q37:Q42" si="14">B37</f>
        <v>宗地形状</v>
      </c>
      <c r="R37" s="1572" t="s">
        <v>8</v>
      </c>
      <c r="S37" s="1573">
        <f t="shared" si="10"/>
        <v>100</v>
      </c>
      <c r="T37" s="1572" t="s">
        <v>8</v>
      </c>
      <c r="U37" s="1573">
        <f t="shared" si="11"/>
        <v>100</v>
      </c>
      <c r="V37" s="1572" t="s">
        <v>8</v>
      </c>
      <c r="W37" s="1573">
        <f t="shared" si="12"/>
        <v>100</v>
      </c>
      <c r="X37" s="1566"/>
      <c r="Y37" s="3370"/>
      <c r="Z37" s="1574" t="str">
        <f t="shared" si="13"/>
        <v>宗地形状</v>
      </c>
      <c r="AA37" s="1575">
        <f t="shared" si="3"/>
        <v>1</v>
      </c>
      <c r="AB37" s="1575">
        <f t="shared" si="4"/>
        <v>1</v>
      </c>
      <c r="AC37" s="1575">
        <f t="shared" si="5"/>
        <v>1</v>
      </c>
    </row>
    <row r="38" spans="1:29" s="1219" customFormat="1" ht="15">
      <c r="A38" s="600"/>
      <c r="B38" s="1895" t="s">
        <v>2425</v>
      </c>
      <c r="C38" s="601" t="s">
        <v>3035</v>
      </c>
      <c r="D38" s="255">
        <v>100</v>
      </c>
      <c r="E38" s="601" t="s">
        <v>3035</v>
      </c>
      <c r="F38" s="540">
        <f>SUMIF(114:114,E38,115:115)-SUMIF(114:114,C38,115:115)+100</f>
        <v>100</v>
      </c>
      <c r="G38" s="601" t="s">
        <v>3035</v>
      </c>
      <c r="H38" s="540">
        <f>SUMIF(114:114,G38,115:115)-SUMIF(114:114,C38,115:115)+100</f>
        <v>100</v>
      </c>
      <c r="I38" s="601" t="s">
        <v>3035</v>
      </c>
      <c r="J38" s="540">
        <f>SUMIF(114:114,I38,115:115)-SUMIF(114:114,C38,115:115)+100</f>
        <v>100</v>
      </c>
      <c r="K38" s="584">
        <v>1</v>
      </c>
      <c r="L38" s="2135"/>
      <c r="M38" s="2136"/>
      <c r="N38" s="2136"/>
      <c r="O38" s="2137"/>
      <c r="P38" s="3370"/>
      <c r="Q38" s="1571" t="str">
        <f t="shared" si="14"/>
        <v>宗地开发程度</v>
      </c>
      <c r="R38" s="1567" t="s">
        <v>8</v>
      </c>
      <c r="S38" s="1568">
        <f t="shared" si="10"/>
        <v>100</v>
      </c>
      <c r="T38" s="1567" t="s">
        <v>8</v>
      </c>
      <c r="U38" s="1568">
        <f t="shared" si="11"/>
        <v>100</v>
      </c>
      <c r="V38" s="1567" t="s">
        <v>8</v>
      </c>
      <c r="W38" s="1568">
        <f t="shared" si="12"/>
        <v>100</v>
      </c>
      <c r="X38" s="1569"/>
      <c r="Y38" s="3370"/>
      <c r="Z38" s="1149" t="str">
        <f t="shared" si="13"/>
        <v>宗地开发程度</v>
      </c>
      <c r="AA38" s="1570">
        <f t="shared" si="3"/>
        <v>1</v>
      </c>
      <c r="AB38" s="1570">
        <f t="shared" si="4"/>
        <v>1</v>
      </c>
      <c r="AC38" s="1570">
        <f t="shared" si="5"/>
        <v>1</v>
      </c>
    </row>
    <row r="39" spans="1:29" ht="15.75" thickBot="1">
      <c r="A39" s="594"/>
      <c r="B39" s="527" t="s">
        <v>555</v>
      </c>
      <c r="C39" s="599" t="s">
        <v>3037</v>
      </c>
      <c r="D39" s="540">
        <v>100</v>
      </c>
      <c r="E39" s="599" t="s">
        <v>3037</v>
      </c>
      <c r="F39" s="540">
        <f>SUMIF(116:116,E39,117:117)-SUMIF(116:116,C39,117:117)+100</f>
        <v>100</v>
      </c>
      <c r="G39" s="599" t="s">
        <v>3037</v>
      </c>
      <c r="H39" s="540">
        <f>SUMIF(116:116,G39,117:117)-SUMIF(116:116,C39,117:117)+100</f>
        <v>100</v>
      </c>
      <c r="I39" s="599" t="s">
        <v>3037</v>
      </c>
      <c r="J39" s="540">
        <f>SUMIF(116:116,I39,117:117)-SUMIF(116:116,C39,117:117)+100</f>
        <v>100</v>
      </c>
      <c r="K39" s="584">
        <v>1</v>
      </c>
      <c r="L39" s="2142"/>
      <c r="M39" s="2134"/>
      <c r="N39" s="2134"/>
      <c r="O39" s="2141"/>
      <c r="P39" s="3370" t="s">
        <v>601</v>
      </c>
      <c r="Q39" s="1571" t="str">
        <f t="shared" si="14"/>
        <v>工程地质条件</v>
      </c>
      <c r="R39" s="1572" t="s">
        <v>8</v>
      </c>
      <c r="S39" s="1573">
        <f t="shared" si="10"/>
        <v>100</v>
      </c>
      <c r="T39" s="1572" t="s">
        <v>8</v>
      </c>
      <c r="U39" s="1573">
        <f t="shared" si="11"/>
        <v>100</v>
      </c>
      <c r="V39" s="1572" t="s">
        <v>8</v>
      </c>
      <c r="W39" s="1573">
        <f t="shared" si="12"/>
        <v>100</v>
      </c>
      <c r="X39" s="1566"/>
      <c r="Y39" s="3370" t="s">
        <v>601</v>
      </c>
      <c r="Z39" s="1574" t="str">
        <f t="shared" si="13"/>
        <v>工程地质条件</v>
      </c>
      <c r="AA39" s="1575">
        <f t="shared" si="3"/>
        <v>1</v>
      </c>
      <c r="AB39" s="1575">
        <f t="shared" si="4"/>
        <v>1</v>
      </c>
      <c r="AC39" s="1575">
        <f t="shared" si="5"/>
        <v>1</v>
      </c>
    </row>
    <row r="40" spans="1:29" ht="15" hidden="1">
      <c r="A40" s="594"/>
      <c r="B40" s="602"/>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70"/>
      <c r="Q40" s="1571">
        <f t="shared" si="14"/>
        <v>0</v>
      </c>
      <c r="R40" s="1572" t="s">
        <v>8</v>
      </c>
      <c r="S40" s="1573">
        <f t="shared" si="10"/>
        <v>100</v>
      </c>
      <c r="T40" s="1572" t="s">
        <v>8</v>
      </c>
      <c r="U40" s="1573">
        <f t="shared" si="11"/>
        <v>100</v>
      </c>
      <c r="V40" s="1572" t="s">
        <v>8</v>
      </c>
      <c r="W40" s="1573">
        <f t="shared" si="12"/>
        <v>100</v>
      </c>
      <c r="X40" s="1566"/>
      <c r="Y40" s="3370"/>
      <c r="Z40" s="1574">
        <f t="shared" si="13"/>
        <v>0</v>
      </c>
      <c r="AA40" s="1575">
        <f t="shared" si="3"/>
        <v>1</v>
      </c>
      <c r="AB40" s="1575">
        <f t="shared" si="4"/>
        <v>1</v>
      </c>
      <c r="AC40" s="1575">
        <f t="shared" si="5"/>
        <v>1</v>
      </c>
    </row>
    <row r="41" spans="1:29" ht="15" hidden="1">
      <c r="A41" s="594"/>
      <c r="B41" s="602"/>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70"/>
      <c r="Q41" s="1571">
        <f t="shared" si="14"/>
        <v>0</v>
      </c>
      <c r="R41" s="1572" t="s">
        <v>8</v>
      </c>
      <c r="S41" s="1573">
        <f t="shared" si="10"/>
        <v>100</v>
      </c>
      <c r="T41" s="1572" t="s">
        <v>8</v>
      </c>
      <c r="U41" s="1573">
        <f t="shared" si="11"/>
        <v>100</v>
      </c>
      <c r="V41" s="1572" t="s">
        <v>8</v>
      </c>
      <c r="W41" s="1573">
        <f t="shared" si="12"/>
        <v>100</v>
      </c>
      <c r="X41" s="1566"/>
      <c r="Y41" s="3370"/>
      <c r="Z41" s="1574">
        <f t="shared" si="13"/>
        <v>0</v>
      </c>
      <c r="AA41" s="1575">
        <f t="shared" si="3"/>
        <v>1</v>
      </c>
      <c r="AB41" s="1575">
        <f t="shared" si="4"/>
        <v>1</v>
      </c>
      <c r="AC41" s="1575">
        <f t="shared" si="5"/>
        <v>1</v>
      </c>
    </row>
    <row r="42" spans="1:29" s="1338" customFormat="1" ht="15.75" hidden="1" thickBot="1">
      <c r="A42" s="603"/>
      <c r="B42" s="602"/>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70"/>
      <c r="Q42" s="1571">
        <f t="shared" si="14"/>
        <v>0</v>
      </c>
      <c r="R42" s="1576" t="s">
        <v>8</v>
      </c>
      <c r="S42" s="1577">
        <f t="shared" si="10"/>
        <v>100</v>
      </c>
      <c r="T42" s="1576" t="s">
        <v>8</v>
      </c>
      <c r="U42" s="1577">
        <f t="shared" si="11"/>
        <v>100</v>
      </c>
      <c r="V42" s="1576" t="s">
        <v>8</v>
      </c>
      <c r="W42" s="1577">
        <f t="shared" si="12"/>
        <v>100</v>
      </c>
      <c r="X42" s="1578"/>
      <c r="Y42" s="3370"/>
      <c r="Z42" s="1579">
        <f t="shared" si="13"/>
        <v>0</v>
      </c>
      <c r="AA42" s="1575">
        <f t="shared" si="3"/>
        <v>1</v>
      </c>
      <c r="AB42" s="1575">
        <f t="shared" si="4"/>
        <v>1</v>
      </c>
      <c r="AC42" s="1575">
        <f t="shared" si="5"/>
        <v>1</v>
      </c>
    </row>
    <row r="43" spans="1:29" ht="15">
      <c r="A43" s="607" t="s">
        <v>556</v>
      </c>
      <c r="B43" s="3188" t="s">
        <v>3051</v>
      </c>
      <c r="C43" s="609" t="s">
        <v>1</v>
      </c>
      <c r="D43" s="610"/>
      <c r="E43" s="611">
        <v>1509</v>
      </c>
      <c r="F43" s="612"/>
      <c r="G43" s="613">
        <v>1253</v>
      </c>
      <c r="H43" s="614"/>
      <c r="I43" s="611">
        <v>1500</v>
      </c>
      <c r="J43" s="614"/>
      <c r="K43" s="1339"/>
      <c r="L43" s="2144"/>
      <c r="M43" s="2134"/>
      <c r="N43" s="2134"/>
      <c r="O43" s="2145"/>
      <c r="P43" s="3364" t="str">
        <f>A43</f>
        <v>成交单价</v>
      </c>
      <c r="Q43" s="3364"/>
      <c r="R43" s="3366">
        <f>E43</f>
        <v>1509</v>
      </c>
      <c r="S43" s="3366"/>
      <c r="T43" s="3366">
        <f>G43</f>
        <v>1253</v>
      </c>
      <c r="U43" s="3366"/>
      <c r="V43" s="3366">
        <f>I43</f>
        <v>1500</v>
      </c>
      <c r="W43" s="3366"/>
      <c r="X43" s="1558"/>
      <c r="Y43" s="1580"/>
      <c r="Z43" s="1558"/>
      <c r="AA43" s="1558"/>
      <c r="AB43" s="1558"/>
      <c r="AC43" s="1558"/>
    </row>
    <row r="44" spans="1:29" ht="15.75" thickBot="1">
      <c r="A44" s="615" t="s">
        <v>2694</v>
      </c>
      <c r="B44" s="616"/>
      <c r="C44" s="617">
        <f>R45</f>
        <v>1318</v>
      </c>
      <c r="D44" s="618"/>
      <c r="E44" s="617">
        <f>R44</f>
        <v>1370</v>
      </c>
      <c r="F44" s="619"/>
      <c r="G44" s="620">
        <f>T44</f>
        <v>1196</v>
      </c>
      <c r="H44" s="618"/>
      <c r="I44" s="617">
        <f>V44</f>
        <v>1389</v>
      </c>
      <c r="J44" s="618"/>
      <c r="K44" s="1340"/>
      <c r="L44" s="2144"/>
      <c r="M44" s="2134"/>
      <c r="N44" s="2134"/>
      <c r="O44" s="2145"/>
      <c r="P44" s="3364" t="str">
        <f>A44</f>
        <v>比较价格（元/平方米）</v>
      </c>
      <c r="Q44" s="3364"/>
      <c r="R44" s="3365">
        <f>ROUND(PRODUCT(R43,AA9:AA42),0)</f>
        <v>1370</v>
      </c>
      <c r="S44" s="3365"/>
      <c r="T44" s="3365">
        <f>ROUND(PRODUCT(T43,AB9:AB42),0)</f>
        <v>1196</v>
      </c>
      <c r="U44" s="3365"/>
      <c r="V44" s="3365">
        <f>ROUND(PRODUCT(V43,AC9:AC42),0)</f>
        <v>1389</v>
      </c>
      <c r="W44" s="3365"/>
      <c r="X44" s="1558"/>
      <c r="Y44" s="1558"/>
      <c r="Z44" s="1558"/>
      <c r="AA44" s="1558"/>
      <c r="AB44" s="1558"/>
      <c r="AC44" s="1558"/>
    </row>
    <row r="45" spans="1:29" ht="15.75" thickBot="1">
      <c r="A45" s="621" t="s">
        <v>2928</v>
      </c>
      <c r="B45" s="622"/>
      <c r="C45" s="623">
        <f>R45</f>
        <v>1318</v>
      </c>
      <c r="D45" s="623"/>
      <c r="E45" s="623"/>
      <c r="F45" s="623"/>
      <c r="G45" s="623"/>
      <c r="H45" s="623"/>
      <c r="I45" s="623"/>
      <c r="J45" s="623"/>
      <c r="K45" s="1341"/>
      <c r="L45" s="2144"/>
      <c r="M45" s="2134"/>
      <c r="N45" s="2134"/>
      <c r="O45" s="2145"/>
      <c r="P45" s="3361" t="str">
        <f>A45</f>
        <v>估价对象XX用房的比较价格（楼面单价，元/平方米）</v>
      </c>
      <c r="Q45" s="3362"/>
      <c r="R45" s="3363">
        <f>ROUND(AVERAGE(R44:V44),0)</f>
        <v>1318</v>
      </c>
      <c r="S45" s="3363"/>
      <c r="T45" s="3363"/>
      <c r="U45" s="3363"/>
      <c r="V45" s="3363"/>
      <c r="W45" s="3363"/>
      <c r="X45" s="1558"/>
      <c r="Y45" s="1558"/>
      <c r="Z45" s="1558"/>
      <c r="AA45" s="1558"/>
      <c r="AB45" s="1558"/>
      <c r="AC45" s="1558"/>
    </row>
    <row r="46" spans="1:29">
      <c r="A46" s="2145"/>
      <c r="B46" s="2145"/>
      <c r="C46" s="2145"/>
      <c r="D46" s="2145"/>
      <c r="E46" s="2145"/>
      <c r="F46" s="2145"/>
      <c r="G46" s="3186" t="s">
        <v>3048</v>
      </c>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f>IF(E43&lt;E44,E44/E43-1,E43/E44-1)</f>
        <v>0.10145985401459856</v>
      </c>
      <c r="F48" s="627" t="str">
        <f>IF(OR(E48&gt;=0.3,E48&lt;=-0.3),"超过30%","")</f>
        <v/>
      </c>
      <c r="G48" s="626">
        <f>IF(G43&lt;G44,G44/G43-1,G43/G44-1)</f>
        <v>4.7658862876254204E-2</v>
      </c>
      <c r="H48" s="627" t="str">
        <f>IF(OR(G48&gt;=0.3,G48&lt;=-0.3),"超过30%","")</f>
        <v/>
      </c>
      <c r="I48" s="626">
        <f>IF(I43&lt;I44,I44/I43-1,I43/I44-1)</f>
        <v>7.9913606911446999E-2</v>
      </c>
      <c r="J48" s="627" t="str">
        <f>IF(OR(I48&gt;=0.3,I48&lt;=-0.3),"超过30%","")</f>
        <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f>IF(E44&lt;G44,G44/E44-1,E44/G44-1)</f>
        <v>0.14548494983277593</v>
      </c>
      <c r="F49" s="627" t="str">
        <f>IF(OR(E49&gt;=0.2,E49&lt;=-0.2),"超过20%","")</f>
        <v/>
      </c>
      <c r="G49" s="626">
        <f>IF(G44&lt;I44,I44/G44-1,G44/I44-1)</f>
        <v>0.16137123745819393</v>
      </c>
      <c r="H49" s="627" t="str">
        <f>IF(OR(G49&gt;=0.2,G49&lt;=-0.2),"超过20%","")</f>
        <v/>
      </c>
      <c r="I49" s="626">
        <f>IF(I44&lt;E44,E44/I44-1,I44/E44-1)</f>
        <v>1.3868613138686037E-2</v>
      </c>
      <c r="J49" s="627" t="str">
        <f>IF(OR(I49&gt;=0.2,I49&lt;=-0.2),"超过20%","")</f>
        <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f>IF(E43&lt;G43,G43/E43-1,E43/G43-1)</f>
        <v>0.20430965682362334</v>
      </c>
      <c r="F50" s="627" t="str">
        <f>IF(OR(E50&gt;=0.3,E50&lt;=-0.3),"超过30%","")</f>
        <v/>
      </c>
      <c r="G50" s="626">
        <f>IF(G43&lt;I43,I43/G43-1,G43/I43-1)</f>
        <v>0.19712689545091777</v>
      </c>
      <c r="H50" s="627" t="str">
        <f>IF(OR(G50&gt;=0.3,G50&lt;=-0.3),"超过30%","")</f>
        <v/>
      </c>
      <c r="I50" s="626">
        <f>IF(I43&lt;E43,E43/I43-1,I43/E43-1)</f>
        <v>6.0000000000000053E-3</v>
      </c>
      <c r="J50" s="627" t="str">
        <f>IF(OR(I50&gt;=0.3,I50&lt;=-0.3),"超过30%","")</f>
        <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1725</v>
      </c>
      <c r="D52" s="2227" t="s">
        <v>2294</v>
      </c>
      <c r="E52" s="631" t="s">
        <v>562</v>
      </c>
      <c r="F52" s="1951" t="s">
        <v>563</v>
      </c>
      <c r="G52" s="3356" t="s">
        <v>2285</v>
      </c>
      <c r="H52" s="3357"/>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f>C45</f>
        <v>1318</v>
      </c>
      <c r="C53" s="635">
        <v>1</v>
      </c>
      <c r="D53" s="2228">
        <v>1</v>
      </c>
      <c r="E53" s="635">
        <f>'数据-汇总表'!E8+'数据-汇总表'!E9</f>
        <v>13418.867</v>
      </c>
      <c r="F53" s="1950">
        <f t="shared" ref="F53:F62" si="15">ROUND(B53*E53/10000,0)</f>
        <v>1769</v>
      </c>
      <c r="G53" s="3358"/>
      <c r="H53" s="3359"/>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f>ROUND($C$45*C54*D54,0)</f>
        <v>0</v>
      </c>
      <c r="C54" s="378">
        <f t="shared" ref="C54:C62" si="16">IF($C$52="北京市系数",I54,J54)</f>
        <v>0</v>
      </c>
      <c r="D54" s="2229">
        <v>0.25</v>
      </c>
      <c r="E54" s="639"/>
      <c r="F54" s="1950">
        <f t="shared" si="15"/>
        <v>0</v>
      </c>
      <c r="G54" s="3360"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f t="shared" ref="B55:B62" si="17">ROUND($C$45*C55*D55,0)</f>
        <v>0</v>
      </c>
      <c r="C55" s="378">
        <f t="shared" si="16"/>
        <v>0</v>
      </c>
      <c r="D55" s="2229">
        <v>0.25</v>
      </c>
      <c r="E55" s="639"/>
      <c r="F55" s="1950">
        <f t="shared" si="15"/>
        <v>0</v>
      </c>
      <c r="G55" s="3360"/>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f t="shared" si="17"/>
        <v>0</v>
      </c>
      <c r="C56" s="378">
        <f t="shared" si="16"/>
        <v>0</v>
      </c>
      <c r="D56" s="2229">
        <v>0.25</v>
      </c>
      <c r="E56" s="639"/>
      <c r="F56" s="1950">
        <f t="shared" si="15"/>
        <v>0</v>
      </c>
      <c r="G56" s="3360"/>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f t="shared" si="17"/>
        <v>0</v>
      </c>
      <c r="C57" s="378">
        <f t="shared" si="16"/>
        <v>0</v>
      </c>
      <c r="D57" s="2229">
        <v>0.25</v>
      </c>
      <c r="E57" s="639"/>
      <c r="F57" s="1950">
        <f t="shared" si="15"/>
        <v>0</v>
      </c>
      <c r="G57" s="3360"/>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f t="shared" si="17"/>
        <v>0</v>
      </c>
      <c r="C58" s="378">
        <f t="shared" si="16"/>
        <v>0</v>
      </c>
      <c r="D58" s="2229">
        <v>0.25</v>
      </c>
      <c r="E58" s="641">
        <f>'数据-汇总表'!E11</f>
        <v>0</v>
      </c>
      <c r="F58" s="1950">
        <f t="shared" si="15"/>
        <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f t="shared" si="17"/>
        <v>0</v>
      </c>
      <c r="C59" s="378">
        <f t="shared" si="16"/>
        <v>0</v>
      </c>
      <c r="D59" s="2229">
        <v>0.25</v>
      </c>
      <c r="E59" s="641">
        <f>'数据-汇总表'!E12</f>
        <v>0</v>
      </c>
      <c r="F59" s="1950">
        <f t="shared" si="15"/>
        <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f t="shared" si="17"/>
        <v>0</v>
      </c>
      <c r="C60" s="378">
        <f t="shared" si="16"/>
        <v>0</v>
      </c>
      <c r="D60" s="2229">
        <v>0.25</v>
      </c>
      <c r="E60" s="641">
        <f>'数据-汇总表'!E13</f>
        <v>0</v>
      </c>
      <c r="F60" s="1950">
        <f t="shared" si="15"/>
        <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f t="shared" si="17"/>
        <v>0</v>
      </c>
      <c r="C61" s="378">
        <f t="shared" si="16"/>
        <v>0</v>
      </c>
      <c r="D61" s="2229">
        <v>0.25</v>
      </c>
      <c r="E61" s="641">
        <f>'数据-汇总表'!E14</f>
        <v>0</v>
      </c>
      <c r="F61" s="1950">
        <f t="shared" si="15"/>
        <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f t="shared" si="17"/>
        <v>0</v>
      </c>
      <c r="C62" s="378">
        <f t="shared" si="16"/>
        <v>0</v>
      </c>
      <c r="D62" s="2229">
        <v>0.25</v>
      </c>
      <c r="E62" s="641">
        <f>'数据-汇总表'!E15</f>
        <v>0</v>
      </c>
      <c r="F62" s="1950">
        <f t="shared" si="15"/>
        <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28344.22</v>
      </c>
      <c r="F63" s="644">
        <f>IF(B43="楼面地价",SUM(F53:F62),ROUND(C45*E63/10000,0))</f>
        <v>3736</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3184" t="s">
        <v>3043</v>
      </c>
      <c r="P67" s="3184" t="s">
        <v>3044</v>
      </c>
      <c r="Q67" s="3184" t="s">
        <v>3045</v>
      </c>
      <c r="R67" s="2161"/>
      <c r="S67" s="2161"/>
      <c r="T67" s="2161"/>
      <c r="U67" s="2161"/>
      <c r="V67" s="2161"/>
      <c r="W67" s="2161"/>
      <c r="X67" s="2161"/>
      <c r="Y67" s="2161"/>
      <c r="Z67" s="2161"/>
      <c r="AA67" s="2161"/>
      <c r="AB67" s="2161"/>
      <c r="AC67" s="2161"/>
    </row>
    <row r="68" spans="1:29" s="1219" customFormat="1" ht="27.75" customHeight="1">
      <c r="A68" s="2822" t="s">
        <v>2650</v>
      </c>
      <c r="B68" s="479" t="str">
        <f>"北京市平均增长率"&amp;TEXT(基准地价!P24,"0.00%")</f>
        <v>北京市平均增长率1.35%</v>
      </c>
      <c r="C68" s="894">
        <v>100</v>
      </c>
      <c r="D68" s="730">
        <v>99.5</v>
      </c>
      <c r="E68" s="730">
        <v>99</v>
      </c>
      <c r="F68" s="730">
        <v>98.5</v>
      </c>
      <c r="G68" s="730">
        <v>98</v>
      </c>
      <c r="H68" s="730">
        <v>97.5</v>
      </c>
      <c r="I68" s="730">
        <v>97</v>
      </c>
      <c r="J68" s="730">
        <v>96.5</v>
      </c>
      <c r="K68" s="730">
        <v>96</v>
      </c>
      <c r="L68" s="730">
        <v>95.5</v>
      </c>
      <c r="M68" s="730">
        <v>95</v>
      </c>
      <c r="N68" s="730">
        <v>94.5</v>
      </c>
      <c r="O68" s="730">
        <v>94</v>
      </c>
      <c r="P68" s="730">
        <v>93.5</v>
      </c>
      <c r="Q68" s="730">
        <v>93</v>
      </c>
      <c r="R68" s="1993"/>
      <c r="S68" s="1993"/>
      <c r="T68" s="1993"/>
      <c r="U68" s="1993"/>
      <c r="V68" s="1993"/>
      <c r="W68" s="1993"/>
      <c r="X68" s="1993"/>
      <c r="Y68" s="1993"/>
      <c r="Z68" s="1993"/>
      <c r="AA68" s="1993"/>
      <c r="AB68" s="1993"/>
      <c r="AC68" s="1993"/>
    </row>
    <row r="69" spans="1:29" s="1219"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3182" t="s">
        <v>3013</v>
      </c>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v>100</v>
      </c>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4（含）-5</v>
      </c>
      <c r="H76" s="682" t="str">
        <f t="shared" si="20"/>
        <v>5（含）-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v>0</v>
      </c>
      <c r="D77" s="541">
        <v>1</v>
      </c>
      <c r="E77" s="541">
        <v>2</v>
      </c>
      <c r="F77" s="541">
        <v>3</v>
      </c>
      <c r="G77" s="541">
        <v>4</v>
      </c>
      <c r="H77" s="541">
        <v>5</v>
      </c>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103</v>
      </c>
      <c r="E78" s="679">
        <f t="shared" ref="E78:M78" si="21">IF($B$43="单位面积地价",D78+$K13,D78-$K13)</f>
        <v>106</v>
      </c>
      <c r="F78" s="679">
        <f t="shared" si="21"/>
        <v>109</v>
      </c>
      <c r="G78" s="679">
        <f t="shared" si="21"/>
        <v>112</v>
      </c>
      <c r="H78" s="679">
        <f t="shared" si="21"/>
        <v>115</v>
      </c>
      <c r="I78" s="679">
        <f t="shared" si="21"/>
        <v>118</v>
      </c>
      <c r="J78" s="679">
        <f t="shared" si="21"/>
        <v>121</v>
      </c>
      <c r="K78" s="679">
        <f t="shared" si="21"/>
        <v>124</v>
      </c>
      <c r="L78" s="679">
        <f t="shared" si="21"/>
        <v>127</v>
      </c>
      <c r="M78" s="679">
        <f t="shared" si="21"/>
        <v>130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95</v>
      </c>
      <c r="E86" s="679">
        <f>D86-$K17</f>
        <v>90</v>
      </c>
      <c r="F86" s="679">
        <f>E86-$K17</f>
        <v>85</v>
      </c>
      <c r="G86" s="679">
        <f>F86-$K17</f>
        <v>80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95</v>
      </c>
      <c r="E88" s="679">
        <f>D88-$K19</f>
        <v>90</v>
      </c>
      <c r="F88" s="679">
        <f>E88-$K19</f>
        <v>85</v>
      </c>
      <c r="G88" s="679">
        <f>F88-$K19</f>
        <v>80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97</v>
      </c>
      <c r="E90" s="679">
        <f>D90-$K21</f>
        <v>94</v>
      </c>
      <c r="F90" s="679">
        <f>E90-$K21</f>
        <v>91</v>
      </c>
      <c r="G90" s="679">
        <f>F90-$K21</f>
        <v>88</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98</v>
      </c>
      <c r="E94" s="679">
        <f>D94-$K25</f>
        <v>96</v>
      </c>
      <c r="F94" s="679">
        <f>E94-$K25</f>
        <v>94</v>
      </c>
      <c r="G94" s="679">
        <f>F94-$K25</f>
        <v>92</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98</v>
      </c>
      <c r="E96" s="679">
        <f>D96-$K27</f>
        <v>96</v>
      </c>
      <c r="F96" s="679">
        <f>E96-$K27</f>
        <v>94</v>
      </c>
      <c r="G96" s="679">
        <f>F96-$K27</f>
        <v>92</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98</v>
      </c>
      <c r="E98" s="679">
        <f t="shared" si="22"/>
        <v>96</v>
      </c>
      <c r="F98" s="679">
        <f t="shared" si="22"/>
        <v>94</v>
      </c>
      <c r="G98" s="679">
        <f t="shared" si="22"/>
        <v>92</v>
      </c>
      <c r="H98" s="679">
        <f t="shared" si="22"/>
        <v>90</v>
      </c>
      <c r="I98" s="679">
        <f t="shared" si="22"/>
        <v>88</v>
      </c>
      <c r="J98" s="679">
        <f t="shared" si="22"/>
        <v>86</v>
      </c>
      <c r="K98" s="679">
        <f t="shared" si="22"/>
        <v>84</v>
      </c>
      <c r="L98" s="679">
        <f t="shared" si="22"/>
        <v>82</v>
      </c>
      <c r="M98" s="679">
        <f t="shared" si="22"/>
        <v>80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t="s">
        <v>3014</v>
      </c>
      <c r="D99" s="688" t="s">
        <v>3015</v>
      </c>
      <c r="E99" s="688" t="s">
        <v>3016</v>
      </c>
      <c r="F99" s="688" t="s">
        <v>3017</v>
      </c>
      <c r="G99" s="688" t="s">
        <v>3018</v>
      </c>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99</v>
      </c>
      <c r="E100" s="679">
        <f t="shared" si="23"/>
        <v>98</v>
      </c>
      <c r="F100" s="679">
        <f t="shared" si="23"/>
        <v>97</v>
      </c>
      <c r="G100" s="679">
        <f t="shared" si="23"/>
        <v>96</v>
      </c>
      <c r="H100" s="679">
        <f t="shared" si="23"/>
        <v>95</v>
      </c>
      <c r="I100" s="679">
        <f t="shared" si="23"/>
        <v>94</v>
      </c>
      <c r="J100" s="679">
        <f t="shared" si="23"/>
        <v>93</v>
      </c>
      <c r="K100" s="679">
        <f t="shared" si="23"/>
        <v>92</v>
      </c>
      <c r="L100" s="679">
        <f t="shared" si="23"/>
        <v>91</v>
      </c>
      <c r="M100" s="679">
        <f t="shared" si="23"/>
        <v>90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t="s">
        <v>3019</v>
      </c>
      <c r="D101" s="718" t="s">
        <v>3020</v>
      </c>
      <c r="E101" s="718" t="s">
        <v>3021</v>
      </c>
      <c r="F101" s="718" t="s">
        <v>3022</v>
      </c>
      <c r="G101" s="718" t="s">
        <v>3023</v>
      </c>
      <c r="H101" s="718" t="s">
        <v>3024</v>
      </c>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79">
        <f t="shared" si="24"/>
        <v>80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28.5">
      <c r="A109" s="664" t="s">
        <v>551</v>
      </c>
      <c r="B109" s="665" t="s">
        <v>593</v>
      </c>
      <c r="C109" s="704" t="str">
        <f t="shared" ref="C109:L109" si="25">C110&amp;"(含)"&amp;"-"&amp;D110</f>
        <v>0(含)-10000</v>
      </c>
      <c r="D109" s="704" t="str">
        <f t="shared" si="25"/>
        <v>10000(含)-20000</v>
      </c>
      <c r="E109" s="704" t="str">
        <f t="shared" si="25"/>
        <v>20000(含)-50000</v>
      </c>
      <c r="F109" s="704" t="str">
        <f t="shared" si="25"/>
        <v>50000(含)-100000</v>
      </c>
      <c r="G109" s="704" t="str">
        <f t="shared" si="25"/>
        <v>100000(含)-</v>
      </c>
      <c r="H109" s="704" t="str">
        <f t="shared" si="25"/>
        <v>(含)-</v>
      </c>
      <c r="I109" s="704" t="str">
        <f t="shared" si="25"/>
        <v>(含)-</v>
      </c>
      <c r="J109" s="704"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v>0</v>
      </c>
      <c r="D110" s="730">
        <v>10000</v>
      </c>
      <c r="E110" s="730">
        <v>20000</v>
      </c>
      <c r="F110" s="730">
        <v>50000</v>
      </c>
      <c r="G110" s="730">
        <v>100000</v>
      </c>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v>100</v>
      </c>
      <c r="D111" s="726">
        <v>101</v>
      </c>
      <c r="E111" s="726">
        <v>102</v>
      </c>
      <c r="F111" s="726">
        <v>103</v>
      </c>
      <c r="G111" s="726">
        <v>104</v>
      </c>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t="s">
        <v>3025</v>
      </c>
      <c r="D112" s="718" t="s">
        <v>3026</v>
      </c>
      <c r="E112" s="3183" t="s">
        <v>3030</v>
      </c>
      <c r="F112" s="718" t="s">
        <v>3027</v>
      </c>
      <c r="G112" s="718" t="s">
        <v>3028</v>
      </c>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98</v>
      </c>
      <c r="E113" s="679">
        <f t="shared" si="26"/>
        <v>96</v>
      </c>
      <c r="F113" s="679">
        <f t="shared" si="26"/>
        <v>94</v>
      </c>
      <c r="G113" s="679">
        <f t="shared" si="26"/>
        <v>92</v>
      </c>
      <c r="H113" s="679">
        <f t="shared" si="26"/>
        <v>90</v>
      </c>
      <c r="I113" s="679">
        <f t="shared" si="26"/>
        <v>88</v>
      </c>
      <c r="J113" s="679">
        <f t="shared" si="26"/>
        <v>86</v>
      </c>
      <c r="K113" s="679">
        <f t="shared" si="26"/>
        <v>84</v>
      </c>
      <c r="L113" s="679">
        <f t="shared" si="26"/>
        <v>82</v>
      </c>
      <c r="M113" s="680">
        <f t="shared" si="26"/>
        <v>80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t="s">
        <v>3031</v>
      </c>
      <c r="D114" s="1375" t="s">
        <v>3032</v>
      </c>
      <c r="E114" s="1375" t="s">
        <v>3033</v>
      </c>
      <c r="F114" s="1375" t="s">
        <v>3034</v>
      </c>
      <c r="G114" s="1375" t="s">
        <v>3035</v>
      </c>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t="s">
        <v>3036</v>
      </c>
      <c r="D116" s="688" t="s">
        <v>3037</v>
      </c>
      <c r="E116" s="718" t="s">
        <v>3029</v>
      </c>
      <c r="F116" s="718" t="s">
        <v>3038</v>
      </c>
      <c r="G116" s="718" t="s">
        <v>3039</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99</v>
      </c>
      <c r="E117" s="679">
        <f t="shared" si="28"/>
        <v>98</v>
      </c>
      <c r="F117" s="679">
        <f t="shared" si="28"/>
        <v>97</v>
      </c>
      <c r="G117" s="679">
        <f t="shared" si="28"/>
        <v>96</v>
      </c>
      <c r="H117" s="679">
        <f t="shared" si="28"/>
        <v>95</v>
      </c>
      <c r="I117" s="679">
        <f t="shared" si="28"/>
        <v>94</v>
      </c>
      <c r="J117" s="679">
        <f t="shared" si="28"/>
        <v>93</v>
      </c>
      <c r="K117" s="679">
        <f t="shared" si="28"/>
        <v>92</v>
      </c>
      <c r="L117" s="679">
        <f t="shared" si="28"/>
        <v>91</v>
      </c>
      <c r="M117" s="680">
        <f t="shared" si="28"/>
        <v>90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0</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0</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0</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40" sqref="D4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7</v>
      </c>
    </row>
    <row r="2" spans="1:31" s="2041" customFormat="1" ht="18" customHeight="1">
      <c r="A2" s="2101" t="s">
        <v>467</v>
      </c>
      <c r="B2" s="2105">
        <f ca="1">C36</f>
        <v>2450</v>
      </c>
      <c r="C2" s="2104"/>
      <c r="D2" s="2104"/>
      <c r="E2" s="2104"/>
      <c r="F2" s="2104"/>
      <c r="G2" s="2104"/>
      <c r="H2" s="2104"/>
      <c r="I2" s="2104"/>
      <c r="J2" s="2104"/>
      <c r="K2" s="2104"/>
    </row>
    <row r="3" spans="1:31" s="2041" customFormat="1" ht="18" customHeight="1">
      <c r="A3" s="2106" t="s">
        <v>1685</v>
      </c>
      <c r="B3" s="2107">
        <f ca="1">ROUND(B2*10000/IF(B1="",'数据-汇总表'!E3,INDIRECT("'数据-取费表'!K"&amp;$K$1)),0)</f>
        <v>1824</v>
      </c>
      <c r="C3" s="2104"/>
      <c r="D3" s="2104"/>
      <c r="E3" s="2104"/>
      <c r="F3" s="2104"/>
      <c r="G3" s="2104"/>
      <c r="H3" s="2104"/>
      <c r="I3" s="2104"/>
      <c r="J3" s="2104"/>
      <c r="K3" s="2104"/>
    </row>
    <row r="4" spans="1:31" s="2041" customFormat="1" ht="18" customHeight="1">
      <c r="A4" s="426" t="s">
        <v>468</v>
      </c>
      <c r="B4" s="427">
        <f ca="1">ROUND(B2*10000/IF(B1="",'数据-汇总表'!D3,INDIRECT("'数据-取费表'!R"&amp;$K$1)),0)</f>
        <v>864</v>
      </c>
      <c r="C4" s="428"/>
      <c r="D4" s="422"/>
      <c r="E4" s="422"/>
      <c r="F4" s="422"/>
      <c r="G4" s="422"/>
      <c r="H4" s="422"/>
      <c r="I4" s="422"/>
      <c r="J4" s="422"/>
      <c r="K4" s="422"/>
    </row>
    <row r="5" spans="1:31" s="2041" customFormat="1" ht="18" customHeight="1" thickBot="1">
      <c r="A5" s="429"/>
      <c r="B5" s="430">
        <f ca="1">ROUND(B2/(IF(B1="",'数据-汇总表'!D3,INDIRECT("'数据-取费表'!R"&amp;$K$1))/666.67),0)</f>
        <v>58</v>
      </c>
      <c r="C5" s="431" t="s">
        <v>469</v>
      </c>
      <c r="D5" s="422"/>
      <c r="E5" s="422"/>
      <c r="F5" s="422"/>
      <c r="G5" s="422"/>
      <c r="H5" s="422"/>
      <c r="I5" s="422"/>
      <c r="J5" s="422"/>
      <c r="K5" s="422"/>
    </row>
    <row r="6" spans="1:31" s="2111" customFormat="1" ht="16.5" customHeight="1">
      <c r="A6" s="2852" t="s">
        <v>1843</v>
      </c>
      <c r="B6" s="2853"/>
      <c r="C6" s="2854">
        <f ca="1">SUM(C10:K10)</f>
        <v>7651</v>
      </c>
      <c r="D6" s="2853"/>
      <c r="E6" s="2853"/>
      <c r="F6" s="2853"/>
      <c r="G6" s="2853"/>
      <c r="H6" s="2853"/>
      <c r="I6" s="2853"/>
      <c r="J6" s="2853"/>
      <c r="K6" s="2855"/>
    </row>
    <row r="7" spans="1:31" s="2113" customFormat="1" ht="15">
      <c r="A7" s="2856" t="s">
        <v>470</v>
      </c>
      <c r="B7" s="2857" t="s">
        <v>471</v>
      </c>
      <c r="C7" s="436" t="s">
        <v>982</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8">
        <f ca="1">不动产收益法!B3</f>
        <v>5702</v>
      </c>
      <c r="D8" s="2858"/>
      <c r="E8" s="2858"/>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13418.867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3">
        <f ca="1">不动产收益法!B2</f>
        <v>7651</v>
      </c>
      <c r="D10" s="3053"/>
      <c r="E10" s="3053"/>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3356</v>
      </c>
      <c r="D13" s="2868"/>
      <c r="E13" s="2869"/>
      <c r="F13" s="2870"/>
      <c r="G13" s="2836"/>
      <c r="H13" s="2837"/>
      <c r="I13" s="2837"/>
      <c r="J13" s="2837"/>
      <c r="K13" s="2838"/>
    </row>
    <row r="14" spans="1:31" s="2116" customFormat="1" ht="13.5" customHeight="1">
      <c r="A14" s="2866" t="s">
        <v>1850</v>
      </c>
      <c r="B14" s="2867" t="s">
        <v>480</v>
      </c>
      <c r="C14" s="53">
        <f ca="1">ROUND(C13*F14,0)</f>
        <v>101</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0</v>
      </c>
      <c r="D15" s="2868"/>
      <c r="E15" s="2869"/>
      <c r="F15" s="2871">
        <f>'数据-取费表'!B34</f>
        <v>0</v>
      </c>
      <c r="G15" s="2836" t="s">
        <v>483</v>
      </c>
      <c r="H15" s="2837"/>
      <c r="I15" s="2837"/>
      <c r="J15" s="2837"/>
      <c r="K15" s="2838"/>
    </row>
    <row r="16" spans="1:31" s="2117" customFormat="1" ht="13.5" customHeight="1">
      <c r="A16" s="2866" t="s">
        <v>1852</v>
      </c>
      <c r="B16" s="2867" t="s">
        <v>484</v>
      </c>
      <c r="C16" s="53">
        <f ca="1">ROUND(D16*E16/10000,0)</f>
        <v>269</v>
      </c>
      <c r="D16" s="2868">
        <f ca="1">IF(B1="",'数据-汇总表'!E3,INDIRECT("'数据-取费表'!K"&amp;$K$1)+INDIRECT("'数据-取费表'!S"&amp;$K$1))</f>
        <v>13432.367</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50</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3776</v>
      </c>
      <c r="D18" s="2877"/>
      <c r="E18" s="468"/>
      <c r="F18" s="468"/>
      <c r="G18" s="2840" t="s">
        <v>2431</v>
      </c>
      <c r="H18" s="2841"/>
      <c r="I18" s="2841"/>
      <c r="J18" s="2841"/>
      <c r="K18" s="2842"/>
    </row>
    <row r="19" spans="1:14" s="2116" customFormat="1" ht="13.5" customHeight="1">
      <c r="A19" s="2874" t="s">
        <v>1855</v>
      </c>
      <c r="B19" s="2875" t="s">
        <v>488</v>
      </c>
      <c r="C19" s="2832">
        <f ca="1">ROUND(D19*E19/10000,0)</f>
        <v>67</v>
      </c>
      <c r="D19" s="2878">
        <f ca="1">D16</f>
        <v>13432.367</v>
      </c>
      <c r="E19" s="2832">
        <f>'数据-取费表'!B32</f>
        <v>50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0</v>
      </c>
      <c r="D20" s="2878"/>
      <c r="E20" s="2832"/>
      <c r="F20" s="2879"/>
      <c r="G20" s="3113"/>
      <c r="H20" s="2834"/>
      <c r="I20" s="2835" t="s">
        <v>2652</v>
      </c>
      <c r="J20" s="2841"/>
      <c r="K20" s="2842"/>
    </row>
    <row r="21" spans="1:14" s="2116" customFormat="1" ht="13.5" customHeight="1">
      <c r="A21" s="2866" t="s">
        <v>1857</v>
      </c>
      <c r="B21" s="2867" t="s">
        <v>491</v>
      </c>
      <c r="C21" s="53">
        <f ca="1">ROUND(D21*E21/10000,0)</f>
        <v>0</v>
      </c>
      <c r="D21" s="2868">
        <f ca="1">IF(B1="",'数据-汇总表'!E5,IF(INDIRECT("'数据-取费表'!c"&amp;$K$1)="住宅",INDIRECT("'数据-取费表'!k"&amp;$K$1),0))</f>
        <v>0</v>
      </c>
      <c r="E21" s="53">
        <f>'数据-取费表'!B27</f>
        <v>0</v>
      </c>
      <c r="F21" s="2871"/>
      <c r="G21" s="26"/>
      <c r="H21" s="51"/>
      <c r="I21" s="51"/>
      <c r="J21" s="51"/>
      <c r="K21" s="2843"/>
    </row>
    <row r="22" spans="1:14" s="2116" customFormat="1" ht="13.5" customHeight="1">
      <c r="A22" s="2866" t="s">
        <v>1858</v>
      </c>
      <c r="B22" s="2867" t="s">
        <v>492</v>
      </c>
      <c r="C22" s="53">
        <f ca="1">ROUND(D22*E22/10000,0)</f>
        <v>0</v>
      </c>
      <c r="D22" s="2868">
        <f ca="1">IF(B1="",'数据-汇总表'!E6,IF(INDIRECT("'数据-取费表'!c"&amp;$K$1)="住宅",INDIRECT("'数据-取费表'!s"&amp;$K$1),INDIRECT("'数据-取费表'!k"&amp;$K$1)+INDIRECT("'数据-取费表'!s"&amp;$K$1)))</f>
        <v>13432.367</v>
      </c>
      <c r="E22" s="53">
        <f>'数据-取费表'!B28</f>
        <v>0</v>
      </c>
      <c r="F22" s="2871"/>
      <c r="G22" s="26"/>
      <c r="H22" s="51"/>
      <c r="I22" s="51"/>
      <c r="J22" s="51"/>
      <c r="K22" s="2843"/>
    </row>
    <row r="23" spans="1:14" s="2116" customFormat="1" ht="13.5" customHeight="1">
      <c r="A23" s="2874" t="s">
        <v>1859</v>
      </c>
      <c r="B23" s="3059" t="s">
        <v>2835</v>
      </c>
      <c r="C23" s="2876">
        <f ca="1">ROUND((C18+C19+C20)*F23,0)</f>
        <v>77</v>
      </c>
      <c r="D23" s="468"/>
      <c r="E23" s="468"/>
      <c r="F23" s="2880">
        <f>'数据-取费表'!B37</f>
        <v>0.02</v>
      </c>
      <c r="G23" s="2836" t="s">
        <v>2432</v>
      </c>
      <c r="H23" s="2837"/>
      <c r="I23" s="2837"/>
      <c r="J23" s="2837"/>
      <c r="K23" s="2838"/>
      <c r="L23" s="2118"/>
      <c r="M23" s="2118"/>
      <c r="N23" s="2118"/>
    </row>
    <row r="24" spans="1:14" s="2116" customFormat="1" ht="13.5" customHeight="1">
      <c r="A24" s="2874" t="s">
        <v>1860</v>
      </c>
      <c r="B24" s="3059" t="s">
        <v>2838</v>
      </c>
      <c r="C24" s="2876">
        <f ca="1">ROUND(C6*F24,0)</f>
        <v>153</v>
      </c>
      <c r="D24" s="475"/>
      <c r="E24" s="473"/>
      <c r="F24" s="2880">
        <f>'数据-取费表'!B38</f>
        <v>0.02</v>
      </c>
      <c r="G24" s="2845" t="s">
        <v>499</v>
      </c>
      <c r="H24" s="2839"/>
      <c r="I24" s="2839"/>
      <c r="J24" s="2839"/>
      <c r="K24" s="279"/>
      <c r="L24" s="2118"/>
      <c r="M24" s="2118"/>
      <c r="N24" s="2118"/>
    </row>
    <row r="25" spans="1:14" s="2119" customFormat="1" ht="13.5" customHeight="1">
      <c r="A25" s="2874" t="s">
        <v>1861</v>
      </c>
      <c r="B25" s="3059" t="s">
        <v>2836</v>
      </c>
      <c r="C25" s="467">
        <f>ROUND(F25/(1+'数据-取费表'!C42),4)</f>
        <v>2.9000000000000001E-2</v>
      </c>
      <c r="D25" s="462" t="s">
        <v>2830</v>
      </c>
      <c r="E25" s="469"/>
      <c r="F25" s="2880">
        <f>'数据-取费表'!B48+'数据-取费表'!B49</f>
        <v>3.0499999999999999E-2</v>
      </c>
      <c r="G25" s="2844" t="s">
        <v>2290</v>
      </c>
      <c r="H25" s="2837"/>
      <c r="I25" s="2837"/>
      <c r="J25" s="2837"/>
      <c r="K25" s="2838"/>
    </row>
    <row r="26" spans="1:14" s="2118" customFormat="1" ht="13.5" customHeight="1">
      <c r="A26" s="2874" t="s">
        <v>1862</v>
      </c>
      <c r="B26" s="3060" t="s">
        <v>2837</v>
      </c>
      <c r="C26" s="2881">
        <f ca="1">C28</f>
        <v>144</v>
      </c>
      <c r="D26" s="467">
        <f ca="1">C27</f>
        <v>7.4200000000000002E-2</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1857</v>
      </c>
      <c r="B27" s="2882" t="s">
        <v>496</v>
      </c>
      <c r="C27" s="2883">
        <f ca="1">ROUND(IF('数据-取费表'!B22&lt;=1,(1+C25)*F26*'数据-取费表'!B24,(1+C25)*(POWER((1+F26),'数据-取费表'!B24)-1)),4)</f>
        <v>7.4200000000000002E-2</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1858</v>
      </c>
      <c r="B28" s="2882" t="s">
        <v>2839</v>
      </c>
      <c r="C28" s="2884">
        <f ca="1">ROUND(IF('数据-取费表'!B22&lt;=1,(C18+C19+C20+C23+C24)*F26*'数据-取费表'!B24/2,(C18+C19+C20+C23+C24)*(POWER((1+F26),'数据-取费表'!B24/2)-1)),0)</f>
        <v>144</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 ca="1">ROUND(C6*F29/(1+'数据-取费表'!C42),0)</f>
        <v>401</v>
      </c>
      <c r="D29" s="468"/>
      <c r="E29" s="468"/>
      <c r="F29" s="3061">
        <f>'数据-取费表'!B41</f>
        <v>5.5000000000000007E-2</v>
      </c>
      <c r="G29" s="2845" t="s">
        <v>498</v>
      </c>
      <c r="H29" s="2837"/>
      <c r="I29" s="2837"/>
      <c r="J29" s="2837"/>
      <c r="K29" s="2838"/>
    </row>
    <row r="30" spans="1:14" s="2121" customFormat="1" ht="13.5" customHeight="1">
      <c r="A30" s="1634" t="s">
        <v>1864</v>
      </c>
      <c r="B30" s="2886" t="s">
        <v>500</v>
      </c>
      <c r="C30" s="2881">
        <f ca="1">C31</f>
        <v>4618</v>
      </c>
      <c r="D30" s="477">
        <f ca="1">C32</f>
        <v>0.1032</v>
      </c>
      <c r="E30" s="469" t="s">
        <v>495</v>
      </c>
      <c r="F30" s="471"/>
      <c r="G30" s="2844" t="s">
        <v>2967</v>
      </c>
      <c r="H30" s="2837"/>
      <c r="I30" s="2837"/>
      <c r="J30" s="2837"/>
      <c r="K30" s="2838"/>
    </row>
    <row r="31" spans="1:14" s="2120" customFormat="1" ht="13.5" customHeight="1">
      <c r="A31" s="803" t="s">
        <v>1857</v>
      </c>
      <c r="B31" s="2882"/>
      <c r="C31" s="450">
        <f ca="1">C18+C19+C20+C23+C24+C26+C29</f>
        <v>4618</v>
      </c>
      <c r="D31" s="472"/>
      <c r="E31" s="473"/>
      <c r="F31" s="474"/>
      <c r="G31" s="261"/>
      <c r="H31" s="2839"/>
      <c r="I31" s="2839"/>
      <c r="J31" s="2839"/>
      <c r="K31" s="279"/>
    </row>
    <row r="32" spans="1:14" s="2120" customFormat="1" ht="13.5" customHeight="1">
      <c r="A32" s="803" t="s">
        <v>1858</v>
      </c>
      <c r="B32" s="2882"/>
      <c r="C32" s="53">
        <f ca="1">ROUND(C25+D26,4)</f>
        <v>0.1032</v>
      </c>
      <c r="D32" s="472"/>
      <c r="E32" s="473"/>
      <c r="F32" s="474"/>
      <c r="G32" s="261"/>
      <c r="H32" s="2839"/>
      <c r="I32" s="2839"/>
      <c r="J32" s="2839"/>
      <c r="K32" s="279"/>
    </row>
    <row r="33" spans="1:11" s="2122" customFormat="1" ht="13.5" customHeight="1">
      <c r="A33" s="3058" t="s">
        <v>2834</v>
      </c>
      <c r="B33" s="3056" t="s">
        <v>2832</v>
      </c>
      <c r="C33" s="478">
        <f ca="1">C35</f>
        <v>204</v>
      </c>
      <c r="D33" s="467">
        <f ca="1">C34</f>
        <v>5.1499999999999997E-2</v>
      </c>
      <c r="E33" s="469" t="s">
        <v>495</v>
      </c>
      <c r="F33" s="479">
        <f ca="1">IF(B1="",'数据-取费表'!Q16,INDIRECT("'数据-取费表'!q"&amp;$K$1))</f>
        <v>0.05</v>
      </c>
      <c r="G33" s="2840"/>
      <c r="H33" s="2841"/>
      <c r="I33" s="2841"/>
      <c r="J33" s="2841"/>
      <c r="K33" s="2842"/>
    </row>
    <row r="34" spans="1:11" s="2123" customFormat="1" ht="13.5" customHeight="1">
      <c r="A34" s="375" t="s">
        <v>1857</v>
      </c>
      <c r="B34" s="2887" t="s">
        <v>501</v>
      </c>
      <c r="C34" s="472">
        <f ca="1">ROUND((1+C25)*F33,4)</f>
        <v>5.1499999999999997E-2</v>
      </c>
      <c r="D34" s="472"/>
      <c r="E34" s="473"/>
      <c r="F34" s="480"/>
      <c r="G34" s="261" t="s">
        <v>2291</v>
      </c>
      <c r="H34" s="2839"/>
      <c r="I34" s="2839"/>
      <c r="J34" s="2839"/>
      <c r="K34" s="279"/>
    </row>
    <row r="35" spans="1:11" s="2123" customFormat="1" ht="13.5" customHeight="1" thickBot="1">
      <c r="A35" s="1635" t="s">
        <v>1858</v>
      </c>
      <c r="B35" s="3057" t="s">
        <v>2840</v>
      </c>
      <c r="C35" s="1627">
        <f ca="1">ROUND((C18+C19+C20+C23+C24)*F33,0)</f>
        <v>204</v>
      </c>
      <c r="D35" s="1628"/>
      <c r="E35" s="2888"/>
      <c r="F35" s="1629"/>
      <c r="G35" s="2846"/>
      <c r="H35" s="2847"/>
      <c r="I35" s="2847"/>
      <c r="J35" s="2847"/>
      <c r="K35" s="2848"/>
    </row>
    <row r="36" spans="1:11" s="2085" customFormat="1" ht="13.5" customHeight="1" thickBot="1">
      <c r="A36" s="284" t="s">
        <v>1845</v>
      </c>
      <c r="B36" s="2850"/>
      <c r="C36" s="2889">
        <f ca="1">ROUND((C6-C30-C33)/(1+D30+D33),0)</f>
        <v>2450</v>
      </c>
      <c r="D36" s="2850"/>
      <c r="E36" s="2850"/>
      <c r="F36" s="2850"/>
      <c r="G36" s="2849" t="s">
        <v>2841</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1" t="str">
        <f>项目基本情况!B1</f>
        <v>北京市顺义区北小营镇北小营村东出让国有建设用地使用权抵押价格预评估</v>
      </c>
      <c r="C37" s="3191"/>
      <c r="D37" s="3191"/>
      <c r="E37" s="3191"/>
      <c r="F37" s="3191"/>
      <c r="G37" s="3191"/>
      <c r="H37" s="3191"/>
      <c r="I37" s="3191"/>
    </row>
    <row r="38" spans="1:9">
      <c r="A38" s="1655"/>
      <c r="B38" s="1655"/>
    </row>
    <row r="39" spans="1:9">
      <c r="A39" s="1653" t="s">
        <v>1902</v>
      </c>
      <c r="B39" s="1653" t="s">
        <v>2047</v>
      </c>
    </row>
    <row r="40" spans="1:9">
      <c r="A40" s="1653"/>
      <c r="B40" s="1653" t="str">
        <f>项目基本情况!B5</f>
        <v>科雅（北京）新型装饰材料有限公司</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王鹏、郑燚</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1849</v>
      </c>
      <c r="B13" s="449" t="s">
        <v>479</v>
      </c>
      <c r="C13" s="450">
        <f ca="1">IF(B1="",'数据-取费表'!M16,INDIRECT("'数据-取费表'!M"&amp;$K$1)+INDIRECT("'数据-取费表'!t"&amp;$K$1))</f>
        <v>3356</v>
      </c>
      <c r="D13" s="451"/>
      <c r="E13" s="365"/>
      <c r="F13" s="452"/>
      <c r="G13" s="444"/>
      <c r="H13" s="447"/>
      <c r="I13" s="447"/>
      <c r="J13" s="447"/>
      <c r="K13" s="448"/>
    </row>
    <row r="14" spans="1:41" s="2116" customFormat="1" ht="13.5" customHeight="1">
      <c r="A14" s="1632" t="s">
        <v>1850</v>
      </c>
      <c r="B14" s="449" t="s">
        <v>480</v>
      </c>
      <c r="C14" s="53">
        <f ca="1">ROUND(C13*F14,0)</f>
        <v>101</v>
      </c>
      <c r="D14" s="451"/>
      <c r="E14" s="365"/>
      <c r="F14" s="453">
        <f>'数据-取费表'!B33</f>
        <v>0.03</v>
      </c>
      <c r="G14" s="444" t="s">
        <v>502</v>
      </c>
      <c r="H14" s="447"/>
      <c r="I14" s="447"/>
      <c r="J14" s="447"/>
      <c r="K14" s="448"/>
    </row>
    <row r="15" spans="1:41" s="2116" customFormat="1" ht="13.5" customHeight="1">
      <c r="A15" s="1632"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2" t="s">
        <v>1852</v>
      </c>
      <c r="B16" s="449" t="s">
        <v>484</v>
      </c>
      <c r="C16" s="53">
        <f ca="1">ROUND(D16*E16/10000,0)</f>
        <v>269</v>
      </c>
      <c r="D16" s="451">
        <f ca="1">IF(B1="",'数据-汇总表'!E3,INDIRECT("'数据-取费表'!K"&amp;$K$1)+INDIRECT("'数据-取费表'!S"&amp;$K$1))</f>
        <v>13432.367</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485</v>
      </c>
      <c r="C17" s="454">
        <f ca="1">ROUND(C13*F17,0)</f>
        <v>50</v>
      </c>
      <c r="D17" s="455"/>
      <c r="E17" s="454"/>
      <c r="F17" s="456">
        <f>'数据-取费表'!B36</f>
        <v>1.4999999999999999E-2</v>
      </c>
      <c r="G17" s="444" t="s">
        <v>502</v>
      </c>
      <c r="H17" s="457"/>
      <c r="I17" s="457"/>
      <c r="J17" s="457"/>
      <c r="K17" s="458"/>
    </row>
    <row r="18" spans="1:14" s="2119" customFormat="1" ht="13.5" customHeight="1">
      <c r="A18" s="1633" t="s">
        <v>1854</v>
      </c>
      <c r="B18" s="459" t="s">
        <v>487</v>
      </c>
      <c r="C18" s="460">
        <f ca="1">SUM(C13:C17)</f>
        <v>3776</v>
      </c>
      <c r="D18" s="461"/>
      <c r="E18" s="462"/>
      <c r="F18" s="462"/>
      <c r="G18" s="1326" t="s">
        <v>2433</v>
      </c>
      <c r="H18" s="447"/>
      <c r="I18" s="447"/>
      <c r="J18" s="447"/>
      <c r="K18" s="448"/>
    </row>
    <row r="19" spans="1:14" s="2119" customFormat="1" ht="13.5" customHeight="1">
      <c r="A19" s="1633" t="s">
        <v>1855</v>
      </c>
      <c r="B19" s="459" t="s">
        <v>493</v>
      </c>
      <c r="C19" s="460">
        <f ca="1">ROUND(C18*F19,0)</f>
        <v>76</v>
      </c>
      <c r="D19" s="462"/>
      <c r="E19" s="462"/>
      <c r="F19" s="466">
        <f>'数据-取费表'!B37</f>
        <v>0.02</v>
      </c>
      <c r="G19" s="444" t="s">
        <v>503</v>
      </c>
      <c r="H19" s="447"/>
      <c r="I19" s="447"/>
      <c r="J19" s="447"/>
      <c r="K19" s="448"/>
      <c r="L19" s="2121"/>
      <c r="M19" s="2121"/>
      <c r="N19" s="2121"/>
    </row>
    <row r="20" spans="1:14" s="2119" customFormat="1" ht="13.5" customHeight="1">
      <c r="A20" s="1633" t="s">
        <v>1856</v>
      </c>
      <c r="B20" s="459" t="s">
        <v>504</v>
      </c>
      <c r="C20" s="3054">
        <f>F20</f>
        <v>0.02</v>
      </c>
      <c r="D20" s="469" t="s">
        <v>505</v>
      </c>
      <c r="E20" s="469"/>
      <c r="F20" s="486">
        <f>'数据-取费表'!B38</f>
        <v>0.02</v>
      </c>
      <c r="G20" s="1326" t="s">
        <v>506</v>
      </c>
      <c r="H20" s="447"/>
      <c r="I20" s="447"/>
      <c r="J20" s="447"/>
      <c r="K20" s="448"/>
      <c r="L20" s="2121"/>
      <c r="M20" s="2121"/>
      <c r="N20" s="2121"/>
    </row>
    <row r="21" spans="1:14" s="2121" customFormat="1" ht="13.5" customHeight="1">
      <c r="A21" s="1633" t="s">
        <v>1859</v>
      </c>
      <c r="B21" s="461" t="s">
        <v>494</v>
      </c>
      <c r="C21" s="470">
        <f ca="1">C22</f>
        <v>136</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1849</v>
      </c>
      <c r="B22" s="1327" t="s">
        <v>2436</v>
      </c>
      <c r="C22" s="487">
        <f ca="1">ROUND(IF('数据-取费表'!B22&lt;=1,(C18+C19)*F21*'数据-取费表'!B20/2,(C18+C19)*(POWER((1+F21),'数据-取费表'!B20/2)-1)),0)</f>
        <v>136</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1850</v>
      </c>
      <c r="B23" s="1327" t="s">
        <v>508</v>
      </c>
      <c r="C23" s="488">
        <f ca="1">ROUND(IF('数据-取费表'!B22&lt;=1,F20*F21*'数据-取费表'!B20/2,F20*(POWER((1+F21),'数据-取费表'!B20/2)-1)),4)</f>
        <v>6.9999999999999999E-4</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56" t="s">
        <v>2833</v>
      </c>
      <c r="C24" s="478">
        <f ca="1">C25</f>
        <v>193</v>
      </c>
      <c r="D24" s="489">
        <f ca="1">C26</f>
        <v>1E-3</v>
      </c>
      <c r="E24" s="469" t="s">
        <v>507</v>
      </c>
      <c r="F24" s="479">
        <f ca="1">IF(B1="",'数据-取费表'!Q16,INDIRECT("'数据-取费表'!q"&amp;$K$1))</f>
        <v>0.05</v>
      </c>
      <c r="G24" s="444"/>
      <c r="H24" s="447"/>
      <c r="I24" s="447"/>
      <c r="J24" s="447"/>
      <c r="K24" s="448"/>
    </row>
    <row r="25" spans="1:14" s="2120" customFormat="1" ht="13.5" customHeight="1">
      <c r="A25" s="1632" t="s">
        <v>1849</v>
      </c>
      <c r="B25" s="1327" t="s">
        <v>2437</v>
      </c>
      <c r="C25" s="490">
        <f ca="1">ROUND((C18+C19)*F24,0)</f>
        <v>193</v>
      </c>
      <c r="D25" s="472"/>
      <c r="E25" s="473"/>
      <c r="F25" s="480"/>
      <c r="G25" s="1325" t="s">
        <v>2434</v>
      </c>
      <c r="H25" s="457"/>
      <c r="I25" s="457"/>
      <c r="J25" s="457"/>
      <c r="K25" s="458"/>
    </row>
    <row r="26" spans="1:14" s="2120" customFormat="1" ht="13.5" customHeight="1">
      <c r="A26" s="1632" t="s">
        <v>1850</v>
      </c>
      <c r="B26" s="1327" t="s">
        <v>509</v>
      </c>
      <c r="C26" s="491">
        <f ca="1">ROUND(F20*F24,4)</f>
        <v>1E-3</v>
      </c>
      <c r="D26" s="472"/>
      <c r="E26" s="481"/>
      <c r="F26" s="480"/>
      <c r="G26" s="1325" t="s">
        <v>510</v>
      </c>
      <c r="H26" s="457"/>
      <c r="I26" s="457"/>
      <c r="J26" s="457"/>
      <c r="K26" s="458"/>
    </row>
    <row r="27" spans="1:14" s="2120" customFormat="1" ht="13.5" customHeight="1">
      <c r="A27" s="1636" t="s">
        <v>1868</v>
      </c>
      <c r="B27" s="459" t="s">
        <v>511</v>
      </c>
      <c r="C27" s="3055">
        <f>ROUND(F27/(1+'数据-取费表'!C42),4)</f>
        <v>5.2400000000000002E-2</v>
      </c>
      <c r="D27" s="462" t="s">
        <v>2831</v>
      </c>
      <c r="E27" s="462"/>
      <c r="F27" s="466">
        <f>'数据-取费表'!B41</f>
        <v>5.5000000000000007E-2</v>
      </c>
      <c r="G27" s="1960" t="s">
        <v>2292</v>
      </c>
      <c r="H27" s="447"/>
      <c r="I27" s="447"/>
      <c r="J27" s="447"/>
      <c r="K27" s="448"/>
    </row>
    <row r="28" spans="1:14" s="2121" customFormat="1" ht="13.5" customHeight="1">
      <c r="A28" s="1636" t="s">
        <v>1869</v>
      </c>
      <c r="B28" s="476" t="s">
        <v>512</v>
      </c>
      <c r="C28" s="470">
        <f ca="1">ROUND((C18+C19+C21+C24)/(1-C20-D21-D24-C27),0)</f>
        <v>4516</v>
      </c>
      <c r="D28" s="477"/>
      <c r="E28" s="469"/>
      <c r="F28" s="471"/>
      <c r="G28" s="1326" t="s">
        <v>2435</v>
      </c>
      <c r="H28" s="447"/>
      <c r="I28" s="447"/>
      <c r="J28" s="447"/>
      <c r="K28" s="448"/>
    </row>
    <row r="29" spans="1:14" s="2121"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506" t="s">
        <v>1866</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t="e">
        <f>ROUND(B2*10000/'数据-汇总表'!E3,0)</f>
        <v>#DIV/0!</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520</v>
      </c>
      <c r="B4" s="427" t="e">
        <f>IF(B48="单位面积地价",C50,ROUND(B2*10000/'数据-汇总表'!D3,0))</f>
        <v>#DIV/0!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376" t="s">
        <v>522</v>
      </c>
      <c r="D6" s="3377"/>
      <c r="E6" s="3376" t="s">
        <v>523</v>
      </c>
      <c r="F6" s="3377"/>
      <c r="G6" s="3376" t="s">
        <v>524</v>
      </c>
      <c r="H6" s="3377"/>
      <c r="I6" s="3376" t="s">
        <v>525</v>
      </c>
      <c r="J6" s="3377"/>
      <c r="K6" s="514" t="s">
        <v>526</v>
      </c>
      <c r="L6" s="2133"/>
      <c r="M6" s="2132"/>
      <c r="N6" s="2132"/>
      <c r="O6" s="2134"/>
      <c r="P6" s="3380" t="s">
        <v>527</v>
      </c>
      <c r="Q6" s="3381"/>
      <c r="R6" s="3386" t="s">
        <v>523</v>
      </c>
      <c r="S6" s="3387"/>
      <c r="T6" s="3386" t="s">
        <v>524</v>
      </c>
      <c r="U6" s="3387"/>
      <c r="V6" s="3366" t="s">
        <v>525</v>
      </c>
      <c r="W6" s="3366"/>
      <c r="X6" s="1566"/>
      <c r="Y6" s="3386" t="s">
        <v>527</v>
      </c>
      <c r="Z6" s="3387"/>
      <c r="AA6" s="3373" t="s">
        <v>523</v>
      </c>
      <c r="AB6" s="3374" t="s">
        <v>524</v>
      </c>
      <c r="AC6" s="3373" t="s">
        <v>525</v>
      </c>
    </row>
    <row r="7" spans="1:30" ht="20.25">
      <c r="A7" s="515"/>
      <c r="B7" s="516"/>
      <c r="C7" s="3407" t="s">
        <v>2922</v>
      </c>
      <c r="D7" s="3395"/>
      <c r="E7" s="3407" t="s">
        <v>2923</v>
      </c>
      <c r="F7" s="3395"/>
      <c r="G7" s="3407" t="s">
        <v>2924</v>
      </c>
      <c r="H7" s="3395"/>
      <c r="I7" s="3407" t="s">
        <v>2925</v>
      </c>
      <c r="J7" s="3395"/>
      <c r="K7" s="514"/>
      <c r="L7" s="2133"/>
      <c r="M7" s="2132"/>
      <c r="N7" s="2132"/>
      <c r="O7" s="2134"/>
      <c r="P7" s="3382"/>
      <c r="Q7" s="3383"/>
      <c r="R7" s="3388"/>
      <c r="S7" s="3389"/>
      <c r="T7" s="3388"/>
      <c r="U7" s="3389"/>
      <c r="V7" s="3366"/>
      <c r="W7" s="3366"/>
      <c r="X7" s="1566"/>
      <c r="Y7" s="3388"/>
      <c r="Z7" s="3389"/>
      <c r="AA7" s="3374"/>
      <c r="AB7" s="3374"/>
      <c r="AC7" s="3374"/>
    </row>
    <row r="8" spans="1:30" ht="21" thickBot="1">
      <c r="A8" s="515"/>
      <c r="B8" s="516"/>
      <c r="C8" s="3408" t="s">
        <v>2926</v>
      </c>
      <c r="D8" s="3409"/>
      <c r="E8" s="3408" t="s">
        <v>2926</v>
      </c>
      <c r="F8" s="3409"/>
      <c r="G8" s="3396" t="s">
        <v>2926</v>
      </c>
      <c r="H8" s="3397"/>
      <c r="I8" s="3396" t="s">
        <v>2926</v>
      </c>
      <c r="J8" s="3397"/>
      <c r="K8" s="514" t="s">
        <v>528</v>
      </c>
      <c r="L8" s="2133"/>
      <c r="M8" s="2132"/>
      <c r="N8" s="2132"/>
      <c r="O8" s="2134"/>
      <c r="P8" s="3384"/>
      <c r="Q8" s="3385"/>
      <c r="R8" s="3388"/>
      <c r="S8" s="3389"/>
      <c r="T8" s="3390"/>
      <c r="U8" s="3391"/>
      <c r="V8" s="3366"/>
      <c r="W8" s="3366"/>
      <c r="X8" s="1566"/>
      <c r="Y8" s="3390"/>
      <c r="Z8" s="3391"/>
      <c r="AA8" s="3375"/>
      <c r="AB8" s="3375"/>
      <c r="AC8" s="3375"/>
    </row>
    <row r="9" spans="1:30" s="1219" customFormat="1" ht="21" thickBot="1">
      <c r="A9" s="2936"/>
      <c r="B9" s="2943" t="s">
        <v>529</v>
      </c>
      <c r="C9" s="2935">
        <f>'数据-取费表'!B2</f>
        <v>43250</v>
      </c>
      <c r="D9" s="520">
        <v>100</v>
      </c>
      <c r="E9" s="521"/>
      <c r="F9" s="522">
        <f>SUMIF(72:72,YEAR(E9)&amp;"-"&amp;INT((MONTH(E9)+2)/3),73:73)</f>
        <v>0</v>
      </c>
      <c r="G9" s="523"/>
      <c r="H9" s="520">
        <f>SUMIF(72:72,YEAR(G9)&amp;"-"&amp;INT((MONTH(G9)+2)/3),73:73)</f>
        <v>0</v>
      </c>
      <c r="I9" s="523"/>
      <c r="J9" s="520">
        <f>SUMIF(72:72,YEAR(I9)&amp;"-"&amp;INT((MONTH(I9)+2)/3),73:73)</f>
        <v>0</v>
      </c>
      <c r="K9" s="524"/>
      <c r="L9" s="2135"/>
      <c r="M9" s="2132"/>
      <c r="N9" s="2132"/>
      <c r="O9" s="2136"/>
      <c r="P9" s="3371" t="s">
        <v>530</v>
      </c>
      <c r="Q9" s="3399"/>
      <c r="R9" s="1567" t="s">
        <v>8</v>
      </c>
      <c r="S9" s="1568">
        <f t="shared" ref="S9:S17" si="0">F9</f>
        <v>0</v>
      </c>
      <c r="T9" s="1567" t="s">
        <v>8</v>
      </c>
      <c r="U9" s="1568">
        <f t="shared" ref="U9:U17" si="1">H9</f>
        <v>0</v>
      </c>
      <c r="V9" s="1567" t="s">
        <v>8</v>
      </c>
      <c r="W9" s="1568">
        <f t="shared" ref="W9:W17" si="2">J9</f>
        <v>0</v>
      </c>
      <c r="X9" s="1569"/>
      <c r="Y9" s="3371" t="s">
        <v>530</v>
      </c>
      <c r="Z9" s="3372"/>
      <c r="AA9" s="1570" t="e">
        <f>D9/F9</f>
        <v>#DIV/0!</v>
      </c>
      <c r="AB9" s="1570" t="e">
        <f>D9/H9</f>
        <v>#DIV/0!</v>
      </c>
      <c r="AC9" s="1570" t="e">
        <f>D9/J9</f>
        <v>#DIV/0!</v>
      </c>
    </row>
    <row r="10" spans="1:30" s="1219" customFormat="1" ht="21" thickBot="1">
      <c r="A10" s="2937"/>
      <c r="B10" s="2944"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5"/>
      <c r="M10" s="2132"/>
      <c r="N10" s="2132"/>
      <c r="O10" s="2136"/>
      <c r="P10" s="3371" t="s">
        <v>533</v>
      </c>
      <c r="Q10" s="3372"/>
      <c r="R10" s="1567" t="s">
        <v>8</v>
      </c>
      <c r="S10" s="1568">
        <f t="shared" si="0"/>
        <v>0</v>
      </c>
      <c r="T10" s="1567" t="s">
        <v>8</v>
      </c>
      <c r="U10" s="1568">
        <f t="shared" si="1"/>
        <v>0</v>
      </c>
      <c r="V10" s="1567" t="s">
        <v>8</v>
      </c>
      <c r="W10" s="1568">
        <f t="shared" si="2"/>
        <v>0</v>
      </c>
      <c r="X10" s="1569"/>
      <c r="Y10" s="3371" t="s">
        <v>533</v>
      </c>
      <c r="Z10" s="3372"/>
      <c r="AA10" s="1570" t="e">
        <f t="shared" ref="AA10:AA47" si="3">D10/F10</f>
        <v>#DIV/0!</v>
      </c>
      <c r="AB10" s="1570" t="e">
        <f t="shared" ref="AB10:AB47" si="4">D10/H10</f>
        <v>#DIV/0!</v>
      </c>
      <c r="AC10" s="1570" t="e">
        <f t="shared" ref="AC10:AC47" si="5">D10/J10</f>
        <v>#DIV/0!</v>
      </c>
    </row>
    <row r="11" spans="1:30" s="1219" customFormat="1" ht="20.25">
      <c r="A11" s="2938"/>
      <c r="B11" s="2945" t="s">
        <v>2757</v>
      </c>
      <c r="C11" s="2932"/>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64" t="s">
        <v>535</v>
      </c>
      <c r="Q11" s="1150" t="str">
        <f t="shared" ref="Q11:Q17" si="6">B11</f>
        <v>用途</v>
      </c>
      <c r="R11" s="1567" t="s">
        <v>8</v>
      </c>
      <c r="S11" s="1568">
        <f t="shared" si="0"/>
        <v>100</v>
      </c>
      <c r="T11" s="1567" t="s">
        <v>8</v>
      </c>
      <c r="U11" s="1568">
        <f t="shared" si="1"/>
        <v>100</v>
      </c>
      <c r="V11" s="1567" t="s">
        <v>8</v>
      </c>
      <c r="W11" s="1568">
        <f t="shared" si="2"/>
        <v>100</v>
      </c>
      <c r="X11" s="1569"/>
      <c r="Y11" s="3329" t="s">
        <v>536</v>
      </c>
      <c r="Z11" s="1149" t="str">
        <f t="shared" ref="Z11:Z17" si="7">Q11</f>
        <v>用途</v>
      </c>
      <c r="AA11" s="1570">
        <f t="shared" si="3"/>
        <v>1</v>
      </c>
      <c r="AB11" s="1570">
        <f t="shared" si="4"/>
        <v>1</v>
      </c>
      <c r="AC11" s="1570">
        <f t="shared" si="5"/>
        <v>1</v>
      </c>
    </row>
    <row r="12" spans="1:30" s="1337" customFormat="1" ht="27">
      <c r="A12" s="2939"/>
      <c r="B12" s="2944" t="s">
        <v>2758</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64"/>
      <c r="Q12" s="1150" t="str">
        <f t="shared" si="6"/>
        <v>土地使用年限（年）</v>
      </c>
      <c r="R12" s="1567" t="s">
        <v>8</v>
      </c>
      <c r="S12" s="1568">
        <f t="shared" si="0"/>
        <v>103</v>
      </c>
      <c r="T12" s="1567" t="s">
        <v>8</v>
      </c>
      <c r="U12" s="1568">
        <f t="shared" si="1"/>
        <v>103</v>
      </c>
      <c r="V12" s="1567" t="s">
        <v>8</v>
      </c>
      <c r="W12" s="1568">
        <f t="shared" si="2"/>
        <v>103</v>
      </c>
      <c r="X12" s="1569"/>
      <c r="Y12" s="3329"/>
      <c r="Z12" s="1149" t="str">
        <f t="shared" si="7"/>
        <v>土地使用年限（年）</v>
      </c>
      <c r="AA12" s="1570">
        <f t="shared" si="3"/>
        <v>0.970873786407767</v>
      </c>
      <c r="AB12" s="1570">
        <f t="shared" si="4"/>
        <v>0.970873786407767</v>
      </c>
      <c r="AC12" s="1570">
        <f t="shared" si="5"/>
        <v>0.970873786407767</v>
      </c>
    </row>
    <row r="13" spans="1:30" ht="20.25">
      <c r="A13" s="2940"/>
      <c r="B13" s="2944"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0"/>
      <c r="M13" s="2132"/>
      <c r="N13" s="2132"/>
      <c r="O13" s="2141"/>
      <c r="P13" s="3364"/>
      <c r="Q13" s="1150" t="str">
        <f t="shared" si="6"/>
        <v>容积率</v>
      </c>
      <c r="R13" s="1567" t="s">
        <v>8</v>
      </c>
      <c r="S13" s="1568" t="e">
        <f t="shared" si="0"/>
        <v>#N/A</v>
      </c>
      <c r="T13" s="1567" t="s">
        <v>8</v>
      </c>
      <c r="U13" s="1568" t="e">
        <f t="shared" si="1"/>
        <v>#N/A</v>
      </c>
      <c r="V13" s="1567" t="s">
        <v>8</v>
      </c>
      <c r="W13" s="1568" t="e">
        <f t="shared" si="2"/>
        <v>#N/A</v>
      </c>
      <c r="X13" s="1569"/>
      <c r="Y13" s="3329"/>
      <c r="Z13" s="1149" t="str">
        <f t="shared" si="7"/>
        <v>容积率</v>
      </c>
      <c r="AA13" s="1570" t="e">
        <f t="shared" si="3"/>
        <v>#N/A</v>
      </c>
      <c r="AB13" s="1570" t="e">
        <f t="shared" si="4"/>
        <v>#N/A</v>
      </c>
      <c r="AC13" s="1570" t="e">
        <f t="shared" si="5"/>
        <v>#N/A</v>
      </c>
    </row>
    <row r="14" spans="1:30" s="1219" customFormat="1" ht="20.25">
      <c r="A14" s="2937"/>
      <c r="B14" s="2946" t="s">
        <v>2760</v>
      </c>
      <c r="C14" s="2933"/>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64"/>
      <c r="Q14" s="1150" t="str">
        <f t="shared" si="6"/>
        <v>配建</v>
      </c>
      <c r="R14" s="1567" t="s">
        <v>8</v>
      </c>
      <c r="S14" s="1568">
        <f t="shared" si="0"/>
        <v>100</v>
      </c>
      <c r="T14" s="1567" t="s">
        <v>8</v>
      </c>
      <c r="U14" s="1568">
        <f t="shared" si="1"/>
        <v>100</v>
      </c>
      <c r="V14" s="1567" t="s">
        <v>8</v>
      </c>
      <c r="W14" s="1568">
        <f t="shared" si="2"/>
        <v>100</v>
      </c>
      <c r="X14" s="1569"/>
      <c r="Y14" s="3329"/>
      <c r="Z14" s="1149" t="str">
        <f t="shared" si="7"/>
        <v>配建</v>
      </c>
      <c r="AA14" s="1570">
        <f>D14/F14</f>
        <v>1</v>
      </c>
      <c r="AB14" s="1570">
        <f>D14/H14</f>
        <v>1</v>
      </c>
      <c r="AC14" s="1570">
        <f>D14/J14</f>
        <v>1</v>
      </c>
    </row>
    <row r="15" spans="1:30" ht="20.25">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4"/>
      <c r="Q15" s="1150">
        <f t="shared" si="6"/>
        <v>111</v>
      </c>
      <c r="R15" s="1567" t="s">
        <v>8</v>
      </c>
      <c r="S15" s="1568">
        <f t="shared" si="0"/>
        <v>100</v>
      </c>
      <c r="T15" s="1567" t="s">
        <v>8</v>
      </c>
      <c r="U15" s="1568">
        <f t="shared" si="1"/>
        <v>100</v>
      </c>
      <c r="V15" s="1567" t="s">
        <v>8</v>
      </c>
      <c r="W15" s="1568">
        <f t="shared" si="2"/>
        <v>100</v>
      </c>
      <c r="X15" s="1569"/>
      <c r="Y15" s="3329"/>
      <c r="Z15" s="1149">
        <f t="shared" si="7"/>
        <v>111</v>
      </c>
      <c r="AA15" s="1570">
        <f>D15/F15</f>
        <v>1</v>
      </c>
      <c r="AB15" s="1570">
        <f>D15/H15</f>
        <v>1</v>
      </c>
      <c r="AC15" s="1570">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4"/>
      <c r="Q16" s="1150">
        <f t="shared" si="6"/>
        <v>111</v>
      </c>
      <c r="R16" s="1567" t="s">
        <v>8</v>
      </c>
      <c r="S16" s="1568">
        <f t="shared" si="0"/>
        <v>100</v>
      </c>
      <c r="T16" s="1567" t="s">
        <v>8</v>
      </c>
      <c r="U16" s="1568">
        <f t="shared" si="1"/>
        <v>100</v>
      </c>
      <c r="V16" s="1567" t="s">
        <v>8</v>
      </c>
      <c r="W16" s="1568">
        <f t="shared" si="2"/>
        <v>100</v>
      </c>
      <c r="X16" s="1569"/>
      <c r="Y16" s="3329"/>
      <c r="Z16" s="1149">
        <f t="shared" si="7"/>
        <v>111</v>
      </c>
      <c r="AA16" s="1570">
        <f>D16/F16</f>
        <v>1</v>
      </c>
      <c r="AB16" s="1570">
        <f>D16/H16</f>
        <v>1</v>
      </c>
      <c r="AC16" s="1570">
        <f>D16/J16</f>
        <v>1</v>
      </c>
    </row>
    <row r="17" spans="1:29" ht="20.25">
      <c r="A17" s="2934" t="s">
        <v>2755</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67" t="s">
        <v>540</v>
      </c>
      <c r="Q17" s="1571" t="str">
        <f t="shared" si="6"/>
        <v>居住社区成熟度</v>
      </c>
      <c r="R17" s="1572" t="s">
        <v>8</v>
      </c>
      <c r="S17" s="1573">
        <f t="shared" si="0"/>
        <v>100</v>
      </c>
      <c r="T17" s="1572" t="s">
        <v>8</v>
      </c>
      <c r="U17" s="1573">
        <f t="shared" si="1"/>
        <v>100</v>
      </c>
      <c r="V17" s="1572" t="s">
        <v>8</v>
      </c>
      <c r="W17" s="1573">
        <f t="shared" si="2"/>
        <v>100</v>
      </c>
      <c r="X17" s="1566"/>
      <c r="Y17" s="3367" t="s">
        <v>540</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2"/>
      <c r="M18" s="2132"/>
      <c r="N18" s="2132"/>
      <c r="O18" s="2141"/>
      <c r="P18" s="3368"/>
      <c r="Q18" s="1571"/>
      <c r="R18" s="1572"/>
      <c r="S18" s="1573"/>
      <c r="T18" s="1572"/>
      <c r="U18" s="1573"/>
      <c r="V18" s="1572"/>
      <c r="W18" s="1573"/>
      <c r="X18" s="1566"/>
      <c r="Y18" s="3368"/>
      <c r="Z18" s="1574"/>
      <c r="AA18" s="1575">
        <v>1</v>
      </c>
      <c r="AB18" s="1575">
        <v>1</v>
      </c>
      <c r="AC18" s="1575">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68"/>
      <c r="Q19" s="1571" t="str">
        <f>B19</f>
        <v>商业繁华度</v>
      </c>
      <c r="R19" s="1572" t="s">
        <v>8</v>
      </c>
      <c r="S19" s="1573">
        <f>F19</f>
        <v>100</v>
      </c>
      <c r="T19" s="1572" t="s">
        <v>8</v>
      </c>
      <c r="U19" s="1573">
        <f>H19</f>
        <v>100</v>
      </c>
      <c r="V19" s="1572" t="s">
        <v>8</v>
      </c>
      <c r="W19" s="1573">
        <f>J19</f>
        <v>100</v>
      </c>
      <c r="X19" s="1566"/>
      <c r="Y19" s="3368"/>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2"/>
      <c r="M20" s="2132"/>
      <c r="N20" s="2132"/>
      <c r="O20" s="2141"/>
      <c r="P20" s="3368"/>
      <c r="Q20" s="1571"/>
      <c r="R20" s="1572"/>
      <c r="S20" s="1573"/>
      <c r="T20" s="1572"/>
      <c r="U20" s="1573"/>
      <c r="V20" s="1572"/>
      <c r="W20" s="1573"/>
      <c r="X20" s="1566"/>
      <c r="Y20" s="3368"/>
      <c r="Z20" s="1574"/>
      <c r="AA20" s="1575">
        <v>1</v>
      </c>
      <c r="AB20" s="1575">
        <v>1</v>
      </c>
      <c r="AC20" s="1575">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68"/>
      <c r="Q21" s="1571" t="str">
        <f>B21</f>
        <v>办公集聚程度</v>
      </c>
      <c r="R21" s="1572" t="s">
        <v>8</v>
      </c>
      <c r="S21" s="1573">
        <f>F21</f>
        <v>100</v>
      </c>
      <c r="T21" s="1572" t="s">
        <v>8</v>
      </c>
      <c r="U21" s="1573">
        <f>H21</f>
        <v>100</v>
      </c>
      <c r="V21" s="1572" t="s">
        <v>8</v>
      </c>
      <c r="W21" s="1573">
        <f>J21</f>
        <v>100</v>
      </c>
      <c r="X21" s="1566"/>
      <c r="Y21" s="3368"/>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368"/>
      <c r="Q22" s="1571"/>
      <c r="R22" s="1572"/>
      <c r="S22" s="1573"/>
      <c r="T22" s="1572"/>
      <c r="U22" s="1573"/>
      <c r="V22" s="1572"/>
      <c r="W22" s="1573"/>
      <c r="X22" s="1566"/>
      <c r="Y22" s="3368"/>
      <c r="Z22" s="1574"/>
      <c r="AA22" s="1575">
        <v>1</v>
      </c>
      <c r="AB22" s="1575">
        <v>1</v>
      </c>
      <c r="AC22" s="1575">
        <v>1</v>
      </c>
    </row>
    <row r="23" spans="1:29" ht="20.25">
      <c r="A23" s="532"/>
      <c r="B23" s="560" t="s">
        <v>543</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368"/>
      <c r="Q23" s="1571" t="str">
        <f>B23</f>
        <v>交通便捷度</v>
      </c>
      <c r="R23" s="1572" t="s">
        <v>8</v>
      </c>
      <c r="S23" s="1573">
        <f>F23</f>
        <v>100</v>
      </c>
      <c r="T23" s="1572" t="s">
        <v>8</v>
      </c>
      <c r="U23" s="1573">
        <f>H23</f>
        <v>100</v>
      </c>
      <c r="V23" s="1572" t="s">
        <v>8</v>
      </c>
      <c r="W23" s="1573">
        <f>J23</f>
        <v>100</v>
      </c>
      <c r="X23" s="1566"/>
      <c r="Y23" s="3368"/>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2"/>
      <c r="M24" s="2132"/>
      <c r="N24" s="2132"/>
      <c r="O24" s="2141"/>
      <c r="P24" s="3368"/>
      <c r="Q24" s="1571"/>
      <c r="R24" s="1572"/>
      <c r="S24" s="1573"/>
      <c r="T24" s="1572"/>
      <c r="U24" s="1573"/>
      <c r="V24" s="1572"/>
      <c r="W24" s="1573"/>
      <c r="X24" s="1566"/>
      <c r="Y24" s="3368"/>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68"/>
      <c r="Q25" s="1571" t="str">
        <f t="shared" ref="Q25:Q39" si="8">B25</f>
        <v>区域土地利用方向</v>
      </c>
      <c r="R25" s="1572" t="s">
        <v>8</v>
      </c>
      <c r="S25" s="1573">
        <f>F25</f>
        <v>100</v>
      </c>
      <c r="T25" s="1572" t="s">
        <v>8</v>
      </c>
      <c r="U25" s="1573">
        <f>H25</f>
        <v>100</v>
      </c>
      <c r="V25" s="1572" t="s">
        <v>8</v>
      </c>
      <c r="W25" s="1573">
        <f>J25</f>
        <v>100</v>
      </c>
      <c r="X25" s="1566"/>
      <c r="Y25" s="3368"/>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2"/>
      <c r="M26" s="2132"/>
      <c r="N26" s="2132"/>
      <c r="O26" s="2141"/>
      <c r="P26" s="3368"/>
      <c r="Q26" s="1571"/>
      <c r="R26" s="1572"/>
      <c r="S26" s="1573"/>
      <c r="T26" s="1572"/>
      <c r="U26" s="1573"/>
      <c r="V26" s="1572"/>
      <c r="W26" s="1573"/>
      <c r="X26" s="1566"/>
      <c r="Y26" s="3368"/>
      <c r="Z26" s="1574"/>
      <c r="AA26" s="1575"/>
      <c r="AB26" s="1575"/>
      <c r="AC26" s="1575"/>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68"/>
      <c r="Q27" s="1571" t="str">
        <f t="shared" si="8"/>
        <v>自然及人文环境状况</v>
      </c>
      <c r="R27" s="1572" t="s">
        <v>8</v>
      </c>
      <c r="S27" s="1573">
        <f>F27</f>
        <v>100</v>
      </c>
      <c r="T27" s="1572" t="s">
        <v>8</v>
      </c>
      <c r="U27" s="1573">
        <f>H27</f>
        <v>100</v>
      </c>
      <c r="V27" s="1572" t="s">
        <v>8</v>
      </c>
      <c r="W27" s="1573">
        <f>J27</f>
        <v>100</v>
      </c>
      <c r="X27" s="1566"/>
      <c r="Y27" s="3368"/>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2"/>
      <c r="M28" s="2132"/>
      <c r="N28" s="2132"/>
      <c r="O28" s="2141"/>
      <c r="P28" s="3368"/>
      <c r="Q28" s="1571"/>
      <c r="R28" s="1572"/>
      <c r="S28" s="1573"/>
      <c r="T28" s="1572"/>
      <c r="U28" s="1573"/>
      <c r="V28" s="1572"/>
      <c r="W28" s="1573"/>
      <c r="X28" s="1566"/>
      <c r="Y28" s="3368"/>
      <c r="Z28" s="1574"/>
      <c r="AA28" s="1575">
        <v>1</v>
      </c>
      <c r="AB28" s="1575">
        <v>1</v>
      </c>
      <c r="AC28" s="1575">
        <v>1</v>
      </c>
    </row>
    <row r="29" spans="1:29" s="1219" customFormat="1" ht="20.25">
      <c r="A29" s="577"/>
      <c r="B29" s="2615" t="s">
        <v>2549</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68"/>
      <c r="Q29" s="1150" t="str">
        <f t="shared" si="8"/>
        <v>公共配套设施</v>
      </c>
      <c r="R29" s="1567" t="s">
        <v>8</v>
      </c>
      <c r="S29" s="1568">
        <f>F29</f>
        <v>100</v>
      </c>
      <c r="T29" s="1567" t="s">
        <v>8</v>
      </c>
      <c r="U29" s="1568">
        <f>H29</f>
        <v>100</v>
      </c>
      <c r="V29" s="1567" t="s">
        <v>8</v>
      </c>
      <c r="W29" s="1568">
        <f>J29</f>
        <v>100</v>
      </c>
      <c r="X29" s="1569"/>
      <c r="Y29" s="3368"/>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5"/>
      <c r="M30" s="2132"/>
      <c r="N30" s="2132"/>
      <c r="O30" s="2137"/>
      <c r="P30" s="3368"/>
      <c r="Q30" s="1150"/>
      <c r="R30" s="1567"/>
      <c r="S30" s="1568"/>
      <c r="T30" s="1567"/>
      <c r="U30" s="1568"/>
      <c r="V30" s="1567"/>
      <c r="W30" s="1568"/>
      <c r="X30" s="1569"/>
      <c r="Y30" s="3368"/>
      <c r="Z30" s="1149"/>
      <c r="AA30" s="1575">
        <v>1</v>
      </c>
      <c r="AB30" s="1575">
        <v>1</v>
      </c>
      <c r="AC30" s="1575">
        <v>1</v>
      </c>
    </row>
    <row r="31" spans="1:29" s="1219" customFormat="1" ht="20.25">
      <c r="A31" s="577"/>
      <c r="B31" s="2615" t="s">
        <v>2550</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68"/>
      <c r="Q31" s="2602" t="str">
        <f t="shared" ref="Q31" si="9">B31</f>
        <v>基础设施水平</v>
      </c>
      <c r="R31" s="1567" t="s">
        <v>8</v>
      </c>
      <c r="S31" s="1568">
        <f>F31</f>
        <v>100</v>
      </c>
      <c r="T31" s="1567" t="s">
        <v>8</v>
      </c>
      <c r="U31" s="1568">
        <f>H31</f>
        <v>100</v>
      </c>
      <c r="V31" s="1567" t="s">
        <v>8</v>
      </c>
      <c r="W31" s="1568">
        <f>J31</f>
        <v>100</v>
      </c>
      <c r="X31" s="1569"/>
      <c r="Y31" s="3368"/>
      <c r="Z31" s="2599" t="str">
        <f>Q31</f>
        <v>基础设施水平</v>
      </c>
      <c r="AA31" s="1575">
        <f>D31/F31</f>
        <v>1</v>
      </c>
      <c r="AB31" s="1575">
        <f>D31/H31</f>
        <v>1</v>
      </c>
      <c r="AC31" s="1575">
        <f>D31/J31</f>
        <v>1</v>
      </c>
    </row>
    <row r="32" spans="1:29" s="1219" customFormat="1" ht="20.25">
      <c r="A32" s="577"/>
      <c r="B32" s="566"/>
      <c r="C32" s="579"/>
      <c r="D32" s="557"/>
      <c r="E32" s="2616"/>
      <c r="F32" s="555"/>
      <c r="G32" s="579"/>
      <c r="H32" s="555"/>
      <c r="I32" s="579"/>
      <c r="J32" s="555"/>
      <c r="K32" s="531"/>
      <c r="L32" s="2135"/>
      <c r="M32" s="2132"/>
      <c r="N32" s="2132"/>
      <c r="O32" s="2137"/>
      <c r="P32" s="3368"/>
      <c r="Q32" s="2602"/>
      <c r="R32" s="1567"/>
      <c r="S32" s="1568"/>
      <c r="T32" s="1567"/>
      <c r="U32" s="1568"/>
      <c r="V32" s="1567"/>
      <c r="W32" s="1568"/>
      <c r="X32" s="1569"/>
      <c r="Y32" s="3368"/>
      <c r="Z32" s="2599"/>
      <c r="AA32" s="1575">
        <v>1</v>
      </c>
      <c r="AB32" s="1575">
        <v>1</v>
      </c>
      <c r="AC32" s="1575">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6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68"/>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68"/>
      <c r="Q34" s="1571" t="str">
        <f t="shared" si="8"/>
        <v>毗邻道路的类型与等级</v>
      </c>
      <c r="R34" s="1572" t="s">
        <v>8</v>
      </c>
      <c r="S34" s="1573">
        <f t="shared" si="10"/>
        <v>100</v>
      </c>
      <c r="T34" s="1572" t="s">
        <v>8</v>
      </c>
      <c r="U34" s="1573">
        <f t="shared" si="11"/>
        <v>100</v>
      </c>
      <c r="V34" s="1572" t="s">
        <v>8</v>
      </c>
      <c r="W34" s="1573">
        <f t="shared" si="12"/>
        <v>100</v>
      </c>
      <c r="X34" s="1566"/>
      <c r="Y34" s="3368"/>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368"/>
      <c r="Q35" s="1571"/>
      <c r="R35" s="1572"/>
      <c r="S35" s="1573"/>
      <c r="T35" s="1572"/>
      <c r="U35" s="1573"/>
      <c r="V35" s="1572"/>
      <c r="W35" s="1573"/>
      <c r="X35" s="1566"/>
      <c r="Y35" s="3368"/>
      <c r="Z35" s="1574"/>
      <c r="AA35" s="1575">
        <v>1</v>
      </c>
      <c r="AB35" s="1575">
        <v>1</v>
      </c>
      <c r="AC35" s="1575">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68"/>
      <c r="Q36" s="1571" t="str">
        <f t="shared" si="8"/>
        <v>土地级别</v>
      </c>
      <c r="R36" s="1572" t="s">
        <v>8</v>
      </c>
      <c r="S36" s="1573">
        <f t="shared" si="10"/>
        <v>100</v>
      </c>
      <c r="T36" s="1572" t="s">
        <v>8</v>
      </c>
      <c r="U36" s="1573">
        <f t="shared" si="11"/>
        <v>100</v>
      </c>
      <c r="V36" s="1572" t="s">
        <v>8</v>
      </c>
      <c r="W36" s="1573">
        <f t="shared" si="12"/>
        <v>100</v>
      </c>
      <c r="X36" s="1566"/>
      <c r="Y36" s="3368"/>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68"/>
      <c r="Q37" s="1571">
        <f t="shared" si="8"/>
        <v>111</v>
      </c>
      <c r="R37" s="1572" t="s">
        <v>8</v>
      </c>
      <c r="S37" s="1573">
        <f t="shared" si="10"/>
        <v>100</v>
      </c>
      <c r="T37" s="1572" t="s">
        <v>8</v>
      </c>
      <c r="U37" s="1573">
        <f t="shared" si="11"/>
        <v>100</v>
      </c>
      <c r="V37" s="1572" t="s">
        <v>8</v>
      </c>
      <c r="W37" s="1573">
        <f t="shared" si="12"/>
        <v>100</v>
      </c>
      <c r="X37" s="1566"/>
      <c r="Y37" s="3368"/>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69" t="s">
        <v>550</v>
      </c>
      <c r="Q38" s="1571">
        <f t="shared" si="8"/>
        <v>111</v>
      </c>
      <c r="R38" s="1572" t="s">
        <v>8</v>
      </c>
      <c r="S38" s="1573">
        <f t="shared" si="10"/>
        <v>100</v>
      </c>
      <c r="T38" s="1572" t="s">
        <v>8</v>
      </c>
      <c r="U38" s="1573">
        <f t="shared" si="11"/>
        <v>100</v>
      </c>
      <c r="V38" s="1572" t="s">
        <v>8</v>
      </c>
      <c r="W38" s="1573">
        <f t="shared" si="12"/>
        <v>100</v>
      </c>
      <c r="X38" s="1566"/>
      <c r="Y38" s="3370" t="s">
        <v>550</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70"/>
      <c r="Q39" s="1571">
        <f t="shared" si="8"/>
        <v>111</v>
      </c>
      <c r="R39" s="1576" t="s">
        <v>8</v>
      </c>
      <c r="S39" s="1577">
        <f t="shared" si="10"/>
        <v>100</v>
      </c>
      <c r="T39" s="1576" t="s">
        <v>8</v>
      </c>
      <c r="U39" s="1577">
        <f t="shared" si="11"/>
        <v>100</v>
      </c>
      <c r="V39" s="1576" t="s">
        <v>8</v>
      </c>
      <c r="W39" s="1577">
        <f t="shared" si="12"/>
        <v>100</v>
      </c>
      <c r="X39" s="1578"/>
      <c r="Y39" s="3370"/>
      <c r="Z39" s="1579">
        <f t="shared" si="13"/>
        <v>111</v>
      </c>
      <c r="AA39" s="1575">
        <f t="shared" si="3"/>
        <v>1</v>
      </c>
      <c r="AB39" s="1575">
        <f t="shared" si="4"/>
        <v>1</v>
      </c>
      <c r="AC39" s="1575">
        <f t="shared" si="5"/>
        <v>1</v>
      </c>
    </row>
    <row r="40" spans="1:29" ht="20.25">
      <c r="A40" s="2931"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2"/>
      <c r="M40" s="2132"/>
      <c r="N40" s="2132"/>
      <c r="O40" s="2141"/>
      <c r="P40" s="3370"/>
      <c r="Q40" s="1571" t="str">
        <f>B40</f>
        <v>宗地面积</v>
      </c>
      <c r="R40" s="1572" t="s">
        <v>8</v>
      </c>
      <c r="S40" s="1573" t="e">
        <f t="shared" si="10"/>
        <v>#N/A</v>
      </c>
      <c r="T40" s="1572" t="s">
        <v>8</v>
      </c>
      <c r="U40" s="1573" t="e">
        <f t="shared" si="11"/>
        <v>#N/A</v>
      </c>
      <c r="V40" s="1572" t="s">
        <v>8</v>
      </c>
      <c r="W40" s="1573" t="e">
        <f t="shared" si="12"/>
        <v>#N/A</v>
      </c>
      <c r="X40" s="1566"/>
      <c r="Y40" s="3370"/>
      <c r="Z40" s="1574" t="str">
        <f t="shared" si="13"/>
        <v>宗地面积</v>
      </c>
      <c r="AA40" s="1575" t="e">
        <f t="shared" si="3"/>
        <v>#N/A</v>
      </c>
      <c r="AB40" s="1575" t="e">
        <f t="shared" si="4"/>
        <v>#N/A</v>
      </c>
      <c r="AC40" s="1575"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70"/>
      <c r="Q41" s="1571" t="str">
        <f t="shared" ref="Q41:Q47" si="14">B41</f>
        <v>宗地形状</v>
      </c>
      <c r="R41" s="1572" t="s">
        <v>8</v>
      </c>
      <c r="S41" s="1573">
        <f t="shared" si="10"/>
        <v>100</v>
      </c>
      <c r="T41" s="1572" t="s">
        <v>8</v>
      </c>
      <c r="U41" s="1573">
        <f t="shared" si="11"/>
        <v>100</v>
      </c>
      <c r="V41" s="1572" t="s">
        <v>8</v>
      </c>
      <c r="W41" s="1573">
        <f t="shared" si="12"/>
        <v>100</v>
      </c>
      <c r="X41" s="1566"/>
      <c r="Y41" s="3370"/>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70"/>
      <c r="Q42" s="1571" t="str">
        <f t="shared" si="14"/>
        <v>临街宽度及深度</v>
      </c>
      <c r="R42" s="1572" t="s">
        <v>8</v>
      </c>
      <c r="S42" s="1573">
        <f t="shared" si="10"/>
        <v>100</v>
      </c>
      <c r="T42" s="1572" t="s">
        <v>8</v>
      </c>
      <c r="U42" s="1573">
        <f t="shared" si="11"/>
        <v>100</v>
      </c>
      <c r="V42" s="1572" t="s">
        <v>8</v>
      </c>
      <c r="W42" s="1573">
        <f t="shared" si="12"/>
        <v>100</v>
      </c>
      <c r="X42" s="1566"/>
      <c r="Y42" s="3370"/>
      <c r="Z42" s="1574" t="str">
        <f t="shared" si="13"/>
        <v>临街宽度及深度</v>
      </c>
      <c r="AA42" s="1575">
        <f t="shared" si="3"/>
        <v>1</v>
      </c>
      <c r="AB42" s="1575">
        <f t="shared" si="4"/>
        <v>1</v>
      </c>
      <c r="AC42" s="1575">
        <f t="shared" si="5"/>
        <v>1</v>
      </c>
    </row>
    <row r="43" spans="1:29" s="1219" customFormat="1" ht="20.25">
      <c r="A43" s="600"/>
      <c r="B43" s="1895"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70"/>
      <c r="Q43" s="1571" t="str">
        <f t="shared" si="14"/>
        <v>宗地开发程度</v>
      </c>
      <c r="R43" s="1567" t="s">
        <v>8</v>
      </c>
      <c r="S43" s="1568">
        <f t="shared" si="10"/>
        <v>100</v>
      </c>
      <c r="T43" s="1567" t="s">
        <v>8</v>
      </c>
      <c r="U43" s="1568">
        <f t="shared" si="11"/>
        <v>100</v>
      </c>
      <c r="V43" s="1567" t="s">
        <v>8</v>
      </c>
      <c r="W43" s="1568">
        <f t="shared" si="12"/>
        <v>100</v>
      </c>
      <c r="X43" s="1569"/>
      <c r="Y43" s="3370"/>
      <c r="Z43" s="1149" t="str">
        <f t="shared" si="13"/>
        <v>宗地开发程度</v>
      </c>
      <c r="AA43" s="1570">
        <f t="shared" si="3"/>
        <v>1</v>
      </c>
      <c r="AB43" s="1570">
        <f t="shared" si="4"/>
        <v>1</v>
      </c>
      <c r="AC43" s="1570">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70" t="s">
        <v>550</v>
      </c>
      <c r="Q44" s="1571" t="str">
        <f t="shared" si="14"/>
        <v>工程地质条件</v>
      </c>
      <c r="R44" s="1572" t="s">
        <v>8</v>
      </c>
      <c r="S44" s="1573">
        <f t="shared" si="10"/>
        <v>100</v>
      </c>
      <c r="T44" s="1572" t="s">
        <v>8</v>
      </c>
      <c r="U44" s="1573">
        <f t="shared" si="11"/>
        <v>100</v>
      </c>
      <c r="V44" s="1572" t="s">
        <v>8</v>
      </c>
      <c r="W44" s="1573">
        <f t="shared" si="12"/>
        <v>100</v>
      </c>
      <c r="X44" s="1566"/>
      <c r="Y44" s="3370"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70"/>
      <c r="Q45" s="1571">
        <f t="shared" si="14"/>
        <v>111</v>
      </c>
      <c r="R45" s="1572" t="s">
        <v>8</v>
      </c>
      <c r="S45" s="1573">
        <f t="shared" si="10"/>
        <v>100</v>
      </c>
      <c r="T45" s="1572" t="s">
        <v>8</v>
      </c>
      <c r="U45" s="1573">
        <f t="shared" si="11"/>
        <v>100</v>
      </c>
      <c r="V45" s="1572" t="s">
        <v>8</v>
      </c>
      <c r="W45" s="1573">
        <f t="shared" si="12"/>
        <v>100</v>
      </c>
      <c r="X45" s="1566"/>
      <c r="Y45" s="3370"/>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70"/>
      <c r="Q46" s="1571">
        <f t="shared" si="14"/>
        <v>111</v>
      </c>
      <c r="R46" s="1572" t="s">
        <v>8</v>
      </c>
      <c r="S46" s="1573">
        <f t="shared" si="10"/>
        <v>100</v>
      </c>
      <c r="T46" s="1572" t="s">
        <v>8</v>
      </c>
      <c r="U46" s="1573">
        <f t="shared" si="11"/>
        <v>100</v>
      </c>
      <c r="V46" s="1572" t="s">
        <v>8</v>
      </c>
      <c r="W46" s="1573">
        <f t="shared" si="12"/>
        <v>100</v>
      </c>
      <c r="X46" s="1566"/>
      <c r="Y46" s="3370"/>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70"/>
      <c r="Q47" s="1571">
        <f t="shared" si="14"/>
        <v>111</v>
      </c>
      <c r="R47" s="1576" t="s">
        <v>8</v>
      </c>
      <c r="S47" s="1577">
        <f t="shared" si="10"/>
        <v>100</v>
      </c>
      <c r="T47" s="1576" t="s">
        <v>8</v>
      </c>
      <c r="U47" s="1577">
        <f t="shared" si="11"/>
        <v>100</v>
      </c>
      <c r="V47" s="1576" t="s">
        <v>8</v>
      </c>
      <c r="W47" s="1577">
        <f t="shared" si="12"/>
        <v>100</v>
      </c>
      <c r="X47" s="1578"/>
      <c r="Y47" s="3370"/>
      <c r="Z47" s="1579">
        <f t="shared" si="13"/>
        <v>111</v>
      </c>
      <c r="AA47" s="1575">
        <f t="shared" si="3"/>
        <v>1</v>
      </c>
      <c r="AB47" s="1575">
        <f t="shared" si="4"/>
        <v>1</v>
      </c>
      <c r="AC47" s="1575">
        <f t="shared" si="5"/>
        <v>1</v>
      </c>
    </row>
    <row r="48" spans="1:29" ht="20.25">
      <c r="A48" s="607" t="s">
        <v>556</v>
      </c>
      <c r="B48" s="608" t="s">
        <v>2927</v>
      </c>
      <c r="C48" s="609" t="s">
        <v>1</v>
      </c>
      <c r="D48" s="610"/>
      <c r="E48" s="611"/>
      <c r="F48" s="612"/>
      <c r="G48" s="613"/>
      <c r="H48" s="614"/>
      <c r="I48" s="611"/>
      <c r="J48" s="614"/>
      <c r="K48" s="1339"/>
      <c r="L48" s="2144"/>
      <c r="M48" s="2132"/>
      <c r="N48" s="2132"/>
      <c r="O48" s="2145"/>
      <c r="P48" s="3364" t="str">
        <f>A48</f>
        <v>成交单价</v>
      </c>
      <c r="Q48" s="3364"/>
      <c r="R48" s="3366">
        <f>E48</f>
        <v>0</v>
      </c>
      <c r="S48" s="3366"/>
      <c r="T48" s="3366">
        <f>G48</f>
        <v>0</v>
      </c>
      <c r="U48" s="3366"/>
      <c r="V48" s="3366">
        <f>I48</f>
        <v>0</v>
      </c>
      <c r="W48" s="3366"/>
      <c r="X48" s="1558"/>
      <c r="Y48" s="1580"/>
      <c r="Z48" s="1558"/>
      <c r="AA48" s="1558"/>
      <c r="AB48" s="1558"/>
      <c r="AC48" s="1558"/>
    </row>
    <row r="49" spans="1:29" ht="21" thickBot="1">
      <c r="A49" s="615" t="s">
        <v>2694</v>
      </c>
      <c r="B49" s="616"/>
      <c r="C49" s="617" t="e">
        <f>R50</f>
        <v>#DIV/0!</v>
      </c>
      <c r="D49" s="618"/>
      <c r="E49" s="617" t="e">
        <f>R49</f>
        <v>#DIV/0!</v>
      </c>
      <c r="F49" s="619"/>
      <c r="G49" s="620" t="e">
        <f>T49</f>
        <v>#DIV/0!</v>
      </c>
      <c r="H49" s="618"/>
      <c r="I49" s="617" t="e">
        <f>V49</f>
        <v>#DIV/0!</v>
      </c>
      <c r="J49" s="618"/>
      <c r="K49" s="1340"/>
      <c r="L49" s="2144"/>
      <c r="M49" s="2132"/>
      <c r="N49" s="2132"/>
      <c r="O49" s="2145"/>
      <c r="P49" s="3364" t="str">
        <f>A49</f>
        <v>比较价格（元/平方米）</v>
      </c>
      <c r="Q49" s="3364"/>
      <c r="R49" s="3365" t="e">
        <f>ROUND(PRODUCT(R48,AA9:AA47),0)</f>
        <v>#DIV/0!</v>
      </c>
      <c r="S49" s="3365"/>
      <c r="T49" s="3365" t="e">
        <f>ROUND(PRODUCT(T48,AB9:AB47),0)</f>
        <v>#DIV/0!</v>
      </c>
      <c r="U49" s="3365"/>
      <c r="V49" s="3365" t="e">
        <f>ROUND(PRODUCT(V48,AC9:AC47),0)</f>
        <v>#DIV/0!</v>
      </c>
      <c r="W49" s="3365"/>
      <c r="X49" s="1558"/>
      <c r="Y49" s="1558"/>
      <c r="Z49" s="1558"/>
      <c r="AA49" s="1558"/>
      <c r="AB49" s="1558"/>
      <c r="AC49" s="1558"/>
    </row>
    <row r="50" spans="1:29" ht="21" thickBot="1">
      <c r="A50" s="621" t="s">
        <v>2928</v>
      </c>
      <c r="B50" s="622"/>
      <c r="C50" s="623" t="e">
        <f>R50</f>
        <v>#DIV/0!</v>
      </c>
      <c r="D50" s="623"/>
      <c r="E50" s="623"/>
      <c r="F50" s="623"/>
      <c r="G50" s="623"/>
      <c r="H50" s="623"/>
      <c r="I50" s="623"/>
      <c r="J50" s="623"/>
      <c r="K50" s="1341"/>
      <c r="L50" s="2144"/>
      <c r="M50" s="2132"/>
      <c r="N50" s="2132"/>
      <c r="O50" s="2145"/>
      <c r="P50" s="3361" t="str">
        <f>A50</f>
        <v>估价对象XX用房的比较价格（楼面单价，元/平方米）</v>
      </c>
      <c r="Q50" s="3362"/>
      <c r="R50" s="3363" t="e">
        <f>ROUND(AVERAGE(R49:V49),0)</f>
        <v>#DIV/0!</v>
      </c>
      <c r="S50" s="3363"/>
      <c r="T50" s="3363"/>
      <c r="U50" s="3363"/>
      <c r="V50" s="3363"/>
      <c r="W50" s="336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1725</v>
      </c>
      <c r="D57" s="2227" t="s">
        <v>2294</v>
      </c>
      <c r="E57" s="631" t="s">
        <v>562</v>
      </c>
      <c r="F57" s="632" t="s">
        <v>563</v>
      </c>
      <c r="G57" s="3402" t="s">
        <v>2282</v>
      </c>
      <c r="H57" s="3403"/>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t="e">
        <f>C50</f>
        <v>#DIV/0!</v>
      </c>
      <c r="C58" s="635">
        <v>1</v>
      </c>
      <c r="D58" s="2228">
        <v>1</v>
      </c>
      <c r="E58" s="635">
        <f>'数据-汇总表'!E8+'数据-汇总表'!E9</f>
        <v>13418.867</v>
      </c>
      <c r="F58" s="636" t="e">
        <f t="shared" ref="F58:F67" si="15">ROUND(B58*E58/10000,0)</f>
        <v>#DIV/0!</v>
      </c>
      <c r="G58" s="3404"/>
      <c r="H58" s="340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t="e">
        <f>ROUND($C$50*C59*D59,0)</f>
        <v>#DIV/0!</v>
      </c>
      <c r="C59" s="378">
        <f t="shared" ref="C59:C67" si="16">IF($C$57="北京市系数",I59,J59)</f>
        <v>0</v>
      </c>
      <c r="D59" s="2229">
        <v>0.25</v>
      </c>
      <c r="E59" s="639">
        <v>0</v>
      </c>
      <c r="F59" s="636" t="e">
        <f t="shared" si="15"/>
        <v>#DIV/0!</v>
      </c>
      <c r="G59" s="3406"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t="e">
        <f t="shared" ref="B60:B67" si="17">ROUND($C$50*C60*D60,0)</f>
        <v>#DIV/0!</v>
      </c>
      <c r="C60" s="378">
        <f t="shared" si="16"/>
        <v>0</v>
      </c>
      <c r="D60" s="2229">
        <v>0.25</v>
      </c>
      <c r="E60" s="639">
        <v>0</v>
      </c>
      <c r="F60" s="636" t="e">
        <f t="shared" si="15"/>
        <v>#DIV/0!</v>
      </c>
      <c r="G60" s="340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t="e">
        <f t="shared" si="17"/>
        <v>#DIV/0!</v>
      </c>
      <c r="C61" s="378">
        <f t="shared" si="16"/>
        <v>0</v>
      </c>
      <c r="D61" s="2229">
        <v>0.25</v>
      </c>
      <c r="E61" s="639">
        <v>0</v>
      </c>
      <c r="F61" s="636" t="e">
        <f t="shared" si="15"/>
        <v>#DIV/0!</v>
      </c>
      <c r="G61" s="340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t="e">
        <f t="shared" si="17"/>
        <v>#DIV/0!</v>
      </c>
      <c r="C62" s="378">
        <f t="shared" si="16"/>
        <v>0</v>
      </c>
      <c r="D62" s="2229">
        <v>0.25</v>
      </c>
      <c r="E62" s="639">
        <v>0</v>
      </c>
      <c r="F62" s="636" t="e">
        <f t="shared" si="15"/>
        <v>#DIV/0!</v>
      </c>
      <c r="G62" s="340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t="e">
        <f t="shared" si="17"/>
        <v>#DIV/0!</v>
      </c>
      <c r="C63" s="378">
        <f t="shared" si="16"/>
        <v>0</v>
      </c>
      <c r="D63" s="2229">
        <v>0.25</v>
      </c>
      <c r="E63" s="641">
        <f>'数据-汇总表'!E11</f>
        <v>0</v>
      </c>
      <c r="F63" s="636" t="e">
        <f t="shared" si="15"/>
        <v>#DIV/0!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t="e">
        <f t="shared" si="17"/>
        <v>#DIV/0!</v>
      </c>
      <c r="C64" s="378">
        <f t="shared" si="16"/>
        <v>0</v>
      </c>
      <c r="D64" s="2229">
        <v>0.25</v>
      </c>
      <c r="E64" s="641">
        <f>'数据-汇总表'!E12</f>
        <v>0</v>
      </c>
      <c r="F64" s="636" t="e">
        <f t="shared" si="15"/>
        <v>#DIV/0!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t="e">
        <f t="shared" si="17"/>
        <v>#DIV/0!</v>
      </c>
      <c r="C65" s="378">
        <f t="shared" si="16"/>
        <v>0</v>
      </c>
      <c r="D65" s="2229">
        <v>0.25</v>
      </c>
      <c r="E65" s="641">
        <f>'数据-汇总表'!E13</f>
        <v>0</v>
      </c>
      <c r="F65" s="636" t="e">
        <f t="shared" si="15"/>
        <v>#DIV/0!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t="e">
        <f t="shared" si="17"/>
        <v>#DIV/0!</v>
      </c>
      <c r="C66" s="378">
        <f t="shared" si="16"/>
        <v>0</v>
      </c>
      <c r="D66" s="2229">
        <v>0.25</v>
      </c>
      <c r="E66" s="641">
        <f>'数据-汇总表'!E14</f>
        <v>0</v>
      </c>
      <c r="F66" s="636" t="e">
        <f t="shared" si="15"/>
        <v>#DIV/0!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t="e">
        <f t="shared" si="17"/>
        <v>#DIV/0!</v>
      </c>
      <c r="C67" s="378">
        <f t="shared" si="16"/>
        <v>0</v>
      </c>
      <c r="D67" s="2229">
        <v>0.25</v>
      </c>
      <c r="E67" s="641">
        <f>'数据-汇总表'!E15</f>
        <v>0</v>
      </c>
      <c r="F67" s="636" t="e">
        <f t="shared" si="15"/>
        <v>#DIV/0!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28344.22</v>
      </c>
      <c r="F68" s="644"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2648</v>
      </c>
      <c r="B73" s="479" t="str">
        <f>"北京市平均增长率"&amp;TEXT(SUMIF(基准地价!N21:N25,A73,基准地价!P21:P25),"0.00%")</f>
        <v>北京市平均增长率2.27%</v>
      </c>
      <c r="C73" s="894">
        <v>100</v>
      </c>
      <c r="D73" s="730"/>
      <c r="E73" s="730"/>
      <c r="F73" s="730"/>
      <c r="G73" s="730"/>
      <c r="H73" s="730"/>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c r="D82" s="541"/>
      <c r="E82" s="541"/>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7" t="str">
        <f t="shared" si="25"/>
        <v>(含)-</v>
      </c>
      <c r="K118" s="3117" t="str">
        <f t="shared" si="25"/>
        <v>(含)-</v>
      </c>
      <c r="L118" s="3118" t="str">
        <f t="shared" si="25"/>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c r="D119" s="730"/>
      <c r="E119" s="730"/>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1" priority="14" stopIfTrue="1" operator="containsText" text="超过">
      <formula>NOT(ISERROR(SEARCH("超过",F53)))</formula>
    </cfRule>
  </conditionalFormatting>
  <conditionalFormatting sqref="J55">
    <cfRule type="containsText" dxfId="120" priority="13" stopIfTrue="1" operator="containsText" text="超过">
      <formula>NOT(ISERROR(SEARCH("超过",J55)))</formula>
    </cfRule>
  </conditionalFormatting>
  <conditionalFormatting sqref="H55">
    <cfRule type="containsText" dxfId="119" priority="12" stopIfTrue="1" operator="containsText" text="超过">
      <formula>NOT(ISERROR(SEARCH("超过",H55)))</formula>
    </cfRule>
  </conditionalFormatting>
  <conditionalFormatting sqref="F55">
    <cfRule type="containsText" dxfId="118" priority="11" stopIfTrue="1" operator="containsText" text="超过">
      <formula>NOT(ISERROR(SEARCH("超过",F55)))</formula>
    </cfRule>
  </conditionalFormatting>
  <conditionalFormatting sqref="F54 H54 J54">
    <cfRule type="containsText" dxfId="117" priority="10" stopIfTrue="1" operator="containsText" text="超过">
      <formula>NOT(ISERROR(SEARCH("超过",F54)))</formula>
    </cfRule>
  </conditionalFormatting>
  <conditionalFormatting sqref="E53">
    <cfRule type="expression" dxfId="116" priority="9" stopIfTrue="1">
      <formula>$F$53="超过30%"</formula>
    </cfRule>
  </conditionalFormatting>
  <conditionalFormatting sqref="G55">
    <cfRule type="expression" dxfId="115" priority="8" stopIfTrue="1">
      <formula>$H$55="超过30%"</formula>
    </cfRule>
  </conditionalFormatting>
  <conditionalFormatting sqref="E54">
    <cfRule type="expression" dxfId="114" priority="7" stopIfTrue="1">
      <formula>$F$54="超过20%"</formula>
    </cfRule>
  </conditionalFormatting>
  <conditionalFormatting sqref="E55">
    <cfRule type="expression" dxfId="113" priority="6" stopIfTrue="1">
      <formula>$F$55="超过30%"</formula>
    </cfRule>
  </conditionalFormatting>
  <conditionalFormatting sqref="G53">
    <cfRule type="expression" dxfId="112" priority="5" stopIfTrue="1">
      <formula>$H$55+$H$53="超过30%"</formula>
    </cfRule>
  </conditionalFormatting>
  <conditionalFormatting sqref="G54">
    <cfRule type="expression" dxfId="111" priority="4" stopIfTrue="1">
      <formula>$H$54="超过20%"</formula>
    </cfRule>
  </conditionalFormatting>
  <conditionalFormatting sqref="I53">
    <cfRule type="expression" dxfId="110" priority="3" stopIfTrue="1">
      <formula>$J$53="超过30%"</formula>
    </cfRule>
  </conditionalFormatting>
  <conditionalFormatting sqref="I54">
    <cfRule type="expression" dxfId="109" priority="2" stopIfTrue="1">
      <formula>$J$54="超过20%"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0" t="s">
        <v>2763</v>
      </c>
      <c r="S1" s="2960" t="s">
        <v>2764</v>
      </c>
      <c r="T1" s="2960" t="s">
        <v>2785</v>
      </c>
      <c r="U1" s="2960" t="s">
        <v>2786</v>
      </c>
      <c r="V1" s="2960" t="s">
        <v>2787</v>
      </c>
      <c r="W1" s="2189"/>
      <c r="X1" s="2189"/>
      <c r="Y1" s="2189"/>
      <c r="Z1" s="2189"/>
      <c r="AA1" s="2189"/>
      <c r="AB1" s="2189"/>
      <c r="AC1" s="2190"/>
    </row>
    <row r="2" spans="1:39" ht="15.75">
      <c r="A2" s="1405" t="s">
        <v>920</v>
      </c>
      <c r="B2" s="1037" t="e">
        <f>C26</f>
        <v>#DIV/0!</v>
      </c>
      <c r="C2" s="1406" t="s">
        <v>921</v>
      </c>
      <c r="D2" s="1407" t="s">
        <v>922</v>
      </c>
      <c r="E2" s="1408"/>
      <c r="F2" s="1407" t="s">
        <v>924</v>
      </c>
      <c r="G2" s="1651" t="str">
        <f>IF(E2="商业",项目基本情况!B43,IF(E2="办公",项目基本情况!C43,IF(E2="住宅",项目基本情况!D43,项目基本情况!E43)))</f>
        <v>九级</v>
      </c>
      <c r="H2" s="1407" t="s">
        <v>926</v>
      </c>
      <c r="I2" s="1652" t="str">
        <f>IF(E2="商业",项目基本情况!B44,IF(E2="办公",项目基本情况!C44,IF(E2="住宅",项目基本情况!D44,项目基本情况!E44)))</f>
        <v>Ⅸ-顺1</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4.1318999999999999</v>
      </c>
      <c r="T2" s="2961" t="e">
        <f>ROUND($C$5*$C$18*$C$19*$C$20*S2*$C$24,0)</f>
        <v>#DIV/0!</v>
      </c>
      <c r="U2" s="2950"/>
      <c r="V2" s="2961"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0.47</v>
      </c>
      <c r="H3" s="1413" t="s">
        <v>929</v>
      </c>
      <c r="I3" s="1039">
        <v>8</v>
      </c>
      <c r="J3" s="1409" t="s">
        <v>930</v>
      </c>
      <c r="K3" s="1400"/>
      <c r="L3" s="1885" t="s">
        <v>2241</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2.7231999999999998</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2.1429999999999998</v>
      </c>
      <c r="T4" s="2961" t="e">
        <f t="shared" si="0"/>
        <v>#DIV/0!</v>
      </c>
      <c r="U4" s="2950"/>
      <c r="V4" s="2961"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49">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1.6011</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1.204</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11" t="str">
        <f>IF(E2="商业",IF(C8="不临58条商业街","",2),"")</f>
        <v/>
      </c>
      <c r="B7" s="1426" t="s">
        <v>932</v>
      </c>
      <c r="C7" s="1042" t="e">
        <f>IF(C8="不临58条商业街",1,ROUND(1+(1.6*E8+1.2*E9+0.8*E10+0.4*E11)*C9,4))</f>
        <v>#DIV/0!</v>
      </c>
      <c r="D7" s="1427" t="s">
        <v>933</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0.96279999999999999</v>
      </c>
      <c r="T7" s="2961" t="e">
        <f t="shared" si="0"/>
        <v>#DIV/0!</v>
      </c>
      <c r="U7" s="2950"/>
      <c r="V7" s="2961" t="e">
        <f t="shared" si="1"/>
        <v>#DIV/0!</v>
      </c>
      <c r="W7" s="2959" t="s">
        <v>2766</v>
      </c>
      <c r="X7" s="2951" t="str">
        <f>G2</f>
        <v>九级</v>
      </c>
      <c r="Y7" s="2951" t="s">
        <v>2767</v>
      </c>
      <c r="Z7" s="2952">
        <f>G3</f>
        <v>0.47</v>
      </c>
      <c r="AA7" s="2192"/>
      <c r="AB7" s="2192"/>
      <c r="AC7" s="2193"/>
      <c r="AD7" s="2953"/>
      <c r="AE7" s="2953"/>
      <c r="AF7" s="2953"/>
      <c r="AG7" s="2953"/>
      <c r="AH7" s="2953"/>
      <c r="AI7" s="2953"/>
      <c r="AJ7" s="2954"/>
    </row>
    <row r="8" spans="1:39" ht="15">
      <c r="A8" s="3412"/>
      <c r="B8" s="1413" t="s">
        <v>934</v>
      </c>
      <c r="C8" s="1528"/>
      <c r="D8" s="1044" t="s">
        <v>935</v>
      </c>
      <c r="E8" s="1045" t="e">
        <f>ROUND(C11/E7,4)</f>
        <v>#DIV/0!</v>
      </c>
      <c r="F8" s="1431" t="s">
        <v>936</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21" t="s">
        <v>2784</v>
      </c>
      <c r="X8" s="3422"/>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12"/>
      <c r="B9" s="1413" t="s">
        <v>937</v>
      </c>
      <c r="C9" s="1046">
        <f>SUMIF(修正!C59:C119,C8,修正!E59:E119)</f>
        <v>0</v>
      </c>
      <c r="D9" s="1047" t="s">
        <v>938</v>
      </c>
      <c r="E9" s="1047" t="e">
        <f>ROUND(C11/E7,4)</f>
        <v>#DIV/0!</v>
      </c>
      <c r="F9" s="1431" t="s">
        <v>939</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20" t="s">
        <v>2780</v>
      </c>
      <c r="X9" s="2955" t="s">
        <v>2781</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12"/>
      <c r="B10" s="1413" t="s">
        <v>940</v>
      </c>
      <c r="C10" s="1047">
        <f>SUMIF(修正!C59:C119,C8,修正!F59:F119)</f>
        <v>0</v>
      </c>
      <c r="D10" s="1047" t="s">
        <v>941</v>
      </c>
      <c r="E10" s="1047" t="e">
        <f>ROUND(C11/E7,4)</f>
        <v>#DIV/0!</v>
      </c>
      <c r="F10" s="1431" t="s">
        <v>942</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2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12"/>
      <c r="B11" s="1434" t="s">
        <v>943</v>
      </c>
      <c r="C11" s="1048">
        <f>C10/4</f>
        <v>0</v>
      </c>
      <c r="D11" s="1048" t="s">
        <v>944</v>
      </c>
      <c r="E11" s="1048" t="e">
        <f>ROUND(C11/E7,4)</f>
        <v>#DIV/0!</v>
      </c>
      <c r="F11" s="1435" t="s">
        <v>945</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20" t="s">
        <v>2782</v>
      </c>
      <c r="X11" s="1047" t="s">
        <v>2767</v>
      </c>
      <c r="Y11" s="1652">
        <f>$G$3</f>
        <v>0.47</v>
      </c>
      <c r="Z11" s="1652">
        <f t="shared" ref="Z11:AJ11" si="3">$G$3</f>
        <v>0.47</v>
      </c>
      <c r="AA11" s="1652">
        <f t="shared" si="3"/>
        <v>0.47</v>
      </c>
      <c r="AB11" s="1652">
        <f t="shared" si="3"/>
        <v>0.47</v>
      </c>
      <c r="AC11" s="1652">
        <f t="shared" si="3"/>
        <v>0.47</v>
      </c>
      <c r="AD11" s="1652">
        <f t="shared" si="3"/>
        <v>0.47</v>
      </c>
      <c r="AE11" s="1652">
        <f t="shared" si="3"/>
        <v>0.47</v>
      </c>
      <c r="AF11" s="1652">
        <f t="shared" si="3"/>
        <v>0.47</v>
      </c>
      <c r="AG11" s="1652">
        <f t="shared" si="3"/>
        <v>0.47</v>
      </c>
      <c r="AH11" s="1652">
        <f t="shared" si="3"/>
        <v>0.47</v>
      </c>
      <c r="AI11" s="1652">
        <f t="shared" si="3"/>
        <v>0.47</v>
      </c>
      <c r="AJ11" s="1652">
        <f t="shared" si="3"/>
        <v>0.47</v>
      </c>
    </row>
    <row r="12" spans="1:39" ht="25.5" thickBot="1">
      <c r="A12" s="3411" t="s">
        <v>1872</v>
      </c>
      <c r="B12" s="1438" t="s">
        <v>946</v>
      </c>
      <c r="C12" s="1042">
        <f>ROUND(C15*D15*E15*F15*G15*H15*I15*J15,4)</f>
        <v>1</v>
      </c>
      <c r="D12" s="1439" t="s">
        <v>947</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20"/>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13"/>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61">
        <v>12</v>
      </c>
      <c r="S13" s="2950"/>
      <c r="T13" s="2961" t="e">
        <f t="shared" si="0"/>
        <v>#DIV/0!</v>
      </c>
      <c r="U13" s="2950"/>
      <c r="V13" s="2961" t="e">
        <f t="shared" si="1"/>
        <v>#DIV/0!</v>
      </c>
      <c r="W13" s="3420"/>
      <c r="X13" s="2958"/>
      <c r="Y13" s="2957">
        <f>(-0.163*(Y12^2)-0.59*Y12+7617)*(10^(-4))/Y11</f>
        <v>1.6206382978723406</v>
      </c>
      <c r="Z13" s="2957">
        <f t="shared" ref="Z13:AJ13" si="5">(-0.163*(Z12^2)-0.59*Z12+7617)*(10^(-4))/Z11</f>
        <v>1.6206382978723406</v>
      </c>
      <c r="AA13" s="2957">
        <f t="shared" si="5"/>
        <v>1.6206382978723406</v>
      </c>
      <c r="AB13" s="2957">
        <f t="shared" si="5"/>
        <v>1.6206382978723406</v>
      </c>
      <c r="AC13" s="2957">
        <f t="shared" si="5"/>
        <v>1.6206382978723406</v>
      </c>
      <c r="AD13" s="2957">
        <f t="shared" si="5"/>
        <v>1.6206382978723406</v>
      </c>
      <c r="AE13" s="2957">
        <f t="shared" si="5"/>
        <v>1.6206382978723406</v>
      </c>
      <c r="AF13" s="2957">
        <f t="shared" si="5"/>
        <v>1.6206382978723406</v>
      </c>
      <c r="AG13" s="2957">
        <f t="shared" si="5"/>
        <v>1.6206382978723406</v>
      </c>
      <c r="AH13" s="2957">
        <f t="shared" si="5"/>
        <v>1.6206382978723406</v>
      </c>
      <c r="AI13" s="2957">
        <f t="shared" si="5"/>
        <v>1.6206382978723406</v>
      </c>
      <c r="AJ13" s="2957">
        <f t="shared" si="5"/>
        <v>1.6206382978723406</v>
      </c>
    </row>
    <row r="14" spans="1:39" ht="12.75" customHeight="1" thickBot="1">
      <c r="A14" s="3413"/>
      <c r="B14" s="1450"/>
      <c r="C14" s="1451"/>
      <c r="D14" s="1452"/>
      <c r="E14" s="1452"/>
      <c r="F14" s="1453"/>
      <c r="G14" s="1454" t="s">
        <v>949</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14"/>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1">
        <v>14</v>
      </c>
      <c r="S15" s="2950"/>
      <c r="T15" s="2961" t="e">
        <f t="shared" si="0"/>
        <v>#DIV/0!</v>
      </c>
      <c r="U15" s="2950"/>
      <c r="V15" s="2961" t="e">
        <f t="shared" si="1"/>
        <v>#DIV/0!</v>
      </c>
      <c r="W15" s="2189"/>
      <c r="X15" s="2189"/>
      <c r="Y15" s="2189"/>
      <c r="Z15" s="2189"/>
      <c r="AA15" s="2189"/>
      <c r="AB15" s="2189"/>
      <c r="AC15" s="2190"/>
    </row>
    <row r="16" spans="1:39" ht="24">
      <c r="A16" s="3411"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12"/>
      <c r="B17" s="1464" t="s">
        <v>953</v>
      </c>
      <c r="C17" s="1054">
        <f>SUMPRODUCT((修正!A2:A5=E2)*(修正!B1:M1=G2)*(修正!B2:M5))</f>
        <v>0</v>
      </c>
      <c r="D17" s="1466" t="s">
        <v>954</v>
      </c>
      <c r="E17" s="1467" t="str">
        <f>IF(OR(G2="八级",G2="九级",G2="十级",G2="十一级",G2="十二级"),"五通一平","七通一平")</f>
        <v>五通一平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43250</v>
      </c>
      <c r="H19" s="1474" t="s">
        <v>2930</v>
      </c>
      <c r="I19" s="2808" t="str">
        <f>IF(H19="季度增幅（自定义）",SUMIF(N21:N24,E2,O21:O24),"")</f>
        <v/>
      </c>
      <c r="J19" s="1470"/>
      <c r="K19" s="1480"/>
      <c r="L19" s="3064" t="s">
        <v>2842</v>
      </c>
      <c r="M19" s="3065">
        <f>ROUND(SUMIF(地价!B2:F2,E2,地价!B22:F22),0)</f>
        <v>0</v>
      </c>
      <c r="N19" s="2810" t="s">
        <v>1677</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20">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6" t="s">
        <v>2843</v>
      </c>
      <c r="M20" s="3067">
        <f>ROUND(SUMPRODUCT((地价!A4:A22=YEAR(G19)&amp;"-"&amp;ROUNDUP(MONTH(G19)/3,0))*(地价!B2:F2=E2)*(地价!B4:F22)),0)</f>
        <v>0</v>
      </c>
      <c r="N20" s="2813" t="s">
        <v>2646</v>
      </c>
      <c r="O20" s="2811" t="s">
        <v>2645</v>
      </c>
      <c r="P20" s="2812" t="s">
        <v>2651</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1838</v>
      </c>
      <c r="B21" s="1479" t="s">
        <v>2762</v>
      </c>
      <c r="C21" s="1157">
        <f>IF(B21="容积率修正",IF(G3&lt;=10,D22,J22),C23)</f>
        <v>0.95220000000000005</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f>IF(E22=G22,F22,IF(G3&lt;=10,ROUND(F22+(H22-F22)*(G3-E22)/(G22-E22),4),"——"))</f>
        <v>1.4</v>
      </c>
      <c r="E22" s="1038">
        <f>ROUNDDOWN(G3,1)</f>
        <v>0.4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059" t="s">
        <v>978</v>
      </c>
      <c r="J22" s="1059" t="str">
        <f>IF(G3&gt;10,D113,"——")</f>
        <v>——</v>
      </c>
      <c r="K22" s="1480"/>
      <c r="L22" s="1480"/>
      <c r="M22" s="1480"/>
      <c r="N22" s="1477" t="s">
        <v>979</v>
      </c>
      <c r="O22" s="1541"/>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0.95220000000000005</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2649</v>
      </c>
      <c r="O25" s="2195"/>
      <c r="P25" s="1540">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7" t="s">
        <v>2956</v>
      </c>
      <c r="B33" s="1523" t="s">
        <v>1000</v>
      </c>
      <c r="C33" s="1062" t="e">
        <f>ROUND(D5*C19*C20*C24*F33,0)</f>
        <v>#DIV/0!</v>
      </c>
      <c r="D33" s="1536"/>
      <c r="E33" s="1047" t="e">
        <f>ROUND(C33*D33/10000,0)</f>
        <v>#DIV/0!</v>
      </c>
      <c r="F33" s="1047">
        <f>SUMIF(修正!A45:A56,G2,修正!B45:B56)</f>
        <v>0.6</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8"/>
      <c r="B34" s="1444" t="s">
        <v>1001</v>
      </c>
      <c r="C34" s="1062" t="e">
        <f>ROUND(D5*C19*C20*C24*F34,0)</f>
        <v>#DIV/0!</v>
      </c>
      <c r="D34" s="1536"/>
      <c r="E34" s="1047" t="e">
        <f t="shared" ref="E34:E39" si="7">ROUND(C34*D34/10000,0)</f>
        <v>#DIV/0!</v>
      </c>
      <c r="F34" s="1047">
        <f>SUMIF(修正!A45:A56,G2,修正!C45:C56)</f>
        <v>0.3</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8"/>
      <c r="B35" s="1444" t="s">
        <v>1002</v>
      </c>
      <c r="C35" s="1062" t="e">
        <f>ROUND(D5*C19*C20*C24*F35,0)</f>
        <v>#DIV/0!</v>
      </c>
      <c r="D35" s="1536"/>
      <c r="E35" s="1047" t="e">
        <f t="shared" si="7"/>
        <v>#DIV/0!</v>
      </c>
      <c r="F35" s="1047">
        <f>SUMIF(修正!A45:A56,G2,修正!D45:D56)</f>
        <v>0.2</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9"/>
      <c r="B36" s="1444" t="s">
        <v>1003</v>
      </c>
      <c r="C36" s="1062" t="e">
        <f>ROUND(D5*C19*C20*C24*F36,0)</f>
        <v>#DIV/0!</v>
      </c>
      <c r="D36" s="1536"/>
      <c r="E36" s="1047" t="e">
        <f t="shared" si="7"/>
        <v>#DIV/0!</v>
      </c>
      <c r="F36" s="1047">
        <f>SUMIF(修正!A45:A56,G2,修正!E45:E56)</f>
        <v>0.2</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0.2</v>
      </c>
      <c r="G37" s="1047" t="e">
        <f t="shared" si="6"/>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0.2</v>
      </c>
      <c r="G38" s="1047" t="e">
        <f t="shared" si="6"/>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0.15</v>
      </c>
      <c r="G39" s="1050" t="e">
        <f t="shared" si="6"/>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2251</v>
      </c>
      <c r="G46" s="2455" t="s">
        <v>1015</v>
      </c>
      <c r="H46" s="2438" t="s">
        <v>2419</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6" t="s">
        <v>1021</v>
      </c>
      <c r="B47" s="2435">
        <f>估价对象房地状况!C16</f>
        <v>0</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6" t="s">
        <v>1022</v>
      </c>
      <c r="B48" s="2432">
        <f>估价对象房地状况!C18</f>
        <v>0</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22" t="s">
        <v>2932</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21" t="s">
        <v>2931</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f>估价对象房地状况!C21</f>
        <v>0</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f>估价对象房地状况!C22</f>
        <v>0</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65" t="s">
        <v>1029</v>
      </c>
      <c r="B55" s="2436">
        <f>估价对象房地状况!C20</f>
        <v>0</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2252</v>
      </c>
      <c r="G57" s="2455" t="s">
        <v>1015</v>
      </c>
      <c r="H57" s="2438" t="s">
        <v>2419</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6" t="s">
        <v>1022</v>
      </c>
      <c r="B59" s="2432">
        <f>估价对象房地状况!C18</f>
        <v>0</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22" t="s">
        <v>2933</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21" t="s">
        <v>2931</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f>估价对象房地状况!C21</f>
        <v>0</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f>估价对象房地状况!C22</f>
        <v>0</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65" t="s">
        <v>1029</v>
      </c>
      <c r="B66" s="2437">
        <f>估价对象房地状况!C20</f>
        <v>0</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2253</v>
      </c>
      <c r="G68" s="2455" t="s">
        <v>1015</v>
      </c>
      <c r="H68" s="2438" t="s">
        <v>2419</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35">
        <f>估价对象房地状况!C15</f>
        <v>0</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6" t="s">
        <v>1034</v>
      </c>
      <c r="B70" s="2432">
        <f>估价对象房地状况!C18</f>
        <v>0</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f>估价对象房地状况!C21</f>
        <v>0</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f>估价对象房地状况!C22</f>
        <v>0</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21" t="s">
        <v>2931</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1029</v>
      </c>
      <c r="B76" s="2435">
        <f>估价对象房地状况!C20</f>
        <v>0</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2254</v>
      </c>
      <c r="G79" s="2455" t="s">
        <v>1015</v>
      </c>
      <c r="H79" s="2438" t="s">
        <v>2419</v>
      </c>
      <c r="I79" s="2455" t="s">
        <v>1013</v>
      </c>
      <c r="J79" s="2458" t="s">
        <v>1016</v>
      </c>
      <c r="K79" s="2458" t="s">
        <v>1017</v>
      </c>
      <c r="L79" s="2458" t="s">
        <v>1018</v>
      </c>
      <c r="M79" s="2458" t="s">
        <v>1019</v>
      </c>
      <c r="N79" s="2458" t="s">
        <v>1020</v>
      </c>
      <c r="AC79" s="1404"/>
      <c r="AD79" s="1403"/>
      <c r="AJ79" s="1402"/>
      <c r="AN79" s="1403"/>
    </row>
    <row r="80" spans="1:40" ht="24">
      <c r="A80" s="1066" t="s">
        <v>1038</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14.25">
      <c r="A81" s="1066" t="s">
        <v>1034</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21" t="s">
        <v>2931</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15" thickBot="1">
      <c r="A87" s="2465" t="s">
        <v>1039</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15" t="s">
        <v>1634</v>
      </c>
      <c r="B90" s="3415"/>
      <c r="C90" s="3415"/>
      <c r="D90" s="3415"/>
      <c r="E90" s="3415"/>
      <c r="F90" s="3415"/>
      <c r="G90" s="3415"/>
      <c r="H90" s="3415"/>
      <c r="I90" s="3415"/>
      <c r="J90" s="3415"/>
      <c r="K90" s="2474"/>
      <c r="L90" s="2474"/>
      <c r="M90" s="2474"/>
      <c r="N90" s="2474"/>
    </row>
    <row r="91" spans="1:40">
      <c r="A91" s="3416" t="s">
        <v>1444</v>
      </c>
      <c r="B91" s="3416" t="s">
        <v>1635</v>
      </c>
      <c r="C91" s="1139" t="s">
        <v>1636</v>
      </c>
      <c r="D91" s="1140"/>
      <c r="E91" s="1140"/>
      <c r="F91" s="1140"/>
      <c r="G91" s="1140"/>
      <c r="H91" s="1140"/>
      <c r="I91" s="1140"/>
      <c r="J91" s="1141"/>
      <c r="K91" s="1133"/>
      <c r="L91" s="1133"/>
      <c r="M91" s="1133"/>
      <c r="N91" s="1133"/>
    </row>
    <row r="92" spans="1:40">
      <c r="A92" s="3416"/>
      <c r="B92" s="3416"/>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2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3" t="s">
        <v>1638</v>
      </c>
      <c r="B101" s="1146" t="s">
        <v>906</v>
      </c>
      <c r="C101" s="1147">
        <f>$G$3</f>
        <v>0.47</v>
      </c>
      <c r="D101" s="1147">
        <f t="shared" ref="D101:N101" si="31">$G$3</f>
        <v>0.47</v>
      </c>
      <c r="E101" s="1147">
        <f t="shared" si="31"/>
        <v>0.47</v>
      </c>
      <c r="F101" s="1147">
        <f t="shared" si="31"/>
        <v>0.47</v>
      </c>
      <c r="G101" s="1147">
        <f t="shared" si="31"/>
        <v>0.47</v>
      </c>
      <c r="H101" s="1147">
        <f t="shared" si="31"/>
        <v>0.47</v>
      </c>
      <c r="I101" s="1147">
        <f t="shared" si="31"/>
        <v>0.47</v>
      </c>
      <c r="J101" s="1147">
        <f t="shared" si="31"/>
        <v>0.47</v>
      </c>
      <c r="K101" s="1147">
        <f t="shared" si="31"/>
        <v>0.47</v>
      </c>
      <c r="L101" s="1147">
        <f t="shared" si="31"/>
        <v>0.47</v>
      </c>
      <c r="M101" s="1147">
        <f t="shared" si="31"/>
        <v>0.47</v>
      </c>
      <c r="N101" s="1147">
        <f t="shared" si="31"/>
        <v>0.47</v>
      </c>
    </row>
    <row r="102" spans="1:14">
      <c r="A102" s="3424"/>
      <c r="B102" s="1142">
        <v>1</v>
      </c>
      <c r="C102" s="1143">
        <f>1.9362/C101</f>
        <v>4.1195744680851067</v>
      </c>
      <c r="D102" s="1143">
        <f>1.9362/D101</f>
        <v>4.1195744680851067</v>
      </c>
      <c r="E102" s="1143">
        <f>1.8629/E101</f>
        <v>3.9636170212765958</v>
      </c>
      <c r="F102" s="1143">
        <f>1.8629/F101</f>
        <v>3.9636170212765958</v>
      </c>
      <c r="G102" s="1143">
        <f>1.8629/G101</f>
        <v>3.9636170212765958</v>
      </c>
      <c r="H102" s="1143">
        <f>1.8629/H101</f>
        <v>3.9636170212765958</v>
      </c>
      <c r="I102" s="1143">
        <f>1.8629/I101</f>
        <v>3.9636170212765958</v>
      </c>
      <c r="J102" s="1143">
        <f>1.942/J101</f>
        <v>4.1319148936170214</v>
      </c>
      <c r="K102" s="1143">
        <f>1.942/K101</f>
        <v>4.1319148936170214</v>
      </c>
      <c r="L102" s="1143">
        <f>1.942/L101</f>
        <v>4.1319148936170214</v>
      </c>
      <c r="M102" s="1143">
        <f>1.942/M101</f>
        <v>4.1319148936170214</v>
      </c>
      <c r="N102" s="1143">
        <f>1.942/N101</f>
        <v>4.1319148936170214</v>
      </c>
    </row>
    <row r="103" spans="1:14">
      <c r="A103" s="3424"/>
      <c r="B103" s="1142">
        <v>2</v>
      </c>
      <c r="C103" s="1143">
        <f>1.4198/C101</f>
        <v>3.0208510638297872</v>
      </c>
      <c r="D103" s="1143">
        <f>1.4198/D101</f>
        <v>3.0208510638297872</v>
      </c>
      <c r="E103" s="1143">
        <f>1.3372/E101</f>
        <v>2.8451063829787233</v>
      </c>
      <c r="F103" s="1143">
        <f>1.3372/F101</f>
        <v>2.8451063829787233</v>
      </c>
      <c r="G103" s="1143">
        <f>1.3372/G101</f>
        <v>2.8451063829787233</v>
      </c>
      <c r="H103" s="1143">
        <f>1.3372/H101</f>
        <v>2.8451063829787233</v>
      </c>
      <c r="I103" s="1143">
        <f>1.3372/I101</f>
        <v>2.8451063829787233</v>
      </c>
      <c r="J103" s="1143">
        <f>1.2799/J101</f>
        <v>2.7231914893617022</v>
      </c>
      <c r="K103" s="1143">
        <f>1.2799/K101</f>
        <v>2.7231914893617022</v>
      </c>
      <c r="L103" s="1143">
        <f>1.2799/L101</f>
        <v>2.7231914893617022</v>
      </c>
      <c r="M103" s="1143">
        <f>1.2799/M101</f>
        <v>2.7231914893617022</v>
      </c>
      <c r="N103" s="1143">
        <f>1.2799/N101</f>
        <v>2.7231914893617022</v>
      </c>
    </row>
    <row r="104" spans="1:14">
      <c r="A104" s="3424"/>
      <c r="B104" s="1142">
        <v>3</v>
      </c>
      <c r="C104" s="1143">
        <f>1.1594/C101</f>
        <v>2.4668085106382982</v>
      </c>
      <c r="D104" s="1143">
        <f>1.1594/D101</f>
        <v>2.4668085106382982</v>
      </c>
      <c r="E104" s="1143">
        <f>1.0788/E101</f>
        <v>2.2953191489361702</v>
      </c>
      <c r="F104" s="1143">
        <f>1.0788/F101</f>
        <v>2.2953191489361702</v>
      </c>
      <c r="G104" s="1143">
        <f>1.0788/G101</f>
        <v>2.2953191489361702</v>
      </c>
      <c r="H104" s="1143">
        <f>1.0788/H101</f>
        <v>2.2953191489361702</v>
      </c>
      <c r="I104" s="1143">
        <f>1.0788/I101</f>
        <v>2.2953191489361702</v>
      </c>
      <c r="J104" s="1143">
        <f>1.0072/J101</f>
        <v>2.1429787234042554</v>
      </c>
      <c r="K104" s="1143">
        <f>1.0072/K101</f>
        <v>2.1429787234042554</v>
      </c>
      <c r="L104" s="1143">
        <f>1.0072/L101</f>
        <v>2.1429787234042554</v>
      </c>
      <c r="M104" s="1143">
        <f>1.0072/M101</f>
        <v>2.1429787234042554</v>
      </c>
      <c r="N104" s="1143">
        <f>1.0072/N101</f>
        <v>2.1429787234042554</v>
      </c>
    </row>
    <row r="105" spans="1:14">
      <c r="A105" s="3424"/>
      <c r="B105" s="1142">
        <v>4</v>
      </c>
      <c r="C105" s="1143">
        <f>0.9622/C101</f>
        <v>2.0472340425531916</v>
      </c>
      <c r="D105" s="1143">
        <f>0.9622/D101</f>
        <v>2.0472340425531916</v>
      </c>
      <c r="E105" s="1143">
        <f>0.8656/E101</f>
        <v>1.8417021276595746</v>
      </c>
      <c r="F105" s="1143">
        <f>0.8656/F101</f>
        <v>1.8417021276595746</v>
      </c>
      <c r="G105" s="1143">
        <f>0.8656/G101</f>
        <v>1.8417021276595746</v>
      </c>
      <c r="H105" s="1143">
        <f>0.8656/H101</f>
        <v>1.8417021276595746</v>
      </c>
      <c r="I105" s="1143">
        <f>0.8656/I101</f>
        <v>1.8417021276595746</v>
      </c>
      <c r="J105" s="1143">
        <f>0.7525/J101</f>
        <v>1.6010638297872339</v>
      </c>
      <c r="K105" s="1143">
        <f>0.7525/K101</f>
        <v>1.6010638297872339</v>
      </c>
      <c r="L105" s="1143">
        <f>0.7525/L101</f>
        <v>1.6010638297872339</v>
      </c>
      <c r="M105" s="1143">
        <f>0.7525/M101</f>
        <v>1.6010638297872339</v>
      </c>
      <c r="N105" s="1143">
        <f>0.7525/N101</f>
        <v>1.6010638297872339</v>
      </c>
    </row>
    <row r="106" spans="1:14">
      <c r="A106" s="3424"/>
      <c r="B106" s="1142">
        <v>5</v>
      </c>
      <c r="C106" s="1143">
        <f>0.8417/C101</f>
        <v>1.7908510638297874</v>
      </c>
      <c r="D106" s="1143">
        <f>0.8417/D101</f>
        <v>1.7908510638297874</v>
      </c>
      <c r="E106" s="1143">
        <f>0.7371/E101</f>
        <v>1.5682978723404255</v>
      </c>
      <c r="F106" s="1143">
        <f>0.7371/F101</f>
        <v>1.5682978723404255</v>
      </c>
      <c r="G106" s="1143">
        <f>0.7371/G101</f>
        <v>1.5682978723404255</v>
      </c>
      <c r="H106" s="1143">
        <f>0.7371/H101</f>
        <v>1.5682978723404255</v>
      </c>
      <c r="I106" s="1143">
        <f>0.7371/I101</f>
        <v>1.5682978723404255</v>
      </c>
      <c r="J106" s="1143">
        <f>0.5659/J101</f>
        <v>1.2040425531914893</v>
      </c>
      <c r="K106" s="1143">
        <f>0.5659/K101</f>
        <v>1.2040425531914893</v>
      </c>
      <c r="L106" s="1143">
        <f>0.5659/L101</f>
        <v>1.2040425531914893</v>
      </c>
      <c r="M106" s="1143">
        <f>0.5659/M101</f>
        <v>1.2040425531914893</v>
      </c>
      <c r="N106" s="1143">
        <f>0.5659/N101</f>
        <v>1.2040425531914893</v>
      </c>
    </row>
    <row r="107" spans="1:14">
      <c r="A107" s="3424"/>
      <c r="B107" s="1142">
        <v>6</v>
      </c>
      <c r="C107" s="1143">
        <f>0.7608/C101</f>
        <v>1.6187234042553194</v>
      </c>
      <c r="D107" s="1143">
        <f>0.7608/D101</f>
        <v>1.6187234042553194</v>
      </c>
      <c r="E107" s="1143">
        <f>0.6482/E101</f>
        <v>1.3791489361702129</v>
      </c>
      <c r="F107" s="1143">
        <f>0.6482/F101</f>
        <v>1.3791489361702129</v>
      </c>
      <c r="G107" s="1143">
        <f>0.6482/G101</f>
        <v>1.3791489361702129</v>
      </c>
      <c r="H107" s="1143">
        <f>0.6482/H101</f>
        <v>1.3791489361702129</v>
      </c>
      <c r="I107" s="1143">
        <f>0.6482/I101</f>
        <v>1.3791489361702129</v>
      </c>
      <c r="J107" s="1143">
        <f>0.4525/J101</f>
        <v>0.9627659574468086</v>
      </c>
      <c r="K107" s="1143">
        <f>0.4525/K101</f>
        <v>0.9627659574468086</v>
      </c>
      <c r="L107" s="1143">
        <f>0.4525/L101</f>
        <v>0.9627659574468086</v>
      </c>
      <c r="M107" s="1143">
        <f>0.4525/M101</f>
        <v>0.9627659574468086</v>
      </c>
      <c r="N107" s="1143">
        <f>0.4525/N101</f>
        <v>0.9627659574468086</v>
      </c>
    </row>
    <row r="108" spans="1:14">
      <c r="A108" s="3424"/>
      <c r="B108" s="342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5"/>
      <c r="B109" s="3427"/>
      <c r="C109" s="1145">
        <f>(-0.163*(C108^2)-0.59*C108+7617)*(10^(-4))/C101</f>
        <v>1.6174144680851064</v>
      </c>
      <c r="D109" s="1145">
        <f>(-0.163*(D108^2)-0.59*D108+7617)*(10^(-4))/D101</f>
        <v>1.6174144680851064</v>
      </c>
      <c r="E109" s="1145">
        <f>(-0.161*(E108^2)-7.509*E108+6533)*(10^(-4))/E101</f>
        <v>1.3750263829787235</v>
      </c>
      <c r="F109" s="1145">
        <f>(-0.161*(F108^2)-7.509*F108+6533)*(10^(-4))/F101</f>
        <v>1.3750263829787235</v>
      </c>
      <c r="G109" s="1145">
        <f>(-0.161*(G108^2)-7.509*G108+6533)*(10^(-4))/G101</f>
        <v>1.3750263829787235</v>
      </c>
      <c r="H109" s="1145">
        <f>(-0.161*(H108^2)-7.509*H108+6533)*(10^(-4))/H101</f>
        <v>1.3750263829787235</v>
      </c>
      <c r="I109" s="1145">
        <f>(-0.161*(I108^2)-7.509*I108+6533)*(10^(-4))/I101</f>
        <v>1.3750263829787235</v>
      </c>
      <c r="J109" s="1145">
        <f>(-0.214*(J108^2)-21.991*J108+4665)*(10^(-4))/J101</f>
        <v>0.95220765957446818</v>
      </c>
      <c r="K109" s="1145">
        <f>(-0.214*(K108^2)-21.991*K108+4665)*(10^(-4))/K101</f>
        <v>0.95220765957446818</v>
      </c>
      <c r="L109" s="1145">
        <f>(-0.214*(L108^2)-21.991*L108+4665)*(10^(-4))/L101</f>
        <v>0.95220765957446818</v>
      </c>
      <c r="M109" s="1145">
        <f>(-0.214*(M108^2)-21.991*M108+4665)*(10^(-4))/M101</f>
        <v>0.95220765957446818</v>
      </c>
      <c r="N109" s="1145">
        <f>(-0.214*(N108^2)-21.991*N108+4665)*(10^(-4))/N101</f>
        <v>0.95220765957446818</v>
      </c>
    </row>
    <row r="110" spans="1:14">
      <c r="A110" s="3410" t="s">
        <v>1640</v>
      </c>
      <c r="B110" s="3410"/>
      <c r="C110" s="3410"/>
      <c r="D110" s="3410"/>
      <c r="E110" s="3410"/>
      <c r="F110" s="3410"/>
      <c r="G110" s="3410"/>
      <c r="H110" s="3410"/>
      <c r="I110" s="3410"/>
      <c r="J110" s="3410"/>
      <c r="K110" s="2472"/>
      <c r="L110" s="2472"/>
      <c r="M110" s="2472"/>
      <c r="N110" s="2472"/>
    </row>
    <row r="112" spans="1:14" ht="12.75" thickBot="1"/>
    <row r="113" spans="1:13" ht="25.5" thickBot="1">
      <c r="A113" s="1015" t="s">
        <v>896</v>
      </c>
      <c r="B113" s="2475">
        <f>G3</f>
        <v>0.47</v>
      </c>
      <c r="C113" s="1016" t="s">
        <v>897</v>
      </c>
      <c r="D113" s="1017">
        <f>SUMPRODUCT((A115:A118=F113)*(B114:M114=H113)*B115:M118)</f>
        <v>0</v>
      </c>
      <c r="E113" s="1018" t="s">
        <v>898</v>
      </c>
      <c r="F113" s="1019">
        <f>E2</f>
        <v>0</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0.92910000000000004</v>
      </c>
      <c r="C115" s="1029">
        <f>B115</f>
        <v>0.92910000000000004</v>
      </c>
      <c r="D115" s="1029">
        <f>ROUND(0.8331-0.0109*B113,4)</f>
        <v>0.82799999999999996</v>
      </c>
      <c r="E115" s="1029">
        <f>D115</f>
        <v>0.82799999999999996</v>
      </c>
      <c r="F115" s="1029">
        <f>E115</f>
        <v>0.82799999999999996</v>
      </c>
      <c r="G115" s="1029">
        <f>F115</f>
        <v>0.82799999999999996</v>
      </c>
      <c r="H115" s="1029">
        <f>G115</f>
        <v>0.82799999999999996</v>
      </c>
      <c r="I115" s="1029">
        <f>ROUND(0.689-0.0155*B113,4)</f>
        <v>0.68169999999999997</v>
      </c>
      <c r="J115" s="1029">
        <f t="shared" ref="J115:M118" si="33">I115</f>
        <v>0.68169999999999997</v>
      </c>
      <c r="K115" s="1029">
        <f t="shared" si="33"/>
        <v>0.68169999999999997</v>
      </c>
      <c r="L115" s="1029">
        <f t="shared" si="33"/>
        <v>0.68169999999999997</v>
      </c>
      <c r="M115" s="1030">
        <f t="shared" si="33"/>
        <v>0.68169999999999997</v>
      </c>
    </row>
    <row r="116" spans="1:13" ht="12.75">
      <c r="A116" s="1028" t="s">
        <v>901</v>
      </c>
      <c r="B116" s="1029">
        <f>ROUND(0.949-0.012*B113,4)</f>
        <v>0.94340000000000002</v>
      </c>
      <c r="C116" s="1029">
        <f>B116</f>
        <v>0.94340000000000002</v>
      </c>
      <c r="D116" s="1029">
        <f>ROUND(0.8567-0.013*B113,4)</f>
        <v>0.85060000000000002</v>
      </c>
      <c r="E116" s="1029">
        <f t="shared" ref="E116:H117" si="34">D116</f>
        <v>0.85060000000000002</v>
      </c>
      <c r="F116" s="1029">
        <f t="shared" si="34"/>
        <v>0.85060000000000002</v>
      </c>
      <c r="G116" s="1029">
        <f t="shared" si="34"/>
        <v>0.85060000000000002</v>
      </c>
      <c r="H116" s="1029">
        <f t="shared" si="34"/>
        <v>0.85060000000000002</v>
      </c>
      <c r="I116" s="1029">
        <f>ROUND(0.7694-0.014*B113,4)</f>
        <v>0.76280000000000003</v>
      </c>
      <c r="J116" s="1029">
        <f t="shared" si="33"/>
        <v>0.76280000000000003</v>
      </c>
      <c r="K116" s="1029">
        <f t="shared" si="33"/>
        <v>0.76280000000000003</v>
      </c>
      <c r="L116" s="1029">
        <f t="shared" si="33"/>
        <v>0.76280000000000003</v>
      </c>
      <c r="M116" s="1030">
        <f t="shared" si="33"/>
        <v>0.76280000000000003</v>
      </c>
    </row>
    <row r="117" spans="1:13" ht="12.75">
      <c r="A117" s="1031" t="s">
        <v>902</v>
      </c>
      <c r="B117" s="1029">
        <f>ROUND(0.8808-0.006*B113,4)</f>
        <v>0.878</v>
      </c>
      <c r="C117" s="1029">
        <f>B117</f>
        <v>0.878</v>
      </c>
      <c r="D117" s="1029">
        <f>ROUND(0.8748-0.008*B113,4)</f>
        <v>0.871</v>
      </c>
      <c r="E117" s="1029">
        <f t="shared" si="34"/>
        <v>0.871</v>
      </c>
      <c r="F117" s="1029">
        <f t="shared" si="34"/>
        <v>0.871</v>
      </c>
      <c r="G117" s="1029">
        <f t="shared" si="34"/>
        <v>0.871</v>
      </c>
      <c r="H117" s="1029">
        <f t="shared" si="34"/>
        <v>0.871</v>
      </c>
      <c r="I117" s="1029">
        <f>ROUND(0.7412-0.0095*B113,4)</f>
        <v>0.73670000000000002</v>
      </c>
      <c r="J117" s="1029">
        <f t="shared" si="33"/>
        <v>0.73670000000000002</v>
      </c>
      <c r="K117" s="1029">
        <f t="shared" si="33"/>
        <v>0.73670000000000002</v>
      </c>
      <c r="L117" s="1029">
        <f t="shared" si="33"/>
        <v>0.73670000000000002</v>
      </c>
      <c r="M117" s="1030">
        <f t="shared" si="33"/>
        <v>0.73670000000000002</v>
      </c>
    </row>
    <row r="118" spans="1:13" ht="13.5" thickBot="1">
      <c r="A118" s="1032" t="s">
        <v>903</v>
      </c>
      <c r="B118" s="1033">
        <f>ROUND(0.7275-0.01*B113,4)</f>
        <v>0.7228</v>
      </c>
      <c r="C118" s="1033">
        <f>B118</f>
        <v>0.7228</v>
      </c>
      <c r="D118" s="1033">
        <f>ROUND(0.7043-0.012*B113,4)</f>
        <v>0.69869999999999999</v>
      </c>
      <c r="E118" s="1033">
        <f>D118</f>
        <v>0.69869999999999999</v>
      </c>
      <c r="F118" s="1033">
        <f>E118</f>
        <v>0.69869999999999999</v>
      </c>
      <c r="G118" s="1033">
        <f>ROUND(0.6299-0.0122*B113,4)</f>
        <v>0.62419999999999998</v>
      </c>
      <c r="H118" s="1033">
        <f>G118</f>
        <v>0.62419999999999998</v>
      </c>
      <c r="I118" s="1033">
        <f>ROUND(0.5667-0.0136*B113,4)</f>
        <v>0.56030000000000002</v>
      </c>
      <c r="J118" s="1033">
        <f t="shared" si="33"/>
        <v>0.56030000000000002</v>
      </c>
      <c r="K118" s="1033">
        <f t="shared" si="33"/>
        <v>0.56030000000000002</v>
      </c>
      <c r="L118" s="1033">
        <f t="shared" si="33"/>
        <v>0.56030000000000002</v>
      </c>
      <c r="M118" s="1034">
        <f t="shared" si="33"/>
        <v>0.56030000000000002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16" t="s">
        <v>1008</v>
      </c>
      <c r="B18" s="1153" t="s">
        <v>1447</v>
      </c>
      <c r="C18" s="1130" t="s">
        <v>1448</v>
      </c>
      <c r="D18" s="1131"/>
      <c r="E18" s="1153">
        <v>1</v>
      </c>
      <c r="F18" s="1132" t="s">
        <v>1449</v>
      </c>
      <c r="G18" s="1133"/>
      <c r="H18" s="1104"/>
      <c r="I18" s="1104"/>
    </row>
    <row r="19" spans="1:9" s="1598" customFormat="1" ht="19.5" customHeight="1">
      <c r="A19" s="3416"/>
      <c r="B19" s="3416" t="s">
        <v>1450</v>
      </c>
      <c r="C19" s="1130" t="s">
        <v>1451</v>
      </c>
      <c r="D19" s="1131"/>
      <c r="E19" s="1153">
        <v>0.9</v>
      </c>
      <c r="F19" s="1132" t="s">
        <v>1452</v>
      </c>
      <c r="G19" s="1133"/>
      <c r="H19" s="1104"/>
      <c r="I19" s="1104"/>
    </row>
    <row r="20" spans="1:9" s="1598" customFormat="1" ht="19.5" customHeight="1">
      <c r="A20" s="3416"/>
      <c r="B20" s="3416"/>
      <c r="C20" s="1130" t="s">
        <v>1453</v>
      </c>
      <c r="D20" s="1131"/>
      <c r="E20" s="1153">
        <v>1.1000000000000001</v>
      </c>
      <c r="F20" s="1132" t="s">
        <v>1454</v>
      </c>
      <c r="G20" s="1133"/>
      <c r="H20" s="1104"/>
      <c r="I20" s="1104"/>
    </row>
    <row r="21" spans="1:9" s="1598" customFormat="1" ht="19.5" customHeight="1">
      <c r="A21" s="3416"/>
      <c r="B21" s="3416"/>
      <c r="C21" s="1130" t="s">
        <v>1455</v>
      </c>
      <c r="D21" s="1131"/>
      <c r="E21" s="1153">
        <v>0.8</v>
      </c>
      <c r="F21" s="1132" t="s">
        <v>1456</v>
      </c>
      <c r="G21" s="1133"/>
      <c r="H21" s="1104"/>
      <c r="I21" s="1104"/>
    </row>
    <row r="22" spans="1:9" s="1598" customFormat="1" ht="19.5" customHeight="1">
      <c r="A22" s="3416"/>
      <c r="B22" s="3416"/>
      <c r="C22" s="1130" t="s">
        <v>1457</v>
      </c>
      <c r="D22" s="1131"/>
      <c r="E22" s="1153">
        <v>0.5</v>
      </c>
      <c r="F22" s="1132"/>
      <c r="G22" s="1133"/>
      <c r="H22" s="1104"/>
      <c r="I22" s="1104"/>
    </row>
    <row r="23" spans="1:9" s="1598" customFormat="1" ht="19.5" customHeight="1">
      <c r="A23" s="3416" t="s">
        <v>1030</v>
      </c>
      <c r="B23" s="1153" t="s">
        <v>1447</v>
      </c>
      <c r="C23" s="1130" t="s">
        <v>1458</v>
      </c>
      <c r="D23" s="1131"/>
      <c r="E23" s="1153">
        <v>1</v>
      </c>
      <c r="F23" s="1132" t="s">
        <v>1459</v>
      </c>
      <c r="G23" s="1133"/>
      <c r="H23" s="1104"/>
      <c r="I23" s="1104"/>
    </row>
    <row r="24" spans="1:9" s="1598" customFormat="1" ht="19.5" customHeight="1">
      <c r="A24" s="3416"/>
      <c r="B24" s="3416" t="s">
        <v>1450</v>
      </c>
      <c r="C24" s="1130" t="s">
        <v>1460</v>
      </c>
      <c r="D24" s="1131"/>
      <c r="E24" s="1153">
        <v>0.5</v>
      </c>
      <c r="F24" s="1132"/>
      <c r="G24" s="1133"/>
      <c r="H24" s="1104"/>
      <c r="I24" s="1104"/>
    </row>
    <row r="25" spans="1:9" s="1598" customFormat="1" ht="19.5" customHeight="1">
      <c r="A25" s="3416"/>
      <c r="B25" s="3416"/>
      <c r="C25" s="1130" t="s">
        <v>1461</v>
      </c>
      <c r="D25" s="1131"/>
      <c r="E25" s="1153">
        <v>1.1000000000000001</v>
      </c>
      <c r="F25" s="1132"/>
      <c r="G25" s="1133"/>
      <c r="H25" s="1104"/>
      <c r="I25" s="1104"/>
    </row>
    <row r="26" spans="1:9" s="1598" customFormat="1" ht="19.5" customHeight="1">
      <c r="A26" s="3416"/>
      <c r="B26" s="3416"/>
      <c r="C26" s="1130" t="s">
        <v>1462</v>
      </c>
      <c r="D26" s="1131"/>
      <c r="E26" s="1153">
        <v>1.1000000000000001</v>
      </c>
      <c r="F26" s="1132"/>
      <c r="G26" s="1133"/>
      <c r="H26" s="1104"/>
      <c r="I26" s="1104"/>
    </row>
    <row r="27" spans="1:9" s="1598" customFormat="1" ht="19.5" customHeight="1">
      <c r="A27" s="3416"/>
      <c r="B27" s="3416"/>
      <c r="C27" s="1130" t="s">
        <v>1463</v>
      </c>
      <c r="D27" s="1131"/>
      <c r="E27" s="1153">
        <v>0.9</v>
      </c>
      <c r="F27" s="1132" t="s">
        <v>1464</v>
      </c>
      <c r="G27" s="1133"/>
      <c r="H27" s="1104"/>
      <c r="I27" s="1104"/>
    </row>
    <row r="28" spans="1:9" s="1598" customFormat="1" ht="19.5" customHeight="1">
      <c r="A28" s="3416"/>
      <c r="B28" s="3416"/>
      <c r="C28" s="1130" t="s">
        <v>1465</v>
      </c>
      <c r="D28" s="1131"/>
      <c r="E28" s="1153">
        <v>0.9</v>
      </c>
      <c r="F28" s="1132" t="s">
        <v>1466</v>
      </c>
      <c r="G28" s="1133"/>
      <c r="H28" s="1104"/>
      <c r="I28" s="1104"/>
    </row>
    <row r="29" spans="1:9" s="1598" customFormat="1" ht="19.5" customHeight="1">
      <c r="A29" s="3416"/>
      <c r="B29" s="3416"/>
      <c r="C29" s="1130" t="s">
        <v>1467</v>
      </c>
      <c r="D29" s="1131"/>
      <c r="E29" s="1153">
        <v>0.9</v>
      </c>
      <c r="F29" s="1132" t="s">
        <v>1468</v>
      </c>
      <c r="G29" s="1133"/>
      <c r="H29" s="1104"/>
      <c r="I29" s="1104"/>
    </row>
    <row r="30" spans="1:9" s="1598" customFormat="1" ht="19.5" customHeight="1">
      <c r="A30" s="3416"/>
      <c r="B30" s="3416"/>
      <c r="C30" s="1130" t="s">
        <v>1469</v>
      </c>
      <c r="D30" s="1131"/>
      <c r="E30" s="1153">
        <v>0.9</v>
      </c>
      <c r="F30" s="1132" t="s">
        <v>1470</v>
      </c>
      <c r="G30" s="1133"/>
      <c r="H30" s="1104"/>
      <c r="I30" s="1104"/>
    </row>
    <row r="31" spans="1:9" s="1598" customFormat="1" ht="19.5" customHeight="1">
      <c r="A31" s="3416"/>
      <c r="B31" s="3416"/>
      <c r="C31" s="1130" t="s">
        <v>1471</v>
      </c>
      <c r="D31" s="1131"/>
      <c r="E31" s="1153">
        <v>0.8</v>
      </c>
      <c r="F31" s="1132" t="s">
        <v>1472</v>
      </c>
      <c r="G31" s="1133"/>
      <c r="H31" s="1104"/>
      <c r="I31" s="1104"/>
    </row>
    <row r="32" spans="1:9" s="1598" customFormat="1" ht="19.5" customHeight="1">
      <c r="A32" s="3416"/>
      <c r="B32" s="3416"/>
      <c r="C32" s="1130" t="s">
        <v>1473</v>
      </c>
      <c r="D32" s="1131"/>
      <c r="E32" s="1153">
        <v>0.8</v>
      </c>
      <c r="F32" s="1132" t="s">
        <v>1474</v>
      </c>
      <c r="G32" s="1133"/>
      <c r="H32" s="1104"/>
      <c r="I32" s="1104"/>
    </row>
    <row r="33" spans="1:9" s="1598" customFormat="1" ht="19.5" customHeight="1">
      <c r="A33" s="3416" t="s">
        <v>1475</v>
      </c>
      <c r="B33" s="1153" t="s">
        <v>1447</v>
      </c>
      <c r="C33" s="1130" t="s">
        <v>1476</v>
      </c>
      <c r="D33" s="1131"/>
      <c r="E33" s="1153">
        <v>1</v>
      </c>
      <c r="F33" s="1132" t="s">
        <v>1477</v>
      </c>
      <c r="G33" s="1133"/>
      <c r="H33" s="1104"/>
      <c r="I33" s="1104"/>
    </row>
    <row r="34" spans="1:9" s="1598" customFormat="1" ht="19.5" customHeight="1">
      <c r="A34" s="3416"/>
      <c r="B34" s="1153" t="s">
        <v>1450</v>
      </c>
      <c r="C34" s="1130" t="s">
        <v>1478</v>
      </c>
      <c r="D34" s="1131"/>
      <c r="E34" s="1153">
        <v>1.5</v>
      </c>
      <c r="F34" s="1132" t="s">
        <v>1479</v>
      </c>
      <c r="G34" s="1133"/>
      <c r="H34" s="1104"/>
      <c r="I34" s="1104"/>
    </row>
    <row r="35" spans="1:9" s="1598" customFormat="1" ht="19.5" customHeight="1">
      <c r="A35" s="3416" t="s">
        <v>1433</v>
      </c>
      <c r="B35" s="1153" t="s">
        <v>1447</v>
      </c>
      <c r="C35" s="1130" t="s">
        <v>1480</v>
      </c>
      <c r="D35" s="1131"/>
      <c r="E35" s="1153">
        <v>1</v>
      </c>
      <c r="F35" s="1132" t="s">
        <v>1481</v>
      </c>
      <c r="G35" s="1133"/>
      <c r="H35" s="1104"/>
      <c r="I35" s="1104"/>
    </row>
    <row r="36" spans="1:9" s="1598" customFormat="1" ht="19.5" customHeight="1">
      <c r="A36" s="3416"/>
      <c r="B36" s="3416" t="s">
        <v>1450</v>
      </c>
      <c r="C36" s="1130" t="s">
        <v>1482</v>
      </c>
      <c r="D36" s="1131"/>
      <c r="E36" s="1153">
        <v>1</v>
      </c>
      <c r="F36" s="1132" t="s">
        <v>1483</v>
      </c>
      <c r="G36" s="1133"/>
      <c r="H36" s="1104"/>
      <c r="I36" s="1104"/>
    </row>
    <row r="37" spans="1:9" s="1598" customFormat="1" ht="19.5" customHeight="1">
      <c r="A37" s="3416"/>
      <c r="B37" s="3416"/>
      <c r="C37" s="1130" t="s">
        <v>1484</v>
      </c>
      <c r="D37" s="1131"/>
      <c r="E37" s="1153">
        <v>1.5</v>
      </c>
      <c r="F37" s="1132" t="s">
        <v>1485</v>
      </c>
      <c r="G37" s="1133"/>
      <c r="H37" s="1104"/>
      <c r="I37" s="1104"/>
    </row>
    <row r="38" spans="1:9" s="1598" customFormat="1" ht="19.5" customHeight="1">
      <c r="A38" s="3416"/>
      <c r="B38" s="3416"/>
      <c r="C38" s="1130" t="s">
        <v>1486</v>
      </c>
      <c r="D38" s="1131"/>
      <c r="E38" s="1153">
        <v>1</v>
      </c>
      <c r="F38" s="1132" t="s">
        <v>1487</v>
      </c>
      <c r="G38" s="1133"/>
      <c r="H38" s="1104"/>
      <c r="I38" s="1104"/>
    </row>
    <row r="39" spans="1:9" s="1598" customFormat="1" ht="19.5" customHeight="1">
      <c r="A39" s="3416"/>
      <c r="B39" s="341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16" t="s">
        <v>1502</v>
      </c>
      <c r="C61" s="1067" t="s">
        <v>1503</v>
      </c>
      <c r="D61" s="1067" t="s">
        <v>1504</v>
      </c>
      <c r="E61" s="1138">
        <v>0.5</v>
      </c>
      <c r="F61" s="1153">
        <v>80</v>
      </c>
      <c r="H61" s="1104">
        <f>SUMIF(C59:C119,基准地价!C8,E59:E119)</f>
        <v>0</v>
      </c>
    </row>
    <row r="62" spans="1:8" s="1104" customFormat="1" ht="24">
      <c r="A62" s="1153">
        <v>2</v>
      </c>
      <c r="B62" s="3416"/>
      <c r="C62" s="1067" t="s">
        <v>1505</v>
      </c>
      <c r="D62" s="1067" t="s">
        <v>1506</v>
      </c>
      <c r="E62" s="1138">
        <v>0.5</v>
      </c>
      <c r="F62" s="1153">
        <v>80</v>
      </c>
    </row>
    <row r="63" spans="1:8" s="1104" customFormat="1" ht="36">
      <c r="A63" s="1153">
        <v>3</v>
      </c>
      <c r="B63" s="3416"/>
      <c r="C63" s="1067" t="s">
        <v>1507</v>
      </c>
      <c r="D63" s="1067" t="s">
        <v>1508</v>
      </c>
      <c r="E63" s="1138">
        <v>0.5</v>
      </c>
      <c r="F63" s="1153">
        <v>80</v>
      </c>
    </row>
    <row r="64" spans="1:8" s="1104" customFormat="1" ht="36">
      <c r="A64" s="1153">
        <v>4</v>
      </c>
      <c r="B64" s="3416"/>
      <c r="C64" s="1067" t="s">
        <v>1509</v>
      </c>
      <c r="D64" s="1067" t="s">
        <v>1510</v>
      </c>
      <c r="E64" s="1138">
        <v>0.4</v>
      </c>
      <c r="F64" s="1153">
        <v>60</v>
      </c>
    </row>
    <row r="65" spans="1:6" s="1104" customFormat="1" ht="36">
      <c r="A65" s="1153">
        <v>5</v>
      </c>
      <c r="B65" s="3416"/>
      <c r="C65" s="1067" t="s">
        <v>1511</v>
      </c>
      <c r="D65" s="1067" t="s">
        <v>1512</v>
      </c>
      <c r="E65" s="1138">
        <v>0.2</v>
      </c>
      <c r="F65" s="1153">
        <v>30</v>
      </c>
    </row>
    <row r="66" spans="1:6" s="1104" customFormat="1" ht="36">
      <c r="A66" s="1153">
        <v>6</v>
      </c>
      <c r="B66" s="3416"/>
      <c r="C66" s="1067" t="s">
        <v>1513</v>
      </c>
      <c r="D66" s="1067" t="s">
        <v>1514</v>
      </c>
      <c r="E66" s="1138">
        <v>0.3</v>
      </c>
      <c r="F66" s="1153">
        <v>50</v>
      </c>
    </row>
    <row r="67" spans="1:6" s="1104" customFormat="1" ht="36">
      <c r="A67" s="1153">
        <v>7</v>
      </c>
      <c r="B67" s="3416"/>
      <c r="C67" s="1067" t="s">
        <v>1515</v>
      </c>
      <c r="D67" s="1067" t="s">
        <v>1516</v>
      </c>
      <c r="E67" s="1138">
        <v>0.2</v>
      </c>
      <c r="F67" s="1153">
        <v>30</v>
      </c>
    </row>
    <row r="68" spans="1:6" s="1104" customFormat="1" ht="36">
      <c r="A68" s="1153">
        <v>8</v>
      </c>
      <c r="B68" s="3416"/>
      <c r="C68" s="1067" t="s">
        <v>1517</v>
      </c>
      <c r="D68" s="1067" t="s">
        <v>1518</v>
      </c>
      <c r="E68" s="1138">
        <v>0.2</v>
      </c>
      <c r="F68" s="1153">
        <v>30</v>
      </c>
    </row>
    <row r="69" spans="1:6" s="1104" customFormat="1" ht="36">
      <c r="A69" s="1153">
        <v>9</v>
      </c>
      <c r="B69" s="3416"/>
      <c r="C69" s="1067" t="s">
        <v>1519</v>
      </c>
      <c r="D69" s="1067" t="s">
        <v>1520</v>
      </c>
      <c r="E69" s="1138">
        <v>0.2</v>
      </c>
      <c r="F69" s="1153">
        <v>30</v>
      </c>
    </row>
    <row r="70" spans="1:6" s="1104" customFormat="1" ht="48">
      <c r="A70" s="1153">
        <v>10</v>
      </c>
      <c r="B70" s="3416"/>
      <c r="C70" s="1067" t="s">
        <v>1521</v>
      </c>
      <c r="D70" s="1067" t="s">
        <v>1522</v>
      </c>
      <c r="E70" s="1138">
        <v>0.2</v>
      </c>
      <c r="F70" s="1153">
        <v>30</v>
      </c>
    </row>
    <row r="71" spans="1:6" s="1104" customFormat="1" ht="48">
      <c r="A71" s="1153">
        <v>11</v>
      </c>
      <c r="B71" s="3416"/>
      <c r="C71" s="1067" t="s">
        <v>1523</v>
      </c>
      <c r="D71" s="1067" t="s">
        <v>1524</v>
      </c>
      <c r="E71" s="1138">
        <v>0.2</v>
      </c>
      <c r="F71" s="1153">
        <v>30</v>
      </c>
    </row>
    <row r="72" spans="1:6" s="1104" customFormat="1" ht="36">
      <c r="A72" s="1153">
        <v>12</v>
      </c>
      <c r="B72" s="3416"/>
      <c r="C72" s="1067" t="s">
        <v>1525</v>
      </c>
      <c r="D72" s="1067" t="s">
        <v>1526</v>
      </c>
      <c r="E72" s="1138">
        <v>0.5</v>
      </c>
      <c r="F72" s="1153">
        <v>80</v>
      </c>
    </row>
    <row r="73" spans="1:6" s="1104" customFormat="1" ht="24">
      <c r="A73" s="1153">
        <v>13</v>
      </c>
      <c r="B73" s="3416"/>
      <c r="C73" s="1067" t="s">
        <v>1527</v>
      </c>
      <c r="D73" s="1067" t="s">
        <v>1528</v>
      </c>
      <c r="E73" s="1138">
        <v>0.4</v>
      </c>
      <c r="F73" s="1153">
        <v>60</v>
      </c>
    </row>
    <row r="74" spans="1:6" s="1104" customFormat="1" ht="24">
      <c r="A74" s="1153">
        <v>14</v>
      </c>
      <c r="B74" s="3416"/>
      <c r="C74" s="1067" t="s">
        <v>1529</v>
      </c>
      <c r="D74" s="1067" t="s">
        <v>1530</v>
      </c>
      <c r="E74" s="1138">
        <v>0.2</v>
      </c>
      <c r="F74" s="1153">
        <v>30</v>
      </c>
    </row>
    <row r="75" spans="1:6" s="1104" customFormat="1" ht="24">
      <c r="A75" s="1153">
        <v>15</v>
      </c>
      <c r="B75" s="3416"/>
      <c r="C75" s="1067" t="s">
        <v>1531</v>
      </c>
      <c r="D75" s="1067" t="s">
        <v>1532</v>
      </c>
      <c r="E75" s="1138">
        <v>0.2</v>
      </c>
      <c r="F75" s="1153">
        <v>30</v>
      </c>
    </row>
    <row r="76" spans="1:6" s="1104" customFormat="1" ht="24">
      <c r="A76" s="1153">
        <v>16</v>
      </c>
      <c r="B76" s="3416" t="s">
        <v>1533</v>
      </c>
      <c r="C76" s="1067" t="s">
        <v>1534</v>
      </c>
      <c r="D76" s="1067" t="s">
        <v>1535</v>
      </c>
      <c r="E76" s="1138">
        <v>0.5</v>
      </c>
      <c r="F76" s="1153">
        <v>80</v>
      </c>
    </row>
    <row r="77" spans="1:6" s="1104" customFormat="1" ht="24">
      <c r="A77" s="1153">
        <v>17</v>
      </c>
      <c r="B77" s="3416"/>
      <c r="C77" s="1067" t="s">
        <v>1536</v>
      </c>
      <c r="D77" s="1067" t="s">
        <v>1537</v>
      </c>
      <c r="E77" s="1138">
        <v>0.5</v>
      </c>
      <c r="F77" s="1153">
        <v>80</v>
      </c>
    </row>
    <row r="78" spans="1:6" s="1104" customFormat="1" ht="24">
      <c r="A78" s="1153">
        <v>18</v>
      </c>
      <c r="B78" s="3416"/>
      <c r="C78" s="1067" t="s">
        <v>1538</v>
      </c>
      <c r="D78" s="1067" t="s">
        <v>1539</v>
      </c>
      <c r="E78" s="1138">
        <v>0.2</v>
      </c>
      <c r="F78" s="1153">
        <v>30</v>
      </c>
    </row>
    <row r="79" spans="1:6" s="1104" customFormat="1" ht="24">
      <c r="A79" s="1153">
        <v>19</v>
      </c>
      <c r="B79" s="3416"/>
      <c r="C79" s="1067" t="s">
        <v>1540</v>
      </c>
      <c r="D79" s="1067" t="s">
        <v>1541</v>
      </c>
      <c r="E79" s="1138">
        <v>0.5</v>
      </c>
      <c r="F79" s="1153">
        <v>80</v>
      </c>
    </row>
    <row r="80" spans="1:6" s="1104" customFormat="1" ht="36">
      <c r="A80" s="1153">
        <v>20</v>
      </c>
      <c r="B80" s="3416"/>
      <c r="C80" s="1067" t="s">
        <v>1542</v>
      </c>
      <c r="D80" s="1067" t="s">
        <v>1543</v>
      </c>
      <c r="E80" s="1138">
        <v>0.2</v>
      </c>
      <c r="F80" s="1153">
        <v>30</v>
      </c>
    </row>
    <row r="81" spans="1:6" s="1104" customFormat="1" ht="36">
      <c r="A81" s="1153">
        <v>21</v>
      </c>
      <c r="B81" s="3416"/>
      <c r="C81" s="1067" t="s">
        <v>1544</v>
      </c>
      <c r="D81" s="1067" t="s">
        <v>1545</v>
      </c>
      <c r="E81" s="1138">
        <v>0.2</v>
      </c>
      <c r="F81" s="1153">
        <v>30</v>
      </c>
    </row>
    <row r="82" spans="1:6" s="1104" customFormat="1" ht="48">
      <c r="A82" s="1153">
        <v>22</v>
      </c>
      <c r="B82" s="3416"/>
      <c r="C82" s="1067" t="s">
        <v>1546</v>
      </c>
      <c r="D82" s="1067" t="s">
        <v>1547</v>
      </c>
      <c r="E82" s="1138">
        <v>0.2</v>
      </c>
      <c r="F82" s="1153">
        <v>30</v>
      </c>
    </row>
    <row r="83" spans="1:6" s="1104" customFormat="1" ht="48">
      <c r="A83" s="1153">
        <v>23</v>
      </c>
      <c r="B83" s="3416"/>
      <c r="C83" s="1067" t="s">
        <v>1548</v>
      </c>
      <c r="D83" s="1067" t="s">
        <v>1549</v>
      </c>
      <c r="E83" s="1138">
        <v>0.2</v>
      </c>
      <c r="F83" s="1153">
        <v>30</v>
      </c>
    </row>
    <row r="84" spans="1:6" s="1104" customFormat="1" ht="36">
      <c r="A84" s="1153">
        <v>24</v>
      </c>
      <c r="B84" s="3416"/>
      <c r="C84" s="1067" t="s">
        <v>1550</v>
      </c>
      <c r="D84" s="1067" t="s">
        <v>1551</v>
      </c>
      <c r="E84" s="1138">
        <v>0.2</v>
      </c>
      <c r="F84" s="1153">
        <v>30</v>
      </c>
    </row>
    <row r="85" spans="1:6" s="1104" customFormat="1" ht="36">
      <c r="A85" s="1153">
        <v>25</v>
      </c>
      <c r="B85" s="3416"/>
      <c r="C85" s="1067" t="s">
        <v>1552</v>
      </c>
      <c r="D85" s="1067" t="s">
        <v>1553</v>
      </c>
      <c r="E85" s="1138">
        <v>0.5</v>
      </c>
      <c r="F85" s="1153">
        <v>80</v>
      </c>
    </row>
    <row r="86" spans="1:6" s="1104" customFormat="1" ht="36">
      <c r="A86" s="1153">
        <v>26</v>
      </c>
      <c r="B86" s="3416"/>
      <c r="C86" s="1067" t="s">
        <v>1554</v>
      </c>
      <c r="D86" s="1067" t="s">
        <v>1555</v>
      </c>
      <c r="E86" s="1138">
        <v>0.2</v>
      </c>
      <c r="F86" s="1153">
        <v>30</v>
      </c>
    </row>
    <row r="87" spans="1:6" s="1104" customFormat="1" ht="36">
      <c r="A87" s="1153">
        <v>27</v>
      </c>
      <c r="B87" s="3416"/>
      <c r="C87" s="1067" t="s">
        <v>1556</v>
      </c>
      <c r="D87" s="1067" t="s">
        <v>1557</v>
      </c>
      <c r="E87" s="1138">
        <v>0.2</v>
      </c>
      <c r="F87" s="1153">
        <v>30</v>
      </c>
    </row>
    <row r="88" spans="1:6" s="1104" customFormat="1" ht="36">
      <c r="A88" s="1153">
        <v>28</v>
      </c>
      <c r="B88" s="3416"/>
      <c r="C88" s="1067" t="s">
        <v>1558</v>
      </c>
      <c r="D88" s="1067" t="s">
        <v>1559</v>
      </c>
      <c r="E88" s="1138">
        <v>0.2</v>
      </c>
      <c r="F88" s="1153">
        <v>30</v>
      </c>
    </row>
    <row r="89" spans="1:6" s="1104" customFormat="1" ht="24">
      <c r="A89" s="1153">
        <v>29</v>
      </c>
      <c r="B89" s="3416"/>
      <c r="C89" s="1067" t="s">
        <v>1560</v>
      </c>
      <c r="D89" s="1067" t="s">
        <v>1561</v>
      </c>
      <c r="E89" s="1138">
        <v>0.2</v>
      </c>
      <c r="F89" s="1153">
        <v>30</v>
      </c>
    </row>
    <row r="90" spans="1:6" s="1104" customFormat="1" ht="24">
      <c r="A90" s="1153">
        <v>30</v>
      </c>
      <c r="B90" s="3416"/>
      <c r="C90" s="1067" t="s">
        <v>1562</v>
      </c>
      <c r="D90" s="1067" t="s">
        <v>1563</v>
      </c>
      <c r="E90" s="1138">
        <v>0.2</v>
      </c>
      <c r="F90" s="1153">
        <v>30</v>
      </c>
    </row>
    <row r="91" spans="1:6" s="1104" customFormat="1" ht="36">
      <c r="A91" s="1153">
        <v>31</v>
      </c>
      <c r="B91" s="3416"/>
      <c r="C91" s="1067" t="s">
        <v>1564</v>
      </c>
      <c r="D91" s="1067" t="s">
        <v>1565</v>
      </c>
      <c r="E91" s="1138">
        <v>0.2</v>
      </c>
      <c r="F91" s="1153">
        <v>30</v>
      </c>
    </row>
    <row r="92" spans="1:6" s="1104" customFormat="1" ht="24">
      <c r="A92" s="1153">
        <v>32</v>
      </c>
      <c r="B92" s="3416" t="s">
        <v>1566</v>
      </c>
      <c r="C92" s="1153" t="s">
        <v>1567</v>
      </c>
      <c r="D92" s="1067" t="s">
        <v>1568</v>
      </c>
      <c r="E92" s="1138">
        <v>0.2</v>
      </c>
      <c r="F92" s="1153">
        <v>30</v>
      </c>
    </row>
    <row r="93" spans="1:6" s="1104" customFormat="1" ht="36">
      <c r="A93" s="1153">
        <v>33</v>
      </c>
      <c r="B93" s="3416"/>
      <c r="C93" s="1153" t="s">
        <v>1569</v>
      </c>
      <c r="D93" s="1067" t="s">
        <v>1570</v>
      </c>
      <c r="E93" s="1138">
        <v>0.2</v>
      </c>
      <c r="F93" s="1153">
        <v>30</v>
      </c>
    </row>
    <row r="94" spans="1:6" s="1104" customFormat="1" ht="48">
      <c r="A94" s="1153">
        <v>34</v>
      </c>
      <c r="B94" s="3416"/>
      <c r="C94" s="1153" t="s">
        <v>1571</v>
      </c>
      <c r="D94" s="1067" t="s">
        <v>1572</v>
      </c>
      <c r="E94" s="1138">
        <v>0.2</v>
      </c>
      <c r="F94" s="1153">
        <v>30</v>
      </c>
    </row>
    <row r="95" spans="1:6" s="1104" customFormat="1" ht="36">
      <c r="A95" s="1153">
        <v>35</v>
      </c>
      <c r="B95" s="3416"/>
      <c r="C95" s="1153" t="s">
        <v>1573</v>
      </c>
      <c r="D95" s="1067" t="s">
        <v>1574</v>
      </c>
      <c r="E95" s="1138">
        <v>0.2</v>
      </c>
      <c r="F95" s="1153">
        <v>30</v>
      </c>
    </row>
    <row r="96" spans="1:6" s="1104" customFormat="1" ht="48">
      <c r="A96" s="1153">
        <v>36</v>
      </c>
      <c r="B96" s="3416"/>
      <c r="C96" s="1067" t="s">
        <v>1575</v>
      </c>
      <c r="D96" s="1067" t="s">
        <v>1576</v>
      </c>
      <c r="E96" s="1138">
        <v>0.2</v>
      </c>
      <c r="F96" s="1153">
        <v>30</v>
      </c>
    </row>
    <row r="97" spans="1:6" s="1104" customFormat="1" ht="36">
      <c r="A97" s="1153">
        <v>37</v>
      </c>
      <c r="B97" s="3416"/>
      <c r="C97" s="1153" t="s">
        <v>1577</v>
      </c>
      <c r="D97" s="1067" t="s">
        <v>1578</v>
      </c>
      <c r="E97" s="1138">
        <v>0.2</v>
      </c>
      <c r="F97" s="1153">
        <v>30</v>
      </c>
    </row>
    <row r="98" spans="1:6" s="1104" customFormat="1" ht="36">
      <c r="A98" s="1153">
        <v>38</v>
      </c>
      <c r="B98" s="3416"/>
      <c r="C98" s="1153" t="s">
        <v>1579</v>
      </c>
      <c r="D98" s="1067" t="s">
        <v>1580</v>
      </c>
      <c r="E98" s="1138">
        <v>0.2</v>
      </c>
      <c r="F98" s="1153">
        <v>30</v>
      </c>
    </row>
    <row r="99" spans="1:6" s="1104" customFormat="1" ht="36">
      <c r="A99" s="1153">
        <v>39</v>
      </c>
      <c r="B99" s="3416" t="s">
        <v>1581</v>
      </c>
      <c r="C99" s="1153" t="s">
        <v>1582</v>
      </c>
      <c r="D99" s="1067" t="s">
        <v>1583</v>
      </c>
      <c r="E99" s="1138">
        <v>0.3</v>
      </c>
      <c r="F99" s="1153">
        <v>50</v>
      </c>
    </row>
    <row r="100" spans="1:6" s="1104" customFormat="1" ht="24">
      <c r="A100" s="1153">
        <v>40</v>
      </c>
      <c r="B100" s="3416"/>
      <c r="C100" s="1153" t="s">
        <v>1584</v>
      </c>
      <c r="D100" s="1067" t="s">
        <v>1585</v>
      </c>
      <c r="E100" s="1138">
        <v>0.2</v>
      </c>
      <c r="F100" s="1153">
        <v>30</v>
      </c>
    </row>
    <row r="101" spans="1:6" s="1104" customFormat="1" ht="36">
      <c r="A101" s="1153">
        <v>41</v>
      </c>
      <c r="B101" s="341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16" t="s">
        <v>1596</v>
      </c>
      <c r="C105" s="1153" t="s">
        <v>1597</v>
      </c>
      <c r="D105" s="1067" t="s">
        <v>1598</v>
      </c>
      <c r="E105" s="1138">
        <v>0.2</v>
      </c>
      <c r="F105" s="1153">
        <v>30</v>
      </c>
    </row>
    <row r="106" spans="1:6" s="1104" customFormat="1" ht="36">
      <c r="A106" s="1153">
        <v>46</v>
      </c>
      <c r="B106" s="3416"/>
      <c r="C106" s="1153" t="s">
        <v>1599</v>
      </c>
      <c r="D106" s="1067" t="s">
        <v>1600</v>
      </c>
      <c r="E106" s="1138">
        <v>0.2</v>
      </c>
      <c r="F106" s="1153">
        <v>30</v>
      </c>
    </row>
    <row r="107" spans="1:6" s="1104" customFormat="1" ht="36">
      <c r="A107" s="1153">
        <v>47</v>
      </c>
      <c r="B107" s="3416" t="s">
        <v>1601</v>
      </c>
      <c r="C107" s="1153" t="s">
        <v>1602</v>
      </c>
      <c r="D107" s="1067" t="s">
        <v>1603</v>
      </c>
      <c r="E107" s="1138">
        <v>0.3</v>
      </c>
      <c r="F107" s="1153">
        <v>50</v>
      </c>
    </row>
    <row r="108" spans="1:6" s="1104" customFormat="1" ht="36">
      <c r="A108" s="1153">
        <v>48</v>
      </c>
      <c r="B108" s="341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16" t="s">
        <v>1612</v>
      </c>
      <c r="C111" s="1153" t="s">
        <v>1613</v>
      </c>
      <c r="D111" s="1067" t="s">
        <v>1614</v>
      </c>
      <c r="E111" s="1138">
        <v>0.2</v>
      </c>
      <c r="F111" s="1153">
        <v>30</v>
      </c>
    </row>
    <row r="112" spans="1:6" s="1104" customFormat="1" ht="24">
      <c r="A112" s="1153">
        <v>52</v>
      </c>
      <c r="B112" s="3416"/>
      <c r="C112" s="1153" t="s">
        <v>1615</v>
      </c>
      <c r="D112" s="1067" t="s">
        <v>1616</v>
      </c>
      <c r="E112" s="1138">
        <v>0.2</v>
      </c>
      <c r="F112" s="1153">
        <v>30</v>
      </c>
    </row>
    <row r="113" spans="1:14" s="1104" customFormat="1" ht="24">
      <c r="A113" s="1153">
        <v>53</v>
      </c>
      <c r="B113" s="341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16" t="s">
        <v>1625</v>
      </c>
      <c r="C116" s="1153" t="s">
        <v>1626</v>
      </c>
      <c r="D116" s="1067" t="s">
        <v>1627</v>
      </c>
      <c r="E116" s="1138">
        <v>0.2</v>
      </c>
      <c r="F116" s="1153">
        <v>30</v>
      </c>
    </row>
    <row r="117" spans="1:14" ht="36">
      <c r="A117" s="1153">
        <v>57</v>
      </c>
      <c r="B117" s="341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15" t="s">
        <v>1634</v>
      </c>
      <c r="B121" s="3415"/>
      <c r="C121" s="3415"/>
      <c r="D121" s="3415"/>
      <c r="E121" s="3415"/>
      <c r="F121" s="3415"/>
      <c r="G121" s="3415"/>
      <c r="H121" s="3415"/>
      <c r="I121" s="3415"/>
      <c r="J121" s="341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8" t="s">
        <v>1040</v>
      </c>
      <c r="B1" s="3428"/>
      <c r="C1" s="3428"/>
      <c r="D1" s="3428"/>
      <c r="E1" s="3428"/>
      <c r="F1" s="342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9" t="s">
        <v>1053</v>
      </c>
      <c r="B2" s="3429"/>
      <c r="C2" s="3429"/>
      <c r="D2" s="3429"/>
      <c r="E2" s="3429"/>
      <c r="F2" s="342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3.0960000000000001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2" t="s">
        <v>2080</v>
      </c>
      <c r="B1" s="3432"/>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2944</v>
      </c>
      <c r="B1" s="3134"/>
      <c r="C1" s="3134"/>
      <c r="D1" s="3134"/>
      <c r="E1" s="3134"/>
      <c r="F1" s="3134"/>
    </row>
    <row r="2" spans="1:6" ht="14.25">
      <c r="A2" s="3135" t="s">
        <v>2939</v>
      </c>
      <c r="B2" s="3136" t="e">
        <f ca="1">SUMIF(B7:B14,"&lt;&gt;#ref!",B7:B14)</f>
        <v>#DIV/0!</v>
      </c>
      <c r="C2" s="3135" t="s">
        <v>2940</v>
      </c>
      <c r="D2" s="3134"/>
      <c r="E2" s="3134"/>
      <c r="F2" s="3134"/>
    </row>
    <row r="3" spans="1:6" ht="14.25">
      <c r="A3" s="3135" t="s">
        <v>2974</v>
      </c>
      <c r="B3" s="3136" t="e">
        <f ca="1">ROUND(B2*10000/E3,0)</f>
        <v>#DIV/0!</v>
      </c>
      <c r="C3" s="3135" t="s">
        <v>2079</v>
      </c>
      <c r="D3" s="3135" t="s">
        <v>2941</v>
      </c>
      <c r="E3" s="3136">
        <f ca="1">SUMIF(E7:E14,"&lt;&gt;#ref!",E7:E14)</f>
        <v>0</v>
      </c>
      <c r="F3" s="3134"/>
    </row>
    <row r="4" spans="1:6" ht="14.25">
      <c r="A4" s="3135" t="s">
        <v>2948</v>
      </c>
      <c r="B4" s="3136" t="e">
        <f ca="1">ROUND(B2*10000/E4,0)</f>
        <v>#DIV/0!</v>
      </c>
      <c r="C4" s="3135" t="s">
        <v>2079</v>
      </c>
      <c r="D4" s="3135" t="s">
        <v>2949</v>
      </c>
      <c r="E4" s="3136">
        <f ca="1">SUMIF(F7:F14,"&lt;&gt;#ref!",F7:F14)</f>
        <v>0</v>
      </c>
      <c r="F4" s="3134"/>
    </row>
    <row r="5" spans="1:6" ht="14.25">
      <c r="A5" s="3137"/>
      <c r="B5" s="1881"/>
      <c r="C5" s="1881"/>
      <c r="D5" s="1881"/>
      <c r="E5" s="1881"/>
      <c r="F5" s="3134"/>
    </row>
    <row r="6" spans="1:6" ht="28.5">
      <c r="A6" s="3138" t="s">
        <v>2945</v>
      </c>
      <c r="B6" s="3135" t="s">
        <v>2942</v>
      </c>
      <c r="C6" s="3136"/>
      <c r="D6" s="1881"/>
      <c r="E6" s="3135" t="s">
        <v>2943</v>
      </c>
      <c r="F6" s="3135" t="s">
        <v>2947</v>
      </c>
    </row>
    <row r="7" spans="1:6" ht="14.25">
      <c r="A7" s="260" t="s">
        <v>2946</v>
      </c>
      <c r="B7" s="3139" t="e">
        <f ca="1">SUMIF(INDIRECT("'"&amp;A7&amp;"'"&amp;"!A:A"),"总价",INDIRECT("'"&amp;A7&amp;"'"&amp;"!B:B"))</f>
        <v>#DIV/0!</v>
      </c>
      <c r="C7" s="3135" t="s">
        <v>2940</v>
      </c>
      <c r="D7" s="1881"/>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2940</v>
      </c>
      <c r="D8" s="1881"/>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2940</v>
      </c>
      <c r="D9" s="1881"/>
      <c r="E9" s="3140" t="e">
        <f t="shared" ca="1" si="1"/>
        <v>#REF!</v>
      </c>
      <c r="F9" s="3140" t="e">
        <f t="shared" ca="1" si="2"/>
        <v>#REF!</v>
      </c>
    </row>
    <row r="10" spans="1:6" ht="14.25">
      <c r="A10" s="260"/>
      <c r="B10" s="3139" t="e">
        <f t="shared" ca="1" si="0"/>
        <v>#REF!</v>
      </c>
      <c r="C10" s="3135" t="s">
        <v>2940</v>
      </c>
      <c r="D10" s="1881"/>
      <c r="E10" s="3140" t="e">
        <f t="shared" ca="1" si="1"/>
        <v>#REF!</v>
      </c>
      <c r="F10" s="3140" t="e">
        <f t="shared" ca="1" si="2"/>
        <v>#REF!</v>
      </c>
    </row>
    <row r="11" spans="1:6" ht="14.25">
      <c r="A11" s="260"/>
      <c r="B11" s="3139" t="e">
        <f t="shared" ca="1" si="0"/>
        <v>#REF!</v>
      </c>
      <c r="C11" s="3135" t="s">
        <v>2940</v>
      </c>
      <c r="D11" s="1881"/>
      <c r="E11" s="3140" t="e">
        <f t="shared" ca="1" si="1"/>
        <v>#REF!</v>
      </c>
      <c r="F11" s="3140" t="e">
        <f t="shared" ca="1" si="2"/>
        <v>#REF!</v>
      </c>
    </row>
    <row r="12" spans="1:6" ht="14.25">
      <c r="A12" s="260"/>
      <c r="B12" s="3139" t="e">
        <f t="shared" ca="1" si="0"/>
        <v>#REF!</v>
      </c>
      <c r="C12" s="3135" t="s">
        <v>2940</v>
      </c>
      <c r="D12" s="1881"/>
      <c r="E12" s="3140" t="e">
        <f t="shared" ca="1" si="1"/>
        <v>#REF!</v>
      </c>
      <c r="F12" s="3140" t="e">
        <f t="shared" ca="1" si="2"/>
        <v>#REF!</v>
      </c>
    </row>
    <row r="13" spans="1:6" ht="14.25">
      <c r="A13" s="260"/>
      <c r="B13" s="3139" t="e">
        <f t="shared" ca="1" si="0"/>
        <v>#REF!</v>
      </c>
      <c r="C13" s="3135" t="s">
        <v>2940</v>
      </c>
      <c r="D13" s="1881"/>
      <c r="E13" s="3140" t="e">
        <f t="shared" ca="1" si="1"/>
        <v>#REF!</v>
      </c>
      <c r="F13" s="3140" t="e">
        <f t="shared" ca="1" si="2"/>
        <v>#REF!</v>
      </c>
    </row>
    <row r="14" spans="1:6" ht="14.25">
      <c r="A14" s="3133"/>
      <c r="B14" s="3139" t="e">
        <f t="shared" ca="1" si="0"/>
        <v>#REF!</v>
      </c>
      <c r="C14" s="3135" t="s">
        <v>2940</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1825</v>
      </c>
      <c r="B8" s="3434" t="s">
        <v>2464</v>
      </c>
      <c r="C8" s="1825">
        <f ca="1">ROUND(F8*F10*F9*(1-F11)/10000,0)</f>
        <v>0</v>
      </c>
      <c r="D8" s="1822" t="s">
        <v>2535</v>
      </c>
      <c r="E8" s="61" t="s">
        <v>637</v>
      </c>
      <c r="F8" s="785">
        <f ca="1">INDIRECT("'数据-取费表'!u"&amp;$G$1)</f>
        <v>0</v>
      </c>
      <c r="G8" s="1591"/>
      <c r="H8" s="2528" t="s">
        <v>1825</v>
      </c>
      <c r="I8" s="3434" t="s">
        <v>2464</v>
      </c>
      <c r="J8" s="783">
        <f ca="1">ROUND(M8*M10*M9*(1-M11)/10000,0)</f>
        <v>0</v>
      </c>
      <c r="K8" s="341" t="s">
        <v>2535</v>
      </c>
      <c r="L8" s="784" t="s">
        <v>1739</v>
      </c>
      <c r="M8" s="785">
        <f ca="1">INDIRECT("'数据-取费表'!z"&amp;$G$1)</f>
        <v>0</v>
      </c>
    </row>
    <row r="9" spans="1:25" ht="18" customHeight="1">
      <c r="A9" s="2524"/>
      <c r="B9" s="3435"/>
      <c r="C9" s="1826"/>
      <c r="D9" s="1823"/>
      <c r="E9" s="61" t="s">
        <v>638</v>
      </c>
      <c r="F9" s="785">
        <f ca="1">IF(INDIRECT("'数据-取费表'!ah"&amp;$G$1)="",INDIRECT("'数据-取费表'!k"&amp;$G$1),INDIRECT("'数据-取费表'!ah"&amp;$G$1))</f>
        <v>0</v>
      </c>
      <c r="G9" s="1591"/>
      <c r="H9" s="2513"/>
      <c r="I9" s="3435"/>
      <c r="J9" s="788"/>
      <c r="K9" s="789"/>
      <c r="L9" s="784" t="s">
        <v>1740</v>
      </c>
      <c r="M9" s="785">
        <f ca="1">F9</f>
        <v>0</v>
      </c>
    </row>
    <row r="10" spans="1:25" ht="18" customHeight="1">
      <c r="A10" s="2517"/>
      <c r="B10" s="3436"/>
      <c r="C10" s="1826"/>
      <c r="D10" s="1823"/>
      <c r="E10" s="61" t="s">
        <v>639</v>
      </c>
      <c r="F10" s="785">
        <f ca="1">INDIRECT("'数据-取费表'!ai"&amp;$G$1)</f>
        <v>0</v>
      </c>
      <c r="G10" s="1591"/>
      <c r="H10" s="2513"/>
      <c r="I10" s="3436"/>
      <c r="J10" s="788"/>
      <c r="K10" s="789"/>
      <c r="L10" s="784" t="s">
        <v>1741</v>
      </c>
      <c r="M10" s="785">
        <f ca="1">INDIRECT("'数据-取费表'!ai"&amp;$G$1)</f>
        <v>0</v>
      </c>
    </row>
    <row r="11" spans="1:25" ht="18" customHeight="1">
      <c r="A11" s="786"/>
      <c r="B11" s="3437"/>
      <c r="C11" s="1826"/>
      <c r="D11" s="1823"/>
      <c r="E11" s="61" t="s">
        <v>640</v>
      </c>
      <c r="F11" s="794">
        <f ca="1">INDIRECT("'数据-取费表'!w"&amp;$G$1)</f>
        <v>0</v>
      </c>
      <c r="G11" s="1591"/>
      <c r="H11" s="2529"/>
      <c r="I11" s="3436"/>
      <c r="J11" s="788"/>
      <c r="K11" s="789"/>
      <c r="L11" s="795" t="s">
        <v>1742</v>
      </c>
      <c r="M11" s="796">
        <f ca="1">INDIRECT("'数据-取费表'!ab"&amp;$G$1)</f>
        <v>0</v>
      </c>
    </row>
    <row r="12" spans="1:25" ht="18" customHeight="1">
      <c r="A12" s="1830" t="s">
        <v>1826</v>
      </c>
      <c r="B12" s="2518" t="s">
        <v>2460</v>
      </c>
      <c r="C12" s="799">
        <f ca="1">ROUND(IF(F12="押一",C8/12*F13,IF(F12="押二",C8/12*2*F13,IF(F12="押三",C8/12*3*F13,C13*F13))),0)</f>
        <v>0</v>
      </c>
      <c r="D12" s="2525" t="s">
        <v>2969</v>
      </c>
      <c r="E12" s="2522" t="s">
        <v>2465</v>
      </c>
      <c r="F12" s="2645"/>
      <c r="G12" s="1591"/>
      <c r="H12" s="2585" t="s">
        <v>1826</v>
      </c>
      <c r="I12" s="2590" t="s">
        <v>2460</v>
      </c>
      <c r="J12" s="783">
        <f ca="1">ROUND(IF(M12="押一",J8/12*M13,IF(M12="押二",J8/12*2*M13,IF(M12="押三",J8/12*3*M13,J13*M13))),0)</f>
        <v>0</v>
      </c>
      <c r="K12" s="2525" t="s">
        <v>2969</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1875</v>
      </c>
      <c r="B15" s="1827" t="s">
        <v>641</v>
      </c>
      <c r="C15" s="792">
        <f ca="1">ROUND(C31*F15,0)</f>
        <v>0</v>
      </c>
      <c r="D15" s="1834" t="s">
        <v>642</v>
      </c>
      <c r="E15" s="795" t="s">
        <v>643</v>
      </c>
      <c r="F15" s="800">
        <f ca="1">INDIRECT("'数据-取费表'!y"&amp;$G$1)</f>
        <v>0</v>
      </c>
      <c r="G15" s="1591"/>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1"/>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1"/>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2"/>
      <c r="H22" s="1832" t="s">
        <v>1851</v>
      </c>
      <c r="I22" s="1822" t="s">
        <v>668</v>
      </c>
      <c r="J22" s="54">
        <f ca="1">ROUND(M22*M23/10000,0)</f>
        <v>0</v>
      </c>
      <c r="K22" s="814" t="s">
        <v>669</v>
      </c>
      <c r="L22" s="784" t="s">
        <v>670</v>
      </c>
      <c r="M22" s="640">
        <f>'数据-取费表'!B52</f>
        <v>1.5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6.9999999999999999E-4</v>
      </c>
      <c r="D26" s="2595"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1"/>
      <c r="H27" s="797" t="s">
        <v>1829</v>
      </c>
      <c r="I27" s="3035"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2824</v>
      </c>
      <c r="C31" s="2568">
        <f ca="1">ROUND((C21+C22+C25+C28)/(1-F23-C26-C29-C30),0)</f>
        <v>0</v>
      </c>
      <c r="D31" s="2569"/>
      <c r="E31" s="2570"/>
      <c r="F31" s="2571"/>
      <c r="G31" s="1592"/>
      <c r="H31" s="823" t="s">
        <v>1873</v>
      </c>
      <c r="I31" s="3036"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1.5</v>
      </c>
      <c r="G36" s="2062"/>
      <c r="H36" s="2065"/>
      <c r="I36" s="3433"/>
      <c r="J36" s="2079"/>
      <c r="K36" s="2080"/>
      <c r="L36" s="2079"/>
      <c r="M36" s="2079"/>
    </row>
    <row r="37" spans="1:18" ht="18" customHeight="1">
      <c r="A37" s="815"/>
      <c r="B37" s="793"/>
      <c r="C37" s="69"/>
      <c r="D37" s="816"/>
      <c r="E37" s="784" t="s">
        <v>674</v>
      </c>
      <c r="F37" s="785">
        <f ca="1">INDIRECT("'数据-取费表'!r"&amp;$G$1)</f>
        <v>0</v>
      </c>
      <c r="G37" s="2062"/>
      <c r="H37" s="2065"/>
      <c r="I37" s="3433"/>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153" t="s">
        <v>2957</v>
      </c>
      <c r="F43" s="3154">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62">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5" t="s">
        <v>2960</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50"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38"/>
      <c r="L54" s="3439"/>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7" t="s">
        <v>2356</v>
      </c>
      <c r="J56" s="3151"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50" t="s">
        <v>1679</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2"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9" t="s">
        <v>2937</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30">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1">
        <v>0</v>
      </c>
      <c r="O65" s="2428" t="s">
        <v>2416</v>
      </c>
      <c r="P65" s="1591"/>
      <c r="Q65" s="1603"/>
      <c r="R65" s="1591"/>
    </row>
    <row r="66" spans="1:18" s="2059" customFormat="1" ht="15.75" thickBot="1">
      <c r="A66" s="2096"/>
      <c r="B66" s="2097"/>
      <c r="C66" s="2097"/>
      <c r="I66" s="2409" t="s">
        <v>2373</v>
      </c>
      <c r="J66" s="2410">
        <v>40</v>
      </c>
      <c r="K66" s="2410">
        <v>30</v>
      </c>
      <c r="L66" s="2410">
        <v>50</v>
      </c>
      <c r="M66" s="3130">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42" t="s">
        <v>2577</v>
      </c>
      <c r="C1" s="3442"/>
      <c r="D1" s="3442"/>
      <c r="E1" s="3442"/>
      <c r="F1" s="3442"/>
      <c r="G1" s="3441" t="s">
        <v>2578</v>
      </c>
      <c r="H1" s="3441"/>
      <c r="I1" s="3441"/>
      <c r="J1" s="3441"/>
      <c r="K1" s="3441"/>
      <c r="L1" s="3441"/>
      <c r="N1" s="3441" t="s">
        <v>2579</v>
      </c>
      <c r="O1" s="3441"/>
      <c r="P1" s="3441"/>
      <c r="Q1" s="3441"/>
      <c r="R1" s="2678"/>
      <c r="S1" s="3441" t="s">
        <v>2580</v>
      </c>
      <c r="T1" s="3441"/>
      <c r="U1" s="3441"/>
      <c r="V1" s="3441"/>
      <c r="X1" s="3440" t="s">
        <v>2640</v>
      </c>
      <c r="Y1" s="3441"/>
      <c r="Z1" s="3441"/>
      <c r="AA1" s="3441"/>
      <c r="AB1" s="3441"/>
      <c r="AD1" s="3440" t="s">
        <v>2644</v>
      </c>
      <c r="AE1" s="3441"/>
      <c r="AF1" s="3441"/>
      <c r="AG1" s="3441"/>
      <c r="AH1" s="3441"/>
    </row>
    <row r="2" spans="1:34" s="2780" customFormat="1" ht="14.25" thickBot="1">
      <c r="B2" s="2788" t="s">
        <v>2581</v>
      </c>
      <c r="C2" s="2788" t="s">
        <v>2642</v>
      </c>
      <c r="D2" s="2781" t="s">
        <v>1645</v>
      </c>
      <c r="E2" s="2781" t="s">
        <v>1952</v>
      </c>
      <c r="F2" s="2788" t="s">
        <v>2643</v>
      </c>
      <c r="G2" s="2784"/>
      <c r="H2" s="2783"/>
      <c r="I2" s="2788" t="s">
        <v>2951</v>
      </c>
      <c r="J2" s="2781" t="s">
        <v>2953</v>
      </c>
      <c r="K2" s="2781" t="s">
        <v>2954</v>
      </c>
      <c r="L2" s="2788" t="s">
        <v>2955</v>
      </c>
      <c r="N2" s="2788" t="s">
        <v>2581</v>
      </c>
      <c r="O2" s="2781" t="s">
        <v>2952</v>
      </c>
      <c r="P2" s="2781" t="s">
        <v>1952</v>
      </c>
      <c r="Q2" s="2788" t="s">
        <v>2643</v>
      </c>
      <c r="R2" s="2782"/>
      <c r="S2" s="2788" t="s">
        <v>2581</v>
      </c>
      <c r="T2" s="2781" t="s">
        <v>2952</v>
      </c>
      <c r="U2" s="2781" t="s">
        <v>1952</v>
      </c>
      <c r="V2" s="2788" t="s">
        <v>2643</v>
      </c>
      <c r="X2" s="2788" t="s">
        <v>2581</v>
      </c>
      <c r="Y2" s="2788" t="s">
        <v>2642</v>
      </c>
      <c r="Z2" s="2781" t="s">
        <v>1645</v>
      </c>
      <c r="AA2" s="2781" t="s">
        <v>1952</v>
      </c>
      <c r="AB2" s="2788" t="s">
        <v>2643</v>
      </c>
      <c r="AD2" s="2788" t="s">
        <v>2581</v>
      </c>
      <c r="AE2" s="2788" t="s">
        <v>2642</v>
      </c>
      <c r="AF2" s="2781" t="s">
        <v>1645</v>
      </c>
      <c r="AG2" s="2781" t="s">
        <v>1952</v>
      </c>
      <c r="AH2" s="2788" t="s">
        <v>2643</v>
      </c>
    </row>
    <row r="3" spans="1:34" s="3165" customFormat="1" ht="14.25">
      <c r="A3" s="3177" t="s">
        <v>2964</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1.4517</v>
      </c>
      <c r="Y3" s="3171">
        <f>ROUND(SUMPRODUCT(PRODUCT(1+O3:O$21)),4)</f>
        <v>1.2928999999999999</v>
      </c>
      <c r="Z3" s="3171">
        <f t="shared" ref="Z3:Z19" si="0">Y3</f>
        <v>1.2928999999999999</v>
      </c>
      <c r="AA3" s="3171">
        <f>ROUND(SUMPRODUCT(PRODUCT(1+P3:P$21)),4)</f>
        <v>1.5068999999999999</v>
      </c>
      <c r="AB3" s="3171">
        <f>ROUND(SUMPRODUCT(PRODUCT(1+Q3:Q$21)),4)</f>
        <v>1.2557</v>
      </c>
      <c r="AD3" s="3172">
        <f>ROUND(AVERAGE(I3:I$22)/100,4)</f>
        <v>2.2800000000000001E-2</v>
      </c>
      <c r="AE3" s="3172">
        <f>ROUND(AVERAGE(J3:J$22)/100,4)</f>
        <v>1.5699999999999999E-2</v>
      </c>
      <c r="AF3" s="3172">
        <f t="shared" ref="AF3:AF20" si="1">AE3</f>
        <v>1.5699999999999999E-2</v>
      </c>
      <c r="AG3" s="3172">
        <f>ROUND(AVERAGE(K3:K$22)/100,4)</f>
        <v>2.5100000000000001E-2</v>
      </c>
      <c r="AH3" s="3172">
        <f>ROUND(AVERAGE(L3:L$22)/100,4)</f>
        <v>1.35E-2</v>
      </c>
    </row>
    <row r="4" spans="1:34" s="2773" customFormat="1" ht="14.25">
      <c r="B4" s="2774"/>
      <c r="C4" s="2774"/>
      <c r="D4" s="2775"/>
      <c r="E4" s="2775"/>
      <c r="F4" s="2774"/>
      <c r="G4" s="2779"/>
      <c r="H4" s="2776"/>
      <c r="I4" s="3158"/>
      <c r="J4" s="3158"/>
      <c r="K4" s="3158"/>
      <c r="L4" s="3158"/>
      <c r="N4" s="2779"/>
      <c r="O4" s="2777"/>
      <c r="P4" s="2777"/>
      <c r="Q4" s="2777"/>
      <c r="R4" s="2777"/>
      <c r="S4" s="2779"/>
      <c r="T4" s="2777"/>
      <c r="U4" s="2777"/>
      <c r="V4" s="2777"/>
      <c r="W4" s="3174"/>
      <c r="X4" s="2778"/>
      <c r="Y4" s="2778"/>
      <c r="Z4" s="2778"/>
      <c r="AA4" s="2778"/>
      <c r="AB4" s="2778"/>
      <c r="AD4" s="2698"/>
      <c r="AE4" s="2698"/>
      <c r="AF4" s="2698"/>
      <c r="AG4" s="2698"/>
      <c r="AH4" s="2698"/>
    </row>
    <row r="5" spans="1:34" s="3144" customFormat="1">
      <c r="A5" s="3142" t="s">
        <v>2971</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3">
        <v>2</v>
      </c>
      <c r="I5" s="3159">
        <v>0</v>
      </c>
      <c r="J5" s="3159">
        <v>0</v>
      </c>
      <c r="K5" s="3159">
        <v>0</v>
      </c>
      <c r="L5" s="3159">
        <v>0</v>
      </c>
      <c r="N5" s="2786">
        <f t="shared" ref="N5" si="6">I5/100</f>
        <v>0</v>
      </c>
      <c r="O5" s="2786">
        <f t="shared" ref="O5" si="7">J5/100</f>
        <v>0</v>
      </c>
      <c r="P5" s="2786">
        <f t="shared" ref="P5" si="8">K5/100</f>
        <v>0</v>
      </c>
      <c r="Q5" s="2786">
        <f t="shared" ref="Q5" si="9">L5/100</f>
        <v>0</v>
      </c>
      <c r="R5" s="3145"/>
      <c r="S5" s="3146"/>
      <c r="T5" s="3145"/>
      <c r="U5" s="3145"/>
      <c r="V5" s="3145"/>
      <c r="W5" s="3175" t="s">
        <v>2965</v>
      </c>
      <c r="X5" s="3147">
        <f>ROUND(SUMPRODUCT(PRODUCT(1+N5:N$21)),4)</f>
        <v>1.4517</v>
      </c>
      <c r="Y5" s="3147">
        <f>ROUND(SUMPRODUCT(PRODUCT(1+O5:O$21)),4)</f>
        <v>1.2928999999999999</v>
      </c>
      <c r="Z5" s="3147">
        <f t="shared" ref="Z5" si="10">Y5</f>
        <v>1.2928999999999999</v>
      </c>
      <c r="AA5" s="3147">
        <f>ROUND(SUMPRODUCT(PRODUCT(1+P5:P$21)),4)</f>
        <v>1.5068999999999999</v>
      </c>
      <c r="AB5" s="3147">
        <f>ROUND(SUMPRODUCT(PRODUCT(1+Q5:Q$21)),4)</f>
        <v>1.2557</v>
      </c>
      <c r="AD5" s="3148">
        <f>ROUND(AVERAGE(I5:I$22)/100,4)</f>
        <v>2.2700000000000001E-2</v>
      </c>
      <c r="AE5" s="3148">
        <f>ROUND(AVERAGE(J5:J$22)/100,4)</f>
        <v>1.5699999999999999E-2</v>
      </c>
      <c r="AF5" s="3148">
        <f t="shared" ref="AF5" si="11">AE5</f>
        <v>1.5699999999999999E-2</v>
      </c>
      <c r="AG5" s="3148">
        <f>ROUND(AVERAGE(K5:K$22)/100,4)</f>
        <v>2.5000000000000001E-2</v>
      </c>
      <c r="AH5" s="3148">
        <f>ROUND(AVERAGE(L5:L$22)/100,4)</f>
        <v>1.35E-2</v>
      </c>
    </row>
    <row r="6" spans="1:34" s="2785" customFormat="1" ht="13.5" thickBot="1">
      <c r="A6" s="2679" t="s">
        <v>2972</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4">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2962</v>
      </c>
      <c r="B7" s="3179">
        <v>439</v>
      </c>
      <c r="C7" s="3179">
        <v>327</v>
      </c>
      <c r="D7" s="3179">
        <f t="shared" si="13"/>
        <v>327</v>
      </c>
      <c r="E7" s="3179">
        <v>627</v>
      </c>
      <c r="F7" s="3180">
        <v>283</v>
      </c>
      <c r="G7" s="3162">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2966</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4"/>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5"/>
        <v>419.31181600000002</v>
      </c>
      <c r="C9" s="2693">
        <f t="shared" si="25"/>
        <v>313.95436800000004</v>
      </c>
      <c r="D9" s="2693">
        <f t="shared" si="13"/>
        <v>313.95436800000004</v>
      </c>
      <c r="E9" s="2693">
        <f t="shared" si="26"/>
        <v>596.63028431999999</v>
      </c>
      <c r="F9" s="2693">
        <f t="shared" si="26"/>
        <v>274.74220703999998</v>
      </c>
      <c r="G9" s="3163"/>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5"/>
        <v>405.524</v>
      </c>
      <c r="C10" s="2693">
        <f t="shared" si="25"/>
        <v>307.79840000000002</v>
      </c>
      <c r="D10" s="2693">
        <f t="shared" si="13"/>
        <v>307.79840000000002</v>
      </c>
      <c r="E10" s="2693">
        <f t="shared" si="26"/>
        <v>574.67759999999998</v>
      </c>
      <c r="F10" s="2693">
        <f t="shared" si="26"/>
        <v>270.20280000000002</v>
      </c>
      <c r="G10" s="3164"/>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49">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44"/>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44"/>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45"/>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43">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44"/>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44"/>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45"/>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43">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44"/>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44"/>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45"/>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5"/>
        <v>252</v>
      </c>
      <c r="E23" s="2685">
        <v>409</v>
      </c>
      <c r="F23" s="2686">
        <v>227</v>
      </c>
      <c r="G23" s="3446">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2585</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47"/>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2586</v>
      </c>
      <c r="B25" s="2693">
        <f t="shared" si="44"/>
        <v>288.2649053828776</v>
      </c>
      <c r="C25" s="2693">
        <f t="shared" si="44"/>
        <v>243.64564425013293</v>
      </c>
      <c r="D25" s="2693">
        <f t="shared" si="35"/>
        <v>243.64564425013293</v>
      </c>
      <c r="E25" s="2693">
        <f t="shared" si="45"/>
        <v>393.31080825986544</v>
      </c>
      <c r="F25" s="2693">
        <f t="shared" si="45"/>
        <v>223.07903790551154</v>
      </c>
      <c r="G25" s="3447"/>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2587</v>
      </c>
      <c r="B26" s="2693">
        <f t="shared" si="44"/>
        <v>282.50186729015837</v>
      </c>
      <c r="C26" s="2693">
        <f t="shared" si="44"/>
        <v>238.09796174155468</v>
      </c>
      <c r="D26" s="2693">
        <f t="shared" si="35"/>
        <v>238.09796174155468</v>
      </c>
      <c r="E26" s="2693">
        <f t="shared" si="45"/>
        <v>385.33438646014054</v>
      </c>
      <c r="F26" s="2693">
        <f t="shared" si="45"/>
        <v>221.55034055567739</v>
      </c>
      <c r="G26" s="3448"/>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5"/>
        <v>234</v>
      </c>
      <c r="E27" s="2723">
        <v>379</v>
      </c>
      <c r="F27" s="2724">
        <v>220</v>
      </c>
      <c r="G27" s="3443">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5"/>
        <v>232.41954707985698</v>
      </c>
      <c r="E28" s="2693">
        <f t="shared" ref="E28:F30" si="46">E27/(1+P27)</f>
        <v>375.32184591008121</v>
      </c>
      <c r="F28" s="2693">
        <f t="shared" si="46"/>
        <v>218.03766105054513</v>
      </c>
      <c r="G28" s="3444"/>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2590</v>
      </c>
      <c r="B29" s="2693">
        <f>B28/(1+N28)</f>
        <v>275.24529281292263</v>
      </c>
      <c r="C29" s="2693">
        <f>C28/(1+O28)</f>
        <v>231.74747938962707</v>
      </c>
      <c r="D29" s="2693">
        <f t="shared" si="35"/>
        <v>231.74747938962707</v>
      </c>
      <c r="E29" s="2693">
        <f t="shared" si="46"/>
        <v>375.35938184826603</v>
      </c>
      <c r="F29" s="2693">
        <f t="shared" si="46"/>
        <v>216.78033510692495</v>
      </c>
      <c r="G29" s="3444"/>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2591</v>
      </c>
      <c r="B30" s="2693">
        <f>B29/(1+N29)</f>
        <v>275.19025476197027</v>
      </c>
      <c r="C30" s="2725">
        <v>232</v>
      </c>
      <c r="D30" s="2725">
        <f t="shared" si="35"/>
        <v>232</v>
      </c>
      <c r="E30" s="2693">
        <f t="shared" si="46"/>
        <v>375.65990977608692</v>
      </c>
      <c r="F30" s="2693">
        <f t="shared" si="46"/>
        <v>214.12518283971252</v>
      </c>
      <c r="G30" s="3445"/>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5"/>
        <v>232</v>
      </c>
      <c r="E31" s="2685">
        <v>376</v>
      </c>
      <c r="F31" s="2686">
        <v>213</v>
      </c>
      <c r="G31" s="3443">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2593</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44">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2594</v>
      </c>
      <c r="B33" s="2693">
        <f t="shared" si="47"/>
        <v>275.19335084830601</v>
      </c>
      <c r="C33" s="2693">
        <f t="shared" si="47"/>
        <v>230.18088050139744</v>
      </c>
      <c r="D33" s="2693">
        <f t="shared" si="35"/>
        <v>230.18088050139744</v>
      </c>
      <c r="E33" s="2693">
        <f t="shared" si="48"/>
        <v>377.58482925212331</v>
      </c>
      <c r="F33" s="2693">
        <f t="shared" si="48"/>
        <v>210.90687997847917</v>
      </c>
      <c r="G33" s="3444">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2595</v>
      </c>
      <c r="B34" s="2693">
        <f t="shared" si="47"/>
        <v>276.29854502841971</v>
      </c>
      <c r="C34" s="2693">
        <f t="shared" si="47"/>
        <v>229.79023709833027</v>
      </c>
      <c r="D34" s="2693">
        <f t="shared" si="35"/>
        <v>229.79023709833027</v>
      </c>
      <c r="E34" s="2693">
        <f t="shared" si="48"/>
        <v>379.78759731655936</v>
      </c>
      <c r="F34" s="2693">
        <f t="shared" si="48"/>
        <v>211.32953905659235</v>
      </c>
      <c r="G34" s="3445">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5"/>
        <v>221</v>
      </c>
      <c r="E35" s="2685">
        <v>373</v>
      </c>
      <c r="F35" s="2686">
        <v>196</v>
      </c>
      <c r="G35" s="3443">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2597</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44">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2598</v>
      </c>
      <c r="B37" s="2693">
        <f t="shared" si="49"/>
        <v>242.95398227588385</v>
      </c>
      <c r="C37" s="2693">
        <f t="shared" si="49"/>
        <v>199.59137053614126</v>
      </c>
      <c r="D37" s="2693">
        <f t="shared" si="35"/>
        <v>199.59137053614126</v>
      </c>
      <c r="E37" s="2693">
        <f t="shared" si="50"/>
        <v>335.92189522342125</v>
      </c>
      <c r="F37" s="2693">
        <f t="shared" si="50"/>
        <v>183.10139991109489</v>
      </c>
      <c r="G37" s="3444">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2599</v>
      </c>
      <c r="B38" s="2693">
        <f t="shared" si="49"/>
        <v>232.06990378821649</v>
      </c>
      <c r="C38" s="2693">
        <f t="shared" si="49"/>
        <v>192.74878854286936</v>
      </c>
      <c r="D38" s="2693">
        <f t="shared" si="35"/>
        <v>192.74878854286936</v>
      </c>
      <c r="E38" s="2693">
        <f t="shared" si="50"/>
        <v>319.71247284992984</v>
      </c>
      <c r="F38" s="2693">
        <f t="shared" si="50"/>
        <v>175.67053622862409</v>
      </c>
      <c r="G38" s="3445">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5"/>
        <v>187</v>
      </c>
      <c r="E39" s="2685">
        <v>301</v>
      </c>
      <c r="F39" s="2686">
        <v>168</v>
      </c>
      <c r="G39" s="3443">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2601</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44">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2602</v>
      </c>
      <c r="B41" s="2693">
        <f t="shared" si="51"/>
        <v>210.630522469011</v>
      </c>
      <c r="C41" s="2693">
        <f t="shared" si="51"/>
        <v>181.69567812247232</v>
      </c>
      <c r="D41" s="2693">
        <f t="shared" si="35"/>
        <v>181.69567812247232</v>
      </c>
      <c r="E41" s="2693">
        <f t="shared" si="52"/>
        <v>286.13517466736738</v>
      </c>
      <c r="F41" s="2693">
        <f t="shared" si="52"/>
        <v>165.47535084591149</v>
      </c>
      <c r="G41" s="3444">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2603</v>
      </c>
      <c r="B42" s="2693">
        <f t="shared" si="51"/>
        <v>208.83454537875372</v>
      </c>
      <c r="C42" s="2693">
        <f t="shared" si="51"/>
        <v>183.77230517090351</v>
      </c>
      <c r="D42" s="2693">
        <f t="shared" si="35"/>
        <v>183.77230517090351</v>
      </c>
      <c r="E42" s="2693">
        <f t="shared" si="52"/>
        <v>281.10342338870947</v>
      </c>
      <c r="F42" s="2693">
        <f t="shared" si="52"/>
        <v>168.97309388942256</v>
      </c>
      <c r="G42" s="3445">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5"/>
        <v>188</v>
      </c>
      <c r="E43" s="2723">
        <v>289</v>
      </c>
      <c r="F43" s="2724">
        <v>166</v>
      </c>
      <c r="G43" s="3443">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2605</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44">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2606</v>
      </c>
      <c r="B45" s="2693">
        <f t="shared" si="53"/>
        <v>206.31694671589116</v>
      </c>
      <c r="C45" s="2693">
        <f t="shared" si="53"/>
        <v>183.61041121036101</v>
      </c>
      <c r="D45" s="2693">
        <f t="shared" si="35"/>
        <v>183.61041121036101</v>
      </c>
      <c r="E45" s="2693">
        <f t="shared" si="54"/>
        <v>276.66850301795557</v>
      </c>
      <c r="F45" s="2693">
        <f t="shared" si="54"/>
        <v>165.1360938278614</v>
      </c>
      <c r="G45" s="3444">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2607</v>
      </c>
      <c r="B46" s="2726">
        <f t="shared" si="53"/>
        <v>196.62341248059772</v>
      </c>
      <c r="C46" s="2726">
        <f t="shared" si="53"/>
        <v>170.99125648199012</v>
      </c>
      <c r="D46" s="2726">
        <f t="shared" si="35"/>
        <v>170.99125648199012</v>
      </c>
      <c r="E46" s="2726">
        <f t="shared" si="54"/>
        <v>266.07857570490052</v>
      </c>
      <c r="F46" s="2726">
        <f t="shared" si="54"/>
        <v>154.53499328828505</v>
      </c>
      <c r="G46" s="3445">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5"/>
        <v>165</v>
      </c>
      <c r="E47" s="2685">
        <v>254</v>
      </c>
      <c r="F47" s="2686">
        <v>148</v>
      </c>
      <c r="G47" s="3443">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2609</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44">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2610</v>
      </c>
      <c r="B49" s="2693">
        <f t="shared" si="57"/>
        <v>168.82017748715555</v>
      </c>
      <c r="C49" s="2693">
        <f t="shared" si="57"/>
        <v>148.06267029972753</v>
      </c>
      <c r="D49" s="2693">
        <f t="shared" si="35"/>
        <v>148.06267029972753</v>
      </c>
      <c r="E49" s="2693">
        <f t="shared" si="58"/>
        <v>216.46288379323747</v>
      </c>
      <c r="F49" s="2693">
        <f t="shared" si="58"/>
        <v>134.23529411764704</v>
      </c>
      <c r="G49" s="3444">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2611</v>
      </c>
      <c r="B50" s="2693">
        <f t="shared" si="57"/>
        <v>163.84913591779542</v>
      </c>
      <c r="C50" s="2693">
        <f t="shared" si="57"/>
        <v>145.0283378746594</v>
      </c>
      <c r="D50" s="2693">
        <f t="shared" si="35"/>
        <v>145.0283378746594</v>
      </c>
      <c r="E50" s="2693">
        <f t="shared" si="58"/>
        <v>204.95180722891567</v>
      </c>
      <c r="F50" s="2693">
        <f t="shared" si="58"/>
        <v>125.95920303605313</v>
      </c>
      <c r="G50" s="3445">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5"/>
        <v>141</v>
      </c>
      <c r="E51" s="2707">
        <v>195</v>
      </c>
      <c r="F51" s="2708">
        <v>122</v>
      </c>
      <c r="G51" s="3443">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2613</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44">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2614</v>
      </c>
      <c r="B53" s="2693">
        <f t="shared" si="61"/>
        <v>146.57412060301507</v>
      </c>
      <c r="C53" s="2693">
        <f t="shared" si="61"/>
        <v>136.46831955922866</v>
      </c>
      <c r="D53" s="2693">
        <f t="shared" si="35"/>
        <v>136.46831955922866</v>
      </c>
      <c r="E53" s="2693">
        <f t="shared" si="62"/>
        <v>166.73864894795128</v>
      </c>
      <c r="F53" s="2693">
        <f t="shared" si="62"/>
        <v>115.05882352941177</v>
      </c>
      <c r="G53" s="3444">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2615</v>
      </c>
      <c r="B54" s="2693">
        <f t="shared" si="61"/>
        <v>144.04145728643215</v>
      </c>
      <c r="C54" s="2693">
        <f t="shared" si="61"/>
        <v>136.12396694214877</v>
      </c>
      <c r="D54" s="2693">
        <f t="shared" si="35"/>
        <v>136.12396694214877</v>
      </c>
      <c r="E54" s="2693">
        <f t="shared" si="62"/>
        <v>158.32225913621264</v>
      </c>
      <c r="F54" s="2693">
        <f t="shared" si="62"/>
        <v>114.04278074866311</v>
      </c>
      <c r="G54" s="3445">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5"/>
        <v>131</v>
      </c>
      <c r="E55" s="2707">
        <v>155</v>
      </c>
      <c r="F55" s="2708">
        <v>114</v>
      </c>
      <c r="G55" s="3443">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2617</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44">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2618</v>
      </c>
      <c r="B57" s="2693">
        <f t="shared" si="65"/>
        <v>124.29032258064517</v>
      </c>
      <c r="C57" s="2693">
        <f t="shared" si="65"/>
        <v>123.8968609865471</v>
      </c>
      <c r="D57" s="2693">
        <f t="shared" si="35"/>
        <v>123.8968609865471</v>
      </c>
      <c r="E57" s="2693">
        <f t="shared" si="66"/>
        <v>138.00507614213197</v>
      </c>
      <c r="F57" s="2693">
        <f t="shared" si="66"/>
        <v>107.96106557377048</v>
      </c>
      <c r="G57" s="3444">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2619</v>
      </c>
      <c r="B58" s="2693">
        <f t="shared" si="65"/>
        <v>122.57204301075269</v>
      </c>
      <c r="C58" s="2693">
        <f t="shared" si="65"/>
        <v>123.4932735426009</v>
      </c>
      <c r="D58" s="2693">
        <f t="shared" si="35"/>
        <v>123.4932735426009</v>
      </c>
      <c r="E58" s="2693">
        <f t="shared" si="66"/>
        <v>129.82233502538071</v>
      </c>
      <c r="F58" s="2693">
        <f t="shared" si="66"/>
        <v>107.39446721311475</v>
      </c>
      <c r="G58" s="3445">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5"/>
        <v>122</v>
      </c>
      <c r="E59" s="2723">
        <v>124</v>
      </c>
      <c r="F59" s="2724">
        <v>107</v>
      </c>
      <c r="G59" s="3443">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2621</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44">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2622</v>
      </c>
      <c r="B61" s="2693">
        <f t="shared" si="69"/>
        <v>116.99099099099099</v>
      </c>
      <c r="C61" s="2693">
        <f t="shared" si="69"/>
        <v>118.84848484848486</v>
      </c>
      <c r="D61" s="2693">
        <f t="shared" si="35"/>
        <v>118.84848484848486</v>
      </c>
      <c r="E61" s="2693">
        <f t="shared" si="70"/>
        <v>117.60960960960961</v>
      </c>
      <c r="F61" s="2693">
        <f t="shared" si="70"/>
        <v>104</v>
      </c>
      <c r="G61" s="3444">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2623</v>
      </c>
      <c r="B62" s="2726">
        <f t="shared" si="69"/>
        <v>112.48648648648648</v>
      </c>
      <c r="C62" s="2726">
        <f t="shared" si="69"/>
        <v>115.21212121212122</v>
      </c>
      <c r="D62" s="2726">
        <f t="shared" si="35"/>
        <v>115.21212121212122</v>
      </c>
      <c r="E62" s="2726">
        <f t="shared" si="70"/>
        <v>110.4024024024024</v>
      </c>
      <c r="F62" s="2726">
        <f t="shared" si="70"/>
        <v>104</v>
      </c>
      <c r="G62" s="3445">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5"/>
        <v>114</v>
      </c>
      <c r="E63" s="2744">
        <v>108</v>
      </c>
      <c r="F63" s="2745">
        <v>104</v>
      </c>
      <c r="G63" s="3443">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1">B65+(B$63-B$67)/4</f>
        <v>109.75</v>
      </c>
      <c r="C64" s="2748">
        <f t="shared" si="71"/>
        <v>112.25</v>
      </c>
      <c r="D64" s="2748">
        <f t="shared" si="35"/>
        <v>112.25</v>
      </c>
      <c r="E64" s="2748">
        <f t="shared" ref="E64:F66" si="72">E65+(E$63-E$67)/4</f>
        <v>107.25</v>
      </c>
      <c r="F64" s="2748">
        <f t="shared" si="72"/>
        <v>103.5</v>
      </c>
      <c r="G64" s="3444">
        <v>2003</v>
      </c>
      <c r="H64" s="2704">
        <v>3</v>
      </c>
      <c r="I64" s="2746"/>
      <c r="J64" s="2746"/>
      <c r="K64" s="2746"/>
      <c r="L64" s="2746"/>
      <c r="X64" s="2738"/>
      <c r="Y64" s="2738"/>
      <c r="Z64" s="2738"/>
    </row>
    <row r="65" spans="1:26">
      <c r="A65" s="2679" t="s">
        <v>2626</v>
      </c>
      <c r="B65" s="2748">
        <f t="shared" si="71"/>
        <v>108.5</v>
      </c>
      <c r="C65" s="2748">
        <f t="shared" si="71"/>
        <v>110.5</v>
      </c>
      <c r="D65" s="2748">
        <f t="shared" si="35"/>
        <v>110.5</v>
      </c>
      <c r="E65" s="2748">
        <f t="shared" si="72"/>
        <v>106.5</v>
      </c>
      <c r="F65" s="2748">
        <f t="shared" si="72"/>
        <v>103</v>
      </c>
      <c r="G65" s="3444">
        <v>2003</v>
      </c>
      <c r="H65" s="2684">
        <v>2</v>
      </c>
      <c r="I65" s="2746"/>
      <c r="J65" s="2746"/>
      <c r="K65" s="2746"/>
      <c r="L65" s="2746"/>
      <c r="X65" s="2738"/>
      <c r="Y65" s="2738"/>
      <c r="Z65" s="2738"/>
    </row>
    <row r="66" spans="1:26" ht="13.5" thickBot="1">
      <c r="A66" s="2679" t="s">
        <v>2627</v>
      </c>
      <c r="B66" s="2748">
        <f t="shared" si="71"/>
        <v>107.25</v>
      </c>
      <c r="C66" s="2748">
        <f t="shared" si="71"/>
        <v>108.75</v>
      </c>
      <c r="D66" s="2748">
        <f t="shared" si="35"/>
        <v>108.75</v>
      </c>
      <c r="E66" s="2748">
        <f t="shared" si="72"/>
        <v>105.75</v>
      </c>
      <c r="F66" s="2748">
        <f t="shared" si="72"/>
        <v>102.5</v>
      </c>
      <c r="G66" s="3445">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5"/>
        <v>107</v>
      </c>
      <c r="E67" s="2750">
        <v>105</v>
      </c>
      <c r="F67" s="2751">
        <v>102</v>
      </c>
      <c r="G67" s="3443">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3">B69+(B$67-B$71)/4</f>
        <v>105</v>
      </c>
      <c r="C68" s="2748">
        <f t="shared" si="73"/>
        <v>106</v>
      </c>
      <c r="D68" s="2748">
        <f t="shared" si="35"/>
        <v>106</v>
      </c>
      <c r="E68" s="2748">
        <f t="shared" ref="E68:F70" si="74">E69+(E$67-E$71)/4</f>
        <v>104.5</v>
      </c>
      <c r="F68" s="2748">
        <f t="shared" si="74"/>
        <v>101.5</v>
      </c>
      <c r="G68" s="3444">
        <v>2002</v>
      </c>
      <c r="H68" s="2704">
        <v>3</v>
      </c>
      <c r="I68" s="2746"/>
      <c r="J68" s="2746"/>
      <c r="K68" s="2746"/>
      <c r="L68" s="2746"/>
      <c r="X68" s="2738"/>
      <c r="Y68" s="2738"/>
      <c r="Z68" s="2738"/>
    </row>
    <row r="69" spans="1:26">
      <c r="A69" s="2679" t="s">
        <v>2630</v>
      </c>
      <c r="B69" s="2748">
        <f t="shared" si="73"/>
        <v>104</v>
      </c>
      <c r="C69" s="2748">
        <f t="shared" si="73"/>
        <v>105</v>
      </c>
      <c r="D69" s="2748">
        <f t="shared" si="35"/>
        <v>105</v>
      </c>
      <c r="E69" s="2748">
        <f t="shared" si="74"/>
        <v>104</v>
      </c>
      <c r="F69" s="2748">
        <f t="shared" si="74"/>
        <v>101</v>
      </c>
      <c r="G69" s="3444">
        <v>2002</v>
      </c>
      <c r="H69" s="2684">
        <v>2</v>
      </c>
      <c r="I69" s="2746"/>
      <c r="J69" s="2746"/>
      <c r="K69" s="2746"/>
      <c r="L69" s="2746"/>
      <c r="X69" s="2738"/>
      <c r="Y69" s="2738"/>
      <c r="Z69" s="2738"/>
    </row>
    <row r="70" spans="1:26" s="2715" customFormat="1" ht="13.5" thickBot="1">
      <c r="A70" s="2711" t="s">
        <v>2631</v>
      </c>
      <c r="B70" s="2752">
        <f t="shared" si="73"/>
        <v>103</v>
      </c>
      <c r="C70" s="2752">
        <f t="shared" si="73"/>
        <v>104</v>
      </c>
      <c r="D70" s="2752">
        <f t="shared" si="35"/>
        <v>104</v>
      </c>
      <c r="E70" s="2752">
        <f t="shared" si="74"/>
        <v>103.5</v>
      </c>
      <c r="F70" s="2752">
        <f t="shared" si="74"/>
        <v>100.5</v>
      </c>
      <c r="G70" s="3445">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科雅（北京）新型装饰材料有限公司：</v>
      </c>
    </row>
    <row r="4" spans="1:4" ht="37.5">
      <c r="A4" s="1791" t="str">
        <f>"受贵公司委托，我公司对"&amp;项目基本情况!K2&amp;项目基本情况!B9&amp;"进行了预评估。"</f>
        <v>受贵公司委托，我公司对北京市顺义区北小营镇北小营村东出让国有建设用地使用权抵押价格进行了预评估。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雅（北京）新型装饰材料有限公司使用的、位于北京市顺义区北小营镇北小营村东出让国有建设用地使用权。根据《国有土地使用证》[]，估价对象（分摊）出让国有建设用地使用权面积为28344.22平方米。根据《建设工程规划许可证》[]、《出让合同》[]，估价对象规划建筑面积为13432.367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2018年5月30日（评估专业人员勘察现场之日）</v>
      </c>
    </row>
    <row r="12" spans="1:4" ht="18.75">
      <c r="A12" s="1797" t="s">
        <v>2026</v>
      </c>
    </row>
    <row r="13" spans="1:4" ht="18.75">
      <c r="A13" s="1791" t="s">
        <v>2936</v>
      </c>
    </row>
    <row r="14" spans="1:4" ht="37.5">
      <c r="A14" s="1791" t="str">
        <f>"根据"&amp;项目基本情况!F12&amp;"，本次评估估价对象证载（地类）用途为"&amp;项目基本情况!B12&amp;"。"</f>
        <v>根据《国有土地使用证》[]，本次评估估价对象证载（地类）用途为工业工地。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本次评估设定用途即为证载用途工业工地。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根据委托估价方介绍及评估专业人员现场勘查，本次评估估价对象实际土地开发程度为红线外市政基础设施达“五通”（即通路、通电、通上水、通下水、通讯）、宗地红线内场地平整。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本次估价对象为出让国有建设用地使用权，《国有土地使用证》[]证载土地终止日期为工业2064年1月6日。截至估价期日，出让国有建设用地使用权剩余土地使用年限为。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5月30日，在规划利用条件下、设定土地开发程度为红线外“五通”、宗地内场地，设定用途为工业工地，剩余土地使用年限为的出让国有建设用地使用权价格。</v>
      </c>
    </row>
    <row r="26" spans="1:1" ht="56.2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1" sqref="E2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1.7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982</v>
      </c>
      <c r="D1" s="3156" t="s">
        <v>3012</v>
      </c>
      <c r="E1" s="2411" t="s">
        <v>2375</v>
      </c>
      <c r="F1" s="2412">
        <f ca="1">J53</f>
        <v>44.13</v>
      </c>
      <c r="G1" s="774">
        <f>MATCH(C1,'数据-取费表'!A6:A16,0)+5</f>
        <v>6</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7651</v>
      </c>
      <c r="C2" s="2057"/>
      <c r="D2" s="2055"/>
      <c r="E2" s="2056"/>
      <c r="F2" s="2056"/>
      <c r="G2" s="1589"/>
      <c r="H2" s="2057"/>
      <c r="I2" s="2057"/>
      <c r="J2" s="2057"/>
      <c r="K2" s="2058"/>
      <c r="L2" s="2057"/>
      <c r="M2" s="2057"/>
    </row>
    <row r="3" spans="1:33" ht="18" customHeight="1" thickBot="1">
      <c r="A3" s="833" t="s">
        <v>1728</v>
      </c>
      <c r="B3" s="834">
        <f ca="1">IF(ISERROR(B2*10000/F43),0,ROUND(B2*10000/F43,0))</f>
        <v>5702</v>
      </c>
      <c r="C3" s="2057"/>
      <c r="D3" s="2055"/>
      <c r="E3" s="2056"/>
      <c r="F3" s="2056"/>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485</v>
      </c>
      <c r="D5" s="2520" t="s">
        <v>2462</v>
      </c>
      <c r="E5" s="2514"/>
      <c r="F5" s="2515"/>
      <c r="G5" s="1591"/>
      <c r="H5" s="781">
        <v>1</v>
      </c>
      <c r="I5" s="782" t="s">
        <v>2459</v>
      </c>
      <c r="J5" s="55">
        <f ca="1">J6+J10+J12</f>
        <v>0</v>
      </c>
      <c r="K5" s="2520" t="s">
        <v>2462</v>
      </c>
      <c r="L5" s="2514"/>
      <c r="M5" s="2515"/>
    </row>
    <row r="6" spans="1:33" ht="18" customHeight="1">
      <c r="A6" s="1830" t="s">
        <v>1825</v>
      </c>
      <c r="B6" s="3434" t="s">
        <v>2464</v>
      </c>
      <c r="C6" s="783">
        <f ca="1">ROUND(F6*F8*F7*(1-F9)/10000,0)</f>
        <v>485</v>
      </c>
      <c r="D6" s="2521" t="s">
        <v>2463</v>
      </c>
      <c r="E6" s="784" t="s">
        <v>1739</v>
      </c>
      <c r="F6" s="785">
        <f ca="1">INDIRECT("'数据-取费表'!u"&amp;$G$1)</f>
        <v>1.1000000000000001</v>
      </c>
      <c r="G6" s="1591"/>
      <c r="H6" s="2528" t="s">
        <v>2469</v>
      </c>
      <c r="I6" s="3434" t="s">
        <v>2464</v>
      </c>
      <c r="J6" s="783">
        <f ca="1">ROUND(M6*M8*M7*(1-M9)/10000,0)</f>
        <v>0</v>
      </c>
      <c r="K6" s="341" t="s">
        <v>1738</v>
      </c>
      <c r="L6" s="784" t="s">
        <v>1739</v>
      </c>
      <c r="M6" s="785">
        <f ca="1">INDIRECT("'数据-取费表'!z"&amp;$G$1)</f>
        <v>0</v>
      </c>
    </row>
    <row r="7" spans="1:33" ht="18" customHeight="1">
      <c r="A7" s="2524"/>
      <c r="B7" s="3435"/>
      <c r="C7" s="788"/>
      <c r="D7" s="789"/>
      <c r="E7" s="784" t="s">
        <v>1740</v>
      </c>
      <c r="F7" s="785">
        <f ca="1">IF(INDIRECT("'数据-取费表'!ah"&amp;$G$1)="",INDIRECT("'数据-取费表'!k"&amp;$G$1),INDIRECT("'数据-取费表'!ah"&amp;$G$1))</f>
        <v>13418.867</v>
      </c>
      <c r="G7" s="1591"/>
      <c r="H7" s="2513"/>
      <c r="I7" s="3435"/>
      <c r="J7" s="788"/>
      <c r="K7" s="789"/>
      <c r="L7" s="784" t="s">
        <v>1740</v>
      </c>
      <c r="M7" s="785">
        <f ca="1">F7</f>
        <v>13418.867</v>
      </c>
    </row>
    <row r="8" spans="1:33" ht="18" customHeight="1">
      <c r="A8" s="2517"/>
      <c r="B8" s="3436"/>
      <c r="C8" s="788"/>
      <c r="D8" s="789"/>
      <c r="E8" s="784" t="s">
        <v>1741</v>
      </c>
      <c r="F8" s="785">
        <f ca="1">INDIRECT("'数据-取费表'!ai"&amp;$G$1)</f>
        <v>365</v>
      </c>
      <c r="G8" s="1591"/>
      <c r="H8" s="2513"/>
      <c r="I8" s="3436"/>
      <c r="J8" s="788"/>
      <c r="K8" s="789"/>
      <c r="L8" s="784" t="s">
        <v>1741</v>
      </c>
      <c r="M8" s="785">
        <f ca="1">INDIRECT("'数据-取费表'!ai"&amp;$G$1)</f>
        <v>365</v>
      </c>
    </row>
    <row r="9" spans="1:33" ht="18" customHeight="1">
      <c r="A9" s="786"/>
      <c r="B9" s="3437"/>
      <c r="C9" s="788"/>
      <c r="D9" s="789"/>
      <c r="E9" s="784" t="s">
        <v>1742</v>
      </c>
      <c r="F9" s="794">
        <f ca="1">INDIRECT("'数据-取费表'!w"&amp;$G$1)</f>
        <v>0.1</v>
      </c>
      <c r="G9" s="1591"/>
      <c r="H9" s="2529"/>
      <c r="I9" s="3436"/>
      <c r="J9" s="788"/>
      <c r="K9" s="789"/>
      <c r="L9" s="795" t="s">
        <v>1742</v>
      </c>
      <c r="M9" s="796">
        <f ca="1">INDIRECT("'数据-取费表'!ab"&amp;$G$1)</f>
        <v>0</v>
      </c>
    </row>
    <row r="10" spans="1:33" ht="18" customHeight="1">
      <c r="A10" s="1830" t="s">
        <v>2467</v>
      </c>
      <c r="B10" s="2518" t="s">
        <v>2460</v>
      </c>
      <c r="C10" s="799">
        <f ca="1">ROUND(IF(F10="押一",C6/12*F11,IF(F10="押二",C6/12*2*F11,IF(F10="押三",C6/12*3*F11,C11*F11))),0)</f>
        <v>0</v>
      </c>
      <c r="D10" s="2525" t="s">
        <v>2969</v>
      </c>
      <c r="E10" s="2522" t="s">
        <v>2465</v>
      </c>
      <c r="F10" s="2645" t="s">
        <v>3009</v>
      </c>
      <c r="G10" s="1591"/>
      <c r="H10" s="2585" t="s">
        <v>2470</v>
      </c>
      <c r="I10" s="2590" t="s">
        <v>2460</v>
      </c>
      <c r="J10" s="783">
        <f ca="1">ROUND(IF(M10="押一",J6/12*M11,IF(M10="押二",J6/12*2*M11,IF(M10="押三",J6/12*3*M11,J11*M11))),0)</f>
        <v>0</v>
      </c>
      <c r="K10" s="2525" t="s">
        <v>2969</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1743</v>
      </c>
      <c r="C13" s="792">
        <f ca="1">ROUND(C29*F13,0)</f>
        <v>4516</v>
      </c>
      <c r="D13" s="1834" t="s">
        <v>2298</v>
      </c>
      <c r="E13" s="1834" t="s">
        <v>1745</v>
      </c>
      <c r="F13" s="2560">
        <f ca="1">INDIRECT("'数据-取费表'!y"&amp;$G$1)</f>
        <v>1</v>
      </c>
      <c r="G13" s="1591"/>
      <c r="H13" s="1829">
        <v>2</v>
      </c>
      <c r="I13" s="1827" t="s">
        <v>1743</v>
      </c>
      <c r="J13" s="1819">
        <f ca="1">ROUND(J14*J15,0)</f>
        <v>0</v>
      </c>
      <c r="K13" s="1821" t="s">
        <v>1744</v>
      </c>
      <c r="L13" s="2576"/>
      <c r="M13" s="2577"/>
    </row>
    <row r="14" spans="1:33" ht="18" customHeight="1">
      <c r="A14" s="1647" t="s">
        <v>1885</v>
      </c>
      <c r="B14" s="784" t="s">
        <v>645</v>
      </c>
      <c r="C14" s="804">
        <f ca="1">INDIRECT("'数据-取费表'!m"&amp;$G$1)+INDIRECT("'数据-取费表'!t"&amp;$G$1)</f>
        <v>3356</v>
      </c>
      <c r="D14" s="1979" t="s">
        <v>1746</v>
      </c>
      <c r="E14" s="1980"/>
      <c r="F14" s="805"/>
      <c r="G14" s="1591"/>
      <c r="H14" s="1648" t="s">
        <v>1831</v>
      </c>
      <c r="I14" s="2231" t="s">
        <v>2827</v>
      </c>
      <c r="J14" s="53">
        <f ca="1">C29</f>
        <v>4516</v>
      </c>
      <c r="K14" s="26"/>
      <c r="L14" s="801"/>
      <c r="M14" s="802"/>
    </row>
    <row r="15" spans="1:33" s="2064" customFormat="1" ht="18" customHeight="1" thickBot="1">
      <c r="A15" s="1647" t="s">
        <v>1886</v>
      </c>
      <c r="B15" s="784" t="s">
        <v>647</v>
      </c>
      <c r="C15" s="53">
        <f ca="1">ROUND(C14*F15,0)</f>
        <v>101</v>
      </c>
      <c r="D15" s="806" t="s">
        <v>1747</v>
      </c>
      <c r="E15" s="806" t="s">
        <v>1748</v>
      </c>
      <c r="F15" s="807">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9" t="s">
        <v>1749</v>
      </c>
      <c r="I16" s="1827" t="s">
        <v>1750</v>
      </c>
      <c r="J16" s="792">
        <f ca="1">ROUND(J17+J22+J23+J24,0)</f>
        <v>451</v>
      </c>
      <c r="K16" s="1821" t="s">
        <v>1751</v>
      </c>
      <c r="L16" s="2510"/>
      <c r="M16" s="2515"/>
    </row>
    <row r="17" spans="1:33" s="2064" customFormat="1" ht="18" customHeight="1">
      <c r="A17" s="1647" t="s">
        <v>1888</v>
      </c>
      <c r="B17" s="784" t="s">
        <v>653</v>
      </c>
      <c r="C17" s="53">
        <f ca="1">ROUND(F17*(F43+INDIRECT("'数据-取费表'!S"&amp;$G$1))/10000,0)</f>
        <v>269</v>
      </c>
      <c r="D17" s="784" t="s">
        <v>1752</v>
      </c>
      <c r="E17" s="784" t="s">
        <v>1753</v>
      </c>
      <c r="F17" s="56">
        <f>'数据-取费表'!B35</f>
        <v>200</v>
      </c>
      <c r="G17" s="1592"/>
      <c r="H17" s="1648" t="s">
        <v>1831</v>
      </c>
      <c r="I17" s="784" t="s">
        <v>656</v>
      </c>
      <c r="J17" s="53">
        <f ca="1">ROUND(IF(项目基本情况!B11="自然人",J5*M17,J18+J19+J20),0)</f>
        <v>383</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50</v>
      </c>
      <c r="D18" s="784" t="s">
        <v>1747</v>
      </c>
      <c r="E18" s="784" t="s">
        <v>1748</v>
      </c>
      <c r="F18" s="809">
        <f>'数据-取费表'!B36</f>
        <v>1.4999999999999999E-2</v>
      </c>
      <c r="G18" s="1592"/>
      <c r="H18" s="1647" t="s">
        <v>1885</v>
      </c>
      <c r="I18" s="784" t="s">
        <v>1756</v>
      </c>
      <c r="J18" s="53">
        <f ca="1">ROUND(J5*M18/1.05,1)</f>
        <v>0</v>
      </c>
      <c r="K18" s="2508" t="s">
        <v>1757</v>
      </c>
      <c r="L18" s="784" t="s">
        <v>1748</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662</v>
      </c>
      <c r="C19" s="53">
        <f ca="1">SUM(C14:C18)</f>
        <v>3776</v>
      </c>
      <c r="D19" s="261" t="s">
        <v>1758</v>
      </c>
      <c r="E19" s="1982"/>
      <c r="F19" s="56"/>
      <c r="G19" s="1591"/>
      <c r="H19" s="1647" t="s">
        <v>1886</v>
      </c>
      <c r="I19" s="784" t="s">
        <v>1759</v>
      </c>
      <c r="J19" s="53">
        <f ca="1">IF(K19="按租金收入计税",ROUND(J5*M19,1),ROUND(C29*F33*0.7,1))</f>
        <v>379.3</v>
      </c>
      <c r="K19" s="811" t="s">
        <v>665</v>
      </c>
      <c r="L19" s="784" t="s">
        <v>1748</v>
      </c>
      <c r="M19" s="809">
        <f>IF(K19="按租金收入计税",'数据-取费表'!B51,'数据-取费表'!B50)</f>
        <v>1.2E-2</v>
      </c>
    </row>
    <row r="20" spans="1:33" s="2064" customFormat="1" ht="18" customHeight="1">
      <c r="A20" s="1648" t="s">
        <v>1890</v>
      </c>
      <c r="B20" s="784" t="s">
        <v>666</v>
      </c>
      <c r="C20" s="53">
        <f ca="1">ROUND(C19*F20,0)</f>
        <v>76</v>
      </c>
      <c r="D20" s="812" t="s">
        <v>1760</v>
      </c>
      <c r="E20" s="784" t="s">
        <v>1748</v>
      </c>
      <c r="F20" s="809">
        <f>'数据-取费表'!B37</f>
        <v>0.02</v>
      </c>
      <c r="G20" s="1592"/>
      <c r="H20" s="1650" t="s">
        <v>1881</v>
      </c>
      <c r="I20" s="341" t="s">
        <v>1761</v>
      </c>
      <c r="J20" s="54">
        <f ca="1">ROUND(M20*M21/10000,0)</f>
        <v>4</v>
      </c>
      <c r="K20" s="814" t="s">
        <v>1762</v>
      </c>
      <c r="L20" s="784" t="s">
        <v>1763</v>
      </c>
      <c r="M20" s="640">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2299</v>
      </c>
      <c r="E21" s="784" t="s">
        <v>1766</v>
      </c>
      <c r="F21" s="809">
        <f>'数据-取费表'!B38</f>
        <v>0.02</v>
      </c>
      <c r="G21" s="1592"/>
      <c r="H21" s="2530"/>
      <c r="I21" s="793"/>
      <c r="J21" s="69"/>
      <c r="K21" s="816"/>
      <c r="L21" s="784" t="s">
        <v>1767</v>
      </c>
      <c r="M21" s="785">
        <f ca="1">INDIRECT("'数据-取费表'!r"&amp;$G$1)</f>
        <v>28344.22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96" t="str">
        <f>IF(F23&lt;=1,"单利计息。","复利计息。")&amp;"建造成本、管理费用、销售费用产生的利息。"</f>
        <v>复利计息。建造成本、管理费用、销售费用产生的利息。</v>
      </c>
      <c r="E22" s="1982"/>
      <c r="F22" s="56"/>
      <c r="G22" s="1591"/>
      <c r="H22" s="1648" t="s">
        <v>1890</v>
      </c>
      <c r="I22" s="784" t="s">
        <v>1769</v>
      </c>
      <c r="J22" s="53">
        <f ca="1">ROUND(J14*M22,0)</f>
        <v>68</v>
      </c>
      <c r="K22" s="2508" t="s">
        <v>1770</v>
      </c>
      <c r="L22" s="784" t="s">
        <v>1748</v>
      </c>
      <c r="M22" s="817">
        <f ca="1">INDIRECT("'数据-取费表'!Ak"&amp;$G$1)</f>
        <v>1.4999999999999999E-2</v>
      </c>
    </row>
    <row r="23" spans="1:33" s="2064" customFormat="1" ht="18" customHeight="1">
      <c r="A23" s="1647" t="s">
        <v>1832</v>
      </c>
      <c r="B23" s="784" t="s">
        <v>2536</v>
      </c>
      <c r="C23" s="53">
        <f ca="1">ROUND(IF('数据-取费表'!B22&lt;=1,(C19+C20)*F24*F23/2,(C19+C20)*(POWER((1+F24),F23/2)-1)),0)</f>
        <v>136</v>
      </c>
      <c r="D23" s="2595" t="str">
        <f>IF(F23&lt;=1,"(建造成本+管理费用)×利率×(建设周期÷2)","(建造成本+管理费用)×((1+利率)^(建设周期÷2)-1)")</f>
        <v>(建造成本+管理费用)×((1+利率)^(建设周期÷2)-1)</v>
      </c>
      <c r="E23" s="784" t="s">
        <v>1771</v>
      </c>
      <c r="F23" s="640">
        <f>'数据-取费表'!B20</f>
        <v>1.5</v>
      </c>
      <c r="G23" s="1592"/>
      <c r="H23" s="1648"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6.9999999999999999E-4</v>
      </c>
      <c r="D24" s="2595" t="str">
        <f>IF(F23&lt;=1,"销售费用×利率×(建设周期÷2)","销售费用×((1+利率)^(建设周期÷2)-1)")</f>
        <v>销售费用×((1+利率)^(建设周期÷2)-1)</v>
      </c>
      <c r="E24" s="784" t="s">
        <v>1774</v>
      </c>
      <c r="F24" s="819">
        <f ca="1">'数据-取费表'!B40</f>
        <v>4.7500000000000001E-2</v>
      </c>
      <c r="G24" s="1592"/>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1982"/>
      <c r="F25" s="56"/>
      <c r="G25" s="1591"/>
      <c r="H25" s="1829" t="s">
        <v>1777</v>
      </c>
      <c r="I25" s="3034" t="s">
        <v>2823</v>
      </c>
      <c r="J25" s="792">
        <f ca="1">J5-J16</f>
        <v>-451</v>
      </c>
      <c r="K25" s="2572" t="s">
        <v>1778</v>
      </c>
      <c r="L25" s="2573"/>
      <c r="M25" s="2574"/>
    </row>
    <row r="26" spans="1:33" ht="18" customHeight="1">
      <c r="A26" s="1647" t="s">
        <v>1832</v>
      </c>
      <c r="B26" s="784" t="s">
        <v>2439</v>
      </c>
      <c r="C26" s="53">
        <f ca="1">ROUND((C19+C20)*F26,0)</f>
        <v>193</v>
      </c>
      <c r="D26" s="812" t="s">
        <v>1779</v>
      </c>
      <c r="E26" s="795" t="s">
        <v>1780</v>
      </c>
      <c r="F26" s="794">
        <f ca="1">INDIRECT("'数据-取费表'!q"&amp;$G$1)</f>
        <v>0.05</v>
      </c>
      <c r="G26" s="1591"/>
      <c r="H26" s="2526" t="s">
        <v>1781</v>
      </c>
      <c r="I26" s="2232" t="s">
        <v>2828</v>
      </c>
      <c r="J26" s="783">
        <f ca="1">IF(J5&lt;&gt;0,ROUND(J25*(1-((1+M28)/(1+M26))^M27)/(M26-M28),0),0)</f>
        <v>0</v>
      </c>
      <c r="K26" s="814" t="s">
        <v>1782</v>
      </c>
      <c r="L26" s="784" t="s">
        <v>2420</v>
      </c>
      <c r="M26" s="794">
        <f ca="1">INDIRECT("'数据-取费表'!I"&amp;$G$1)</f>
        <v>0.05</v>
      </c>
    </row>
    <row r="27" spans="1:33" ht="18" customHeight="1">
      <c r="A27" s="1647" t="s">
        <v>1833</v>
      </c>
      <c r="B27" s="784" t="s">
        <v>686</v>
      </c>
      <c r="C27" s="53">
        <f ca="1">ROUND(F21*F26,4)</f>
        <v>1E-3</v>
      </c>
      <c r="D27" s="812" t="s">
        <v>1783</v>
      </c>
      <c r="E27" s="806"/>
      <c r="F27" s="807"/>
      <c r="G27" s="1591"/>
      <c r="H27" s="2527"/>
      <c r="I27" s="787"/>
      <c r="J27" s="788"/>
      <c r="K27" s="821" t="s">
        <v>1784</v>
      </c>
      <c r="L27" s="784" t="s">
        <v>1785</v>
      </c>
      <c r="M27" s="822">
        <f ca="1">INDIRECT("'数据-取费表'!ag"&amp;$G$1)</f>
        <v>0</v>
      </c>
    </row>
    <row r="28" spans="1:33" s="2064" customFormat="1" ht="18" customHeight="1">
      <c r="A28" s="1649" t="s">
        <v>1842</v>
      </c>
      <c r="B28" s="784" t="s">
        <v>687</v>
      </c>
      <c r="C28" s="53">
        <f>ROUND(F28/(1+'数据-取费表'!C42),4)</f>
        <v>5.2400000000000002E-2</v>
      </c>
      <c r="D28" s="812" t="s">
        <v>2300</v>
      </c>
      <c r="E28" s="784" t="s">
        <v>1786</v>
      </c>
      <c r="F28" s="809">
        <f>'数据-取费表'!B41</f>
        <v>5.5000000000000007E-2</v>
      </c>
      <c r="G28" s="1592"/>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4516</v>
      </c>
      <c r="D29" s="2569"/>
      <c r="E29" s="2570"/>
      <c r="F29" s="2571"/>
      <c r="G29" s="1592"/>
      <c r="H29" s="823" t="s">
        <v>1788</v>
      </c>
      <c r="I29" s="824" t="s">
        <v>1789</v>
      </c>
      <c r="J29" s="825">
        <f ca="1">ROUND(J26/(1+F40)^F41,0)</f>
        <v>0</v>
      </c>
      <c r="K29" s="826" t="s">
        <v>1790</v>
      </c>
      <c r="L29" s="827"/>
      <c r="M29" s="828">
        <f ca="1">INDIRECT("'数据-取费表'!k"&amp;$G$1)</f>
        <v>13418.867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167</v>
      </c>
      <c r="D30" s="1821" t="s">
        <v>1792</v>
      </c>
      <c r="E30" s="2510"/>
      <c r="F30" s="2515"/>
      <c r="G30" s="2062"/>
      <c r="H30" s="2065"/>
      <c r="I30" s="2066"/>
      <c r="J30" s="2067"/>
      <c r="K30" s="2068"/>
      <c r="L30" s="2069"/>
      <c r="M30" s="2070"/>
    </row>
    <row r="31" spans="1:33" ht="18" customHeight="1">
      <c r="A31" s="1648" t="s">
        <v>1831</v>
      </c>
      <c r="B31" s="784" t="s">
        <v>656</v>
      </c>
      <c r="C31" s="53">
        <f ca="1">ROUND(IF(项目基本情况!B11="自然人",C5*F31,C32+C33+C34),1)</f>
        <v>87.9</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1795</v>
      </c>
      <c r="C32" s="53">
        <f ca="1">ROUND(C5*F32/1.05,1)</f>
        <v>25.4</v>
      </c>
      <c r="D32" s="1977" t="s">
        <v>1796</v>
      </c>
      <c r="E32" s="784" t="s">
        <v>1797</v>
      </c>
      <c r="F32" s="809">
        <f>'数据-取费表'!B41</f>
        <v>5.5000000000000007E-2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58.2</v>
      </c>
      <c r="D33" s="811" t="s">
        <v>3010</v>
      </c>
      <c r="E33" s="784" t="s">
        <v>1797</v>
      </c>
      <c r="F33" s="809">
        <f>IF(D33="按租金收入计税",'数据-取费表'!B51,'数据-取费表'!B50)</f>
        <v>0.12</v>
      </c>
      <c r="G33" s="2062"/>
      <c r="H33" s="2077"/>
      <c r="I33" s="2077"/>
      <c r="J33" s="2077"/>
      <c r="K33" s="2078"/>
      <c r="L33" s="2077"/>
      <c r="M33" s="2077"/>
    </row>
    <row r="34" spans="1:18" ht="18" customHeight="1">
      <c r="A34" s="1650" t="s">
        <v>1834</v>
      </c>
      <c r="B34" s="341" t="s">
        <v>1799</v>
      </c>
      <c r="C34" s="54">
        <f ca="1">ROUND(F34*F35/10000,1)</f>
        <v>4.3</v>
      </c>
      <c r="D34" s="814" t="s">
        <v>1800</v>
      </c>
      <c r="E34" s="784" t="s">
        <v>1801</v>
      </c>
      <c r="F34" s="640">
        <f>'数据-取费表'!B52</f>
        <v>1.5</v>
      </c>
      <c r="G34" s="2062"/>
      <c r="H34" s="2065"/>
      <c r="I34" s="835" t="s">
        <v>1814</v>
      </c>
      <c r="J34" s="836"/>
      <c r="K34" s="2080"/>
      <c r="L34" s="2079"/>
      <c r="M34" s="2079"/>
    </row>
    <row r="35" spans="1:18" ht="18" customHeight="1">
      <c r="A35" s="815"/>
      <c r="B35" s="793"/>
      <c r="C35" s="69"/>
      <c r="D35" s="816"/>
      <c r="E35" s="784" t="s">
        <v>1802</v>
      </c>
      <c r="F35" s="785">
        <f ca="1">INDIRECT("'数据-取费表'!r"&amp;$G$1)</f>
        <v>28344.22</v>
      </c>
      <c r="G35" s="2062"/>
      <c r="H35" s="2065"/>
      <c r="I35" s="837" t="s">
        <v>1815</v>
      </c>
      <c r="J35" s="838">
        <f ca="1">ROUND(C13*J36,0)</f>
        <v>384</v>
      </c>
      <c r="K35" s="2078"/>
      <c r="L35" s="2077"/>
      <c r="M35" s="2077"/>
    </row>
    <row r="36" spans="1:18" ht="18" customHeight="1">
      <c r="A36" s="1648" t="s">
        <v>1890</v>
      </c>
      <c r="B36" s="784" t="s">
        <v>1803</v>
      </c>
      <c r="C36" s="53">
        <f ca="1">ROUND(C29*F36,1)</f>
        <v>67.7</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6.8</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4.9000000000000004</v>
      </c>
      <c r="D38" s="2569" t="s">
        <v>1806</v>
      </c>
      <c r="E38" s="2570" t="s">
        <v>1797</v>
      </c>
      <c r="F38" s="2566">
        <f ca="1">INDIRECT("'数据-取费表'!Am"&amp;$G$1)</f>
        <v>0.01</v>
      </c>
      <c r="G38" s="2062"/>
      <c r="H38" s="2077"/>
      <c r="I38" s="843" t="s">
        <v>1818</v>
      </c>
      <c r="J38" s="844"/>
      <c r="K38" s="2083"/>
      <c r="L38" s="2077"/>
      <c r="M38" s="2077"/>
    </row>
    <row r="39" spans="1:18" ht="24.6" customHeight="1" thickTop="1">
      <c r="A39" s="1829" t="s">
        <v>1895</v>
      </c>
      <c r="B39" s="3034" t="s">
        <v>2823</v>
      </c>
      <c r="C39" s="792">
        <f ca="1">C5-C30</f>
        <v>318</v>
      </c>
      <c r="D39" s="2572" t="s">
        <v>1807</v>
      </c>
      <c r="E39" s="2573"/>
      <c r="F39" s="2574"/>
      <c r="G39" s="2062"/>
      <c r="H39" s="2077"/>
      <c r="I39" s="837" t="s">
        <v>1819</v>
      </c>
      <c r="J39" s="845">
        <f ca="1">ROUND(J35/C39,3)</f>
        <v>1.208</v>
      </c>
      <c r="K39" s="2083"/>
      <c r="L39" s="2077"/>
      <c r="M39" s="2077"/>
    </row>
    <row r="40" spans="1:18" ht="18" customHeight="1">
      <c r="A40" s="781" t="s">
        <v>1896</v>
      </c>
      <c r="B40" s="2232" t="s">
        <v>2302</v>
      </c>
      <c r="C40" s="783">
        <f ca="1">ROUND(C39*(1-((1+F42)/(1+F40))^F41)/(F40-F42),0)</f>
        <v>7651</v>
      </c>
      <c r="D40" s="814" t="s">
        <v>1808</v>
      </c>
      <c r="E40" s="784" t="s">
        <v>2420</v>
      </c>
      <c r="F40" s="794">
        <f ca="1">INDIRECT("'数据-取费表'!I"&amp;$G$1)</f>
        <v>0.05</v>
      </c>
      <c r="G40" s="2062"/>
      <c r="H40" s="2062"/>
      <c r="I40" s="837" t="s">
        <v>1820</v>
      </c>
      <c r="J40" s="845">
        <f ca="1">1-J39</f>
        <v>-0.20799999999999996</v>
      </c>
      <c r="K40" s="2083"/>
      <c r="L40" s="2062"/>
      <c r="M40" s="2062"/>
    </row>
    <row r="41" spans="1:18" ht="18" customHeight="1">
      <c r="A41" s="786"/>
      <c r="B41" s="787"/>
      <c r="C41" s="788"/>
      <c r="D41" s="821" t="s">
        <v>1809</v>
      </c>
      <c r="E41" s="784" t="s">
        <v>2959</v>
      </c>
      <c r="F41" s="822">
        <f ca="1">IF(INDIRECT("'数据-取费表'!af"&amp;$G$1)=0,INDIRECT("'数据-取费表'!ae"&amp;$G$1),INDIRECT("'数据-取费表'!af"&amp;$G$1))</f>
        <v>44.13</v>
      </c>
      <c r="G41" s="2062"/>
      <c r="H41" s="1988"/>
      <c r="I41" s="843" t="s">
        <v>1821</v>
      </c>
      <c r="J41" s="846"/>
      <c r="K41" s="2082"/>
      <c r="L41" s="1988"/>
      <c r="M41" s="1988"/>
    </row>
    <row r="42" spans="1:18" ht="18" customHeight="1">
      <c r="A42" s="790"/>
      <c r="B42" s="791"/>
      <c r="C42" s="792"/>
      <c r="D42" s="816"/>
      <c r="E42" s="784" t="s">
        <v>1810</v>
      </c>
      <c r="F42" s="794">
        <f ca="1">INDIRECT("'数据-取费表'!v"&amp;$G$1)</f>
        <v>0.02</v>
      </c>
      <c r="G42" s="2062"/>
      <c r="H42" s="1988"/>
      <c r="I42" s="847" t="s">
        <v>1822</v>
      </c>
      <c r="J42" s="845">
        <f ca="1">ROUND(C13/C40,3)</f>
        <v>0.59</v>
      </c>
      <c r="K42" s="2082"/>
      <c r="L42" s="1988"/>
      <c r="M42" s="1988"/>
    </row>
    <row r="43" spans="1:18" ht="18" customHeight="1" thickBot="1">
      <c r="A43" s="823" t="s">
        <v>1788</v>
      </c>
      <c r="B43" s="824" t="s">
        <v>1811</v>
      </c>
      <c r="C43" s="825">
        <f ca="1">ROUND(C40*10000/F43,0)</f>
        <v>5702</v>
      </c>
      <c r="D43" s="826" t="s">
        <v>1812</v>
      </c>
      <c r="E43" s="827" t="s">
        <v>1813</v>
      </c>
      <c r="F43" s="828">
        <f ca="1">INDIRECT("'数据-取费表'!k"&amp;$G$1)</f>
        <v>13418.867</v>
      </c>
      <c r="G43" s="2062"/>
      <c r="H43" s="1988"/>
      <c r="I43" s="847" t="s">
        <v>1823</v>
      </c>
      <c r="J43" s="848">
        <f ca="1">1-J42</f>
        <v>0.41000000000000003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-9048</v>
      </c>
      <c r="D46" s="2085"/>
      <c r="E46" s="2085"/>
      <c r="F46" s="2085"/>
      <c r="I46" s="2378" t="s">
        <v>2343</v>
      </c>
      <c r="J46" s="2379"/>
      <c r="K46" s="2380"/>
      <c r="L46" s="2381">
        <f>IF(OR(M47="住宅",D1="土地（套用方法）"),0,IF(L48&gt;J51,L60,J60))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3011</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636</v>
      </c>
      <c r="E48" s="2376" t="s">
        <v>2297</v>
      </c>
      <c r="F48" s="2377"/>
      <c r="G48" s="2090"/>
      <c r="I48" s="2383" t="s">
        <v>2345</v>
      </c>
      <c r="J48" s="2390" t="s">
        <v>2369</v>
      </c>
      <c r="K48" s="2391" t="s">
        <v>2352</v>
      </c>
      <c r="L48" s="2392">
        <f ca="1">INDIRECT("'数据-取费表'!f"&amp;$G$1)</f>
        <v>45.63</v>
      </c>
      <c r="O48" s="2422" t="s">
        <v>2380</v>
      </c>
      <c r="P48" s="2423" t="s">
        <v>2406</v>
      </c>
      <c r="Q48" s="2424">
        <f ca="1">C40+J29</f>
        <v>7651</v>
      </c>
      <c r="R48" s="2423" t="s">
        <v>2381</v>
      </c>
    </row>
    <row r="49" spans="1:18" s="2059" customFormat="1" ht="18" customHeight="1" thickBot="1">
      <c r="A49" s="786"/>
      <c r="B49" s="787"/>
      <c r="C49" s="788"/>
      <c r="D49" s="789"/>
      <c r="E49" s="784" t="s">
        <v>1740</v>
      </c>
      <c r="F49" s="785">
        <f ca="1">F7</f>
        <v>13418.867</v>
      </c>
      <c r="G49" s="2090"/>
      <c r="H49" s="2093"/>
      <c r="I49" s="2383" t="s">
        <v>2346</v>
      </c>
      <c r="J49" s="2393"/>
      <c r="K49" s="2394" t="s">
        <v>2353</v>
      </c>
      <c r="L49" s="2395"/>
      <c r="O49" s="2422" t="s">
        <v>2382</v>
      </c>
      <c r="P49" s="2423" t="s">
        <v>2407</v>
      </c>
      <c r="Q49" s="2424">
        <f ca="1">J60</f>
        <v>40</v>
      </c>
      <c r="R49" s="2423" t="s">
        <v>2383</v>
      </c>
    </row>
    <row r="50" spans="1:18" s="2059" customFormat="1" ht="18" customHeight="1" thickBot="1">
      <c r="A50" s="786"/>
      <c r="B50" s="787"/>
      <c r="C50" s="788"/>
      <c r="D50" s="789"/>
      <c r="E50" s="784" t="s">
        <v>1741</v>
      </c>
      <c r="F50" s="785">
        <f ca="1">F8</f>
        <v>365</v>
      </c>
      <c r="G50" s="2095"/>
      <c r="H50" s="2093"/>
      <c r="I50" s="2383" t="s">
        <v>2347</v>
      </c>
      <c r="J50" s="2396">
        <f>SUMPRODUCT((I63:I65=J47)*(J62:L62=J48)*(J63:L65))</f>
        <v>50</v>
      </c>
      <c r="K50" s="2394" t="s">
        <v>2354</v>
      </c>
      <c r="L50" s="2395"/>
      <c r="O50" s="2425" t="s">
        <v>2384</v>
      </c>
      <c r="P50" s="2423" t="s">
        <v>2408</v>
      </c>
      <c r="Q50" s="2424">
        <f ca="1">C29</f>
        <v>4516</v>
      </c>
      <c r="R50" s="2423" t="s">
        <v>2381</v>
      </c>
    </row>
    <row r="51" spans="1:18" s="2059" customFormat="1" ht="18" customHeight="1" thickBot="1">
      <c r="A51" s="786"/>
      <c r="B51" s="787"/>
      <c r="C51" s="788"/>
      <c r="D51" s="789"/>
      <c r="E51" s="784" t="s">
        <v>640</v>
      </c>
      <c r="F51" s="2371"/>
      <c r="H51" s="2093"/>
      <c r="I51" s="2384" t="s">
        <v>2348</v>
      </c>
      <c r="J51" s="2397">
        <f>IF(J49="",J50,J49+J50-YEAR('数据-取费表'!B2))</f>
        <v>50</v>
      </c>
      <c r="K51" s="2383" t="s">
        <v>2355</v>
      </c>
      <c r="L51" s="2398">
        <f ca="1">ROUND(-PV(INDIRECT("'数据-取费表'!h"&amp;$G$1),L48,(C39-C13*J36),0),0)</f>
        <v>-1372</v>
      </c>
      <c r="O51" s="2425" t="s">
        <v>2385</v>
      </c>
      <c r="P51" s="2423" t="s">
        <v>2386</v>
      </c>
      <c r="Q51" s="2426">
        <f ca="1">J58</f>
        <v>0.4</v>
      </c>
      <c r="R51" s="2427"/>
    </row>
    <row r="52" spans="1:18" s="2059" customFormat="1" ht="18" customHeight="1" thickBot="1">
      <c r="A52" s="781" t="s">
        <v>2537</v>
      </c>
      <c r="B52" s="2518" t="s">
        <v>2460</v>
      </c>
      <c r="C52" s="799">
        <f ca="1">ROUND(IF(F52="押一",C48/12*F11,IF(F52="押二",C48/12*2*F11,IF(F52="押三",C48/12*3*F11,C53*F11))),0)</f>
        <v>0</v>
      </c>
      <c r="D52" s="2525" t="s">
        <v>2970</v>
      </c>
      <c r="E52" s="2522" t="s">
        <v>2465</v>
      </c>
      <c r="F52" s="2645"/>
      <c r="I52" s="2385" t="s">
        <v>2422</v>
      </c>
      <c r="J52" s="2399">
        <v>0.09</v>
      </c>
      <c r="K52" s="2385" t="s">
        <v>2421</v>
      </c>
      <c r="L52" s="2399">
        <v>0.04</v>
      </c>
      <c r="O52" s="2425" t="s">
        <v>2387</v>
      </c>
      <c r="P52" s="2423" t="s">
        <v>2388</v>
      </c>
      <c r="Q52" s="2426">
        <f>J52</f>
        <v>0.09</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44.13</v>
      </c>
      <c r="K53" s="3450" t="s">
        <v>2961</v>
      </c>
      <c r="L53" s="3451"/>
      <c r="O53" s="2425" t="s">
        <v>2389</v>
      </c>
      <c r="P53" s="2423" t="s">
        <v>2390</v>
      </c>
      <c r="Q53" s="2424">
        <f ca="1">J53</f>
        <v>44.13</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7691</v>
      </c>
      <c r="R54" s="2427" t="s">
        <v>2393</v>
      </c>
    </row>
    <row r="55" spans="1:18" s="2059" customFormat="1" ht="18" customHeight="1" thickTop="1" thickBot="1">
      <c r="A55" s="797">
        <v>2</v>
      </c>
      <c r="B55" s="798" t="s">
        <v>644</v>
      </c>
      <c r="C55" s="799">
        <f ca="1">C13</f>
        <v>4516</v>
      </c>
      <c r="D55" s="795"/>
      <c r="E55" s="795"/>
      <c r="F55" s="800"/>
      <c r="I55" s="3127" t="s">
        <v>2356</v>
      </c>
      <c r="J55" s="3126">
        <f ca="1">ROUND(IF(J47="钢混",J57/J50,1-(1-2%)*(J50-J57)/J50),3)</f>
        <v>8.6999999999999994E-2</v>
      </c>
      <c r="K55" s="2401" t="s">
        <v>2357</v>
      </c>
      <c r="L55" s="2402"/>
      <c r="O55" s="2428" t="s">
        <v>2412</v>
      </c>
      <c r="P55" s="1591"/>
      <c r="Q55" s="1603"/>
      <c r="R55" s="1591"/>
    </row>
    <row r="56" spans="1:18" s="2059" customFormat="1" ht="42.75" customHeight="1" thickBot="1">
      <c r="A56" s="1649"/>
      <c r="B56" s="2231" t="s">
        <v>2303</v>
      </c>
      <c r="C56" s="53">
        <f ca="1">C29</f>
        <v>4516</v>
      </c>
      <c r="D56" s="2663"/>
      <c r="E56" s="784"/>
      <c r="F56" s="809"/>
      <c r="I56" s="2403" t="s">
        <v>2358</v>
      </c>
      <c r="J56" s="3150" t="s">
        <v>2988</v>
      </c>
      <c r="K56" s="2383" t="s">
        <v>2363</v>
      </c>
      <c r="L56" s="2392" t="str">
        <f ca="1">IF(L48&lt;J51,"——",L48-J51)</f>
        <v>——</v>
      </c>
      <c r="O56" s="2419" t="s">
        <v>2376</v>
      </c>
      <c r="P56" s="2420" t="s">
        <v>2377</v>
      </c>
      <c r="Q56" s="2421" t="s">
        <v>2378</v>
      </c>
      <c r="R56" s="2420" t="s">
        <v>2379</v>
      </c>
    </row>
    <row r="57" spans="1:18" s="2059" customFormat="1" ht="28.5" customHeight="1" thickBot="1">
      <c r="A57" s="797" t="s">
        <v>1749</v>
      </c>
      <c r="B57" s="798" t="s">
        <v>651</v>
      </c>
      <c r="C57" s="799">
        <f ca="1">ROUND(C58+C63+C64+C65,0)</f>
        <v>79</v>
      </c>
      <c r="D57" s="26" t="s">
        <v>1751</v>
      </c>
      <c r="E57" s="2664"/>
      <c r="F57" s="56"/>
      <c r="I57" s="2404" t="s">
        <v>2359</v>
      </c>
      <c r="J57" s="2406">
        <f ca="1">IF(OR(M47="住宅",J51&lt;L48,J56="是"),"——",J51-L48)</f>
        <v>4.3699999999999974</v>
      </c>
      <c r="K57" s="2383" t="s">
        <v>2364</v>
      </c>
      <c r="L57" s="2392" t="str">
        <f ca="1">IF(L48&lt;J51,"——",IF(L55="比较法",L49,IF(L55="基准地价",L50,L51)))</f>
        <v>——</v>
      </c>
      <c r="O57" s="2422" t="s">
        <v>2380</v>
      </c>
      <c r="P57" s="2423" t="s">
        <v>2410</v>
      </c>
      <c r="Q57" s="2424">
        <f ca="1">C40+J29</f>
        <v>7651</v>
      </c>
      <c r="R57" s="2423" t="s">
        <v>2381</v>
      </c>
    </row>
    <row r="58" spans="1:18" s="2059" customFormat="1" ht="28.5" customHeight="1" thickBot="1">
      <c r="A58" s="1648" t="s">
        <v>1825</v>
      </c>
      <c r="B58" s="784" t="s">
        <v>656</v>
      </c>
      <c r="C58" s="53">
        <f ca="1">ROUND(IF(项目基本情况!B11="自然人",C47*F58,C59+C60+C61),1)</f>
        <v>4.3</v>
      </c>
      <c r="D58" s="2662" t="s">
        <v>657</v>
      </c>
      <c r="E58" s="2663" t="s">
        <v>690</v>
      </c>
      <c r="F58" s="810" t="str">
        <f ca="1">IF(项目基本情况!B11="企业","",IF(INDIRECT("'数据-取费表'!c"&amp;$G$1)="住宅",5%,IF(F48*F49*F50/12/(1+'数据-取费表'!C42)&gt;20000,12%,7%)))</f>
        <v/>
      </c>
      <c r="I58" s="2404" t="s">
        <v>2360</v>
      </c>
      <c r="J58" s="3128">
        <f ca="1">IF(J55&lt;0.4,0.4,J55)</f>
        <v>0.4</v>
      </c>
      <c r="K58" s="2383" t="s">
        <v>2365</v>
      </c>
      <c r="L58" s="2392">
        <f ca="1">ROUND(POWER(1+L52,L47-L48)*(POWER(1+L52,L48)-1)/(POWER(1+L52,L47)-1),4)</f>
        <v>0.96940000000000004</v>
      </c>
      <c r="O58" s="2422" t="s">
        <v>2382</v>
      </c>
      <c r="P58" s="2423" t="s">
        <v>2413</v>
      </c>
      <c r="Q58" s="2424">
        <f ca="1">L60</f>
        <v>0</v>
      </c>
      <c r="R58" s="2427" t="s">
        <v>2415</v>
      </c>
    </row>
    <row r="59" spans="1:18" s="2059" customFormat="1" ht="28.5" customHeight="1" thickBot="1">
      <c r="A59" s="1647" t="s">
        <v>1832</v>
      </c>
      <c r="B59" s="784" t="s">
        <v>660</v>
      </c>
      <c r="C59" s="53">
        <f ca="1">ROUND(C47*F59/1.05,1)</f>
        <v>0</v>
      </c>
      <c r="D59" s="2663" t="s">
        <v>1757</v>
      </c>
      <c r="E59" s="784" t="s">
        <v>1748</v>
      </c>
      <c r="F59" s="809">
        <f t="shared" ref="F59:F65" si="0">F32</f>
        <v>5.5000000000000007E-2</v>
      </c>
      <c r="I59" s="2404" t="s">
        <v>2361</v>
      </c>
      <c r="J59" s="2406">
        <f ca="1">IF(OR(M47="住宅",J51&lt;L48,J56="是"),"——",ROUND(C29*J58,0))</f>
        <v>1806</v>
      </c>
      <c r="K59" s="3157"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1.0094000000000001</v>
      </c>
      <c r="O59" s="2425" t="s">
        <v>2384</v>
      </c>
      <c r="P59" s="2423" t="s">
        <v>2414</v>
      </c>
      <c r="Q59" s="2424">
        <f>IF(L55="比较法",L49,IF(L55="基准地价",L50,0))</f>
        <v>0</v>
      </c>
      <c r="R59" s="2423" t="s">
        <v>2381</v>
      </c>
    </row>
    <row r="60" spans="1:18" s="2059" customFormat="1" ht="18" customHeight="1" thickBot="1">
      <c r="A60" s="1647" t="s">
        <v>1833</v>
      </c>
      <c r="B60" s="784" t="s">
        <v>1759</v>
      </c>
      <c r="C60" s="53">
        <f ca="1">IF(D60="按租金收入计税",ROUND(C47*F60,1),IF(D60="按房产原值计税",ROUND(C56*F60*0.7,1),INDIRECT("'数据-取费表'!Aj"&amp;$G$1)))</f>
        <v>0</v>
      </c>
      <c r="D60" s="2663" t="str">
        <f>D33</f>
        <v>按租金收入计税</v>
      </c>
      <c r="E60" s="784" t="s">
        <v>1748</v>
      </c>
      <c r="F60" s="809">
        <f t="shared" si="0"/>
        <v>0.12</v>
      </c>
      <c r="I60" s="2405" t="s">
        <v>2362</v>
      </c>
      <c r="J60" s="2407">
        <f ca="1">IF(OR(M47="住宅",J51&lt;L48,J56="是"),"0",ROUND(J59/(1+J52)^J53,0))</f>
        <v>40</v>
      </c>
      <c r="K60" s="2408" t="s">
        <v>2367</v>
      </c>
      <c r="L60" s="2407">
        <f ca="1">IF(OR(M47="住宅",L48&lt;J51),0,ROUND(L57*(L58/L59-1),0))</f>
        <v>0</v>
      </c>
      <c r="O60" s="2425" t="s">
        <v>2385</v>
      </c>
      <c r="P60" s="2423" t="s">
        <v>2394</v>
      </c>
      <c r="Q60" s="2426">
        <f>L52</f>
        <v>0.04</v>
      </c>
      <c r="R60" s="2427"/>
    </row>
    <row r="61" spans="1:18" s="2059" customFormat="1" ht="18" customHeight="1" thickBot="1">
      <c r="A61" s="1650" t="s">
        <v>1834</v>
      </c>
      <c r="B61" s="341" t="s">
        <v>668</v>
      </c>
      <c r="C61" s="54">
        <f ca="1">ROUND(F61*F62/10000,1)</f>
        <v>4.3</v>
      </c>
      <c r="D61" s="814" t="s">
        <v>669</v>
      </c>
      <c r="E61" s="784" t="s">
        <v>670</v>
      </c>
      <c r="F61" s="640">
        <f t="shared" si="0"/>
        <v>1.5</v>
      </c>
      <c r="K61" s="2086"/>
      <c r="O61" s="2425" t="s">
        <v>2387</v>
      </c>
      <c r="P61" s="2423" t="s">
        <v>2395</v>
      </c>
      <c r="Q61" s="2424">
        <f ca="1">L58</f>
        <v>0.96940000000000004</v>
      </c>
      <c r="R61" s="2427" t="s">
        <v>2396</v>
      </c>
    </row>
    <row r="62" spans="1:18" s="2059" customFormat="1" ht="15.75" thickBot="1">
      <c r="A62" s="815"/>
      <c r="B62" s="793"/>
      <c r="C62" s="69"/>
      <c r="D62" s="816"/>
      <c r="E62" s="784" t="s">
        <v>674</v>
      </c>
      <c r="F62" s="785">
        <f t="shared" ca="1" si="0"/>
        <v>28344.22</v>
      </c>
      <c r="I62" s="2409" t="s">
        <v>2368</v>
      </c>
      <c r="J62" s="2410" t="s">
        <v>2369</v>
      </c>
      <c r="K62" s="2410" t="s">
        <v>2370</v>
      </c>
      <c r="L62" s="2410" t="s">
        <v>2351</v>
      </c>
      <c r="M62" s="3129" t="s">
        <v>2937</v>
      </c>
      <c r="O62" s="2425" t="s">
        <v>2389</v>
      </c>
      <c r="P62" s="2423" t="str">
        <f>K59</f>
        <v>建设期及建筑物耐用年限下的土地年期修正系数Kn</v>
      </c>
      <c r="Q62" s="2424">
        <f ca="1">L59</f>
        <v>1.0094000000000001</v>
      </c>
      <c r="R62" s="2427" t="s">
        <v>2398</v>
      </c>
    </row>
    <row r="63" spans="1:18" s="2059" customFormat="1" ht="15.75" thickBot="1">
      <c r="A63" s="1648" t="s">
        <v>1890</v>
      </c>
      <c r="B63" s="784" t="s">
        <v>676</v>
      </c>
      <c r="C63" s="53">
        <f ca="1">ROUND(C56*F63,1)</f>
        <v>67.7</v>
      </c>
      <c r="D63" s="2663" t="s">
        <v>1804</v>
      </c>
      <c r="E63" s="784" t="s">
        <v>1748</v>
      </c>
      <c r="F63" s="817">
        <f t="shared" ca="1" si="0"/>
        <v>1.4999999999999999E-2</v>
      </c>
      <c r="I63" s="2409" t="s">
        <v>2371</v>
      </c>
      <c r="J63" s="2410">
        <v>70</v>
      </c>
      <c r="K63" s="2410">
        <v>50</v>
      </c>
      <c r="L63" s="2410">
        <v>80</v>
      </c>
      <c r="M63" s="3130">
        <v>0.02</v>
      </c>
      <c r="O63" s="2422" t="s">
        <v>2392</v>
      </c>
      <c r="P63" s="2423" t="s">
        <v>2409</v>
      </c>
      <c r="Q63" s="2424">
        <f ca="1">Q57+Q58</f>
        <v>7651</v>
      </c>
      <c r="R63" s="2427" t="s">
        <v>2393</v>
      </c>
    </row>
    <row r="64" spans="1:18" s="2059" customFormat="1" ht="16.5" thickBot="1">
      <c r="A64" s="1648" t="s">
        <v>1891</v>
      </c>
      <c r="B64" s="784" t="s">
        <v>679</v>
      </c>
      <c r="C64" s="53">
        <f ca="1">ROUND(C55*F64,1)</f>
        <v>6.8</v>
      </c>
      <c r="D64" s="2663" t="s">
        <v>680</v>
      </c>
      <c r="E64" s="784" t="s">
        <v>1748</v>
      </c>
      <c r="F64" s="818">
        <f t="shared" ca="1" si="0"/>
        <v>1.5E-3</v>
      </c>
      <c r="I64" s="2409" t="s">
        <v>2372</v>
      </c>
      <c r="J64" s="2410">
        <v>50</v>
      </c>
      <c r="K64" s="2410">
        <v>35</v>
      </c>
      <c r="L64" s="2410">
        <v>60</v>
      </c>
      <c r="M64" s="3131">
        <v>0</v>
      </c>
      <c r="O64" s="2428" t="s">
        <v>2416</v>
      </c>
      <c r="P64" s="1591"/>
      <c r="Q64" s="1603"/>
      <c r="R64" s="1591"/>
    </row>
    <row r="65" spans="1:18" s="2059" customFormat="1" ht="15.75" thickBot="1">
      <c r="A65" s="1648" t="s">
        <v>1892</v>
      </c>
      <c r="B65" s="784" t="s">
        <v>666</v>
      </c>
      <c r="C65" s="53">
        <f ca="1">ROUND(C47*F65,1)</f>
        <v>0</v>
      </c>
      <c r="D65" s="2663" t="s">
        <v>683</v>
      </c>
      <c r="E65" s="784" t="s">
        <v>1748</v>
      </c>
      <c r="F65" s="794">
        <f t="shared" ca="1" si="0"/>
        <v>0.01</v>
      </c>
      <c r="I65" s="2409" t="s">
        <v>2373</v>
      </c>
      <c r="J65" s="2410">
        <v>40</v>
      </c>
      <c r="K65" s="2410">
        <v>30</v>
      </c>
      <c r="L65" s="2410">
        <v>50</v>
      </c>
      <c r="M65" s="3130">
        <v>0.02</v>
      </c>
      <c r="O65" s="2419" t="s">
        <v>2376</v>
      </c>
      <c r="P65" s="2420" t="s">
        <v>2377</v>
      </c>
      <c r="Q65" s="2421" t="s">
        <v>2378</v>
      </c>
      <c r="R65" s="2420" t="s">
        <v>2379</v>
      </c>
    </row>
    <row r="66" spans="1:18" s="2059" customFormat="1" ht="24.75" thickBot="1">
      <c r="A66" s="797" t="s">
        <v>1777</v>
      </c>
      <c r="B66" s="3035" t="s">
        <v>2823</v>
      </c>
      <c r="C66" s="799">
        <f ca="1">C47-C57</f>
        <v>-79</v>
      </c>
      <c r="D66" s="2662" t="s">
        <v>700</v>
      </c>
      <c r="E66" s="2661"/>
      <c r="F66" s="820"/>
      <c r="K66" s="2086"/>
      <c r="O66" s="2422" t="s">
        <v>2380</v>
      </c>
      <c r="P66" s="2423" t="s">
        <v>2410</v>
      </c>
      <c r="Q66" s="2424">
        <f ca="1">C40+J29</f>
        <v>7651</v>
      </c>
      <c r="R66" s="2423" t="s">
        <v>2381</v>
      </c>
    </row>
    <row r="67" spans="1:18" s="2059" customFormat="1" ht="20.25" thickBot="1">
      <c r="A67" s="781" t="s">
        <v>1781</v>
      </c>
      <c r="B67" s="2232" t="s">
        <v>2302</v>
      </c>
      <c r="C67" s="783">
        <f ca="1">ROUND(C66*(1-((1+F69)/(1+F67))^F68)/(F67-F69),0)</f>
        <v>-1397</v>
      </c>
      <c r="D67" s="814" t="s">
        <v>704</v>
      </c>
      <c r="E67" s="784" t="s">
        <v>705</v>
      </c>
      <c r="F67" s="794">
        <f ca="1">F40</f>
        <v>0.05</v>
      </c>
      <c r="K67" s="2086"/>
      <c r="O67" s="2422" t="s">
        <v>2382</v>
      </c>
      <c r="P67" s="2423" t="s">
        <v>2413</v>
      </c>
      <c r="Q67" s="2424">
        <f ca="1">L60</f>
        <v>0</v>
      </c>
      <c r="R67" s="2427" t="s">
        <v>2415</v>
      </c>
    </row>
    <row r="68" spans="1:18" ht="21.75" thickBot="1">
      <c r="A68" s="786"/>
      <c r="B68" s="787"/>
      <c r="C68" s="788"/>
      <c r="D68" s="821" t="s">
        <v>1809</v>
      </c>
      <c r="E68" s="784" t="s">
        <v>1785</v>
      </c>
      <c r="F68" s="822">
        <f ca="1">F41</f>
        <v>44.13</v>
      </c>
      <c r="O68" s="2425" t="s">
        <v>2384</v>
      </c>
      <c r="P68" s="2423" t="s">
        <v>2414</v>
      </c>
      <c r="Q68" s="2429">
        <f ca="1">L51</f>
        <v>-1372</v>
      </c>
      <c r="R68" s="2430" t="s">
        <v>2417</v>
      </c>
    </row>
    <row r="69" spans="1:18" ht="20.25" thickBot="1">
      <c r="A69" s="790"/>
      <c r="B69" s="791"/>
      <c r="C69" s="792"/>
      <c r="D69" s="816"/>
      <c r="E69" s="784" t="s">
        <v>710</v>
      </c>
      <c r="F69" s="2371"/>
      <c r="O69" s="2425" t="s">
        <v>2385</v>
      </c>
      <c r="P69" s="2431" t="s">
        <v>2399</v>
      </c>
      <c r="Q69" s="2424">
        <f ca="1">ROUND(Q70-Q71*Q72,0)</f>
        <v>-66</v>
      </c>
      <c r="R69" s="2427"/>
    </row>
    <row r="70" spans="1:18" ht="15.75" thickBot="1">
      <c r="A70" s="823" t="s">
        <v>1788</v>
      </c>
      <c r="B70" s="824" t="s">
        <v>1811</v>
      </c>
      <c r="C70" s="825">
        <f ca="1">ROUND(C67*10000/F70,0)</f>
        <v>-1041</v>
      </c>
      <c r="D70" s="826" t="s">
        <v>1812</v>
      </c>
      <c r="E70" s="827" t="s">
        <v>1813</v>
      </c>
      <c r="F70" s="828">
        <f ca="1">F43</f>
        <v>13418.867</v>
      </c>
      <c r="O70" s="2425" t="s">
        <v>2400</v>
      </c>
      <c r="P70" s="2431" t="s">
        <v>2401</v>
      </c>
      <c r="Q70" s="2424">
        <f ca="1">C39</f>
        <v>318</v>
      </c>
      <c r="R70" s="2423" t="s">
        <v>2381</v>
      </c>
    </row>
    <row r="71" spans="1:18" ht="15.75" thickBot="1">
      <c r="O71" s="2425" t="s">
        <v>2402</v>
      </c>
      <c r="P71" s="2431" t="s">
        <v>2403</v>
      </c>
      <c r="Q71" s="2424">
        <f ca="1">C13</f>
        <v>4516</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0.04</v>
      </c>
      <c r="R73" s="2427"/>
    </row>
    <row r="74" spans="1:18" ht="20.25" thickBot="1">
      <c r="O74" s="2425" t="s">
        <v>2389</v>
      </c>
      <c r="P74" s="2423" t="s">
        <v>2395</v>
      </c>
      <c r="Q74" s="2424">
        <f ca="1">L58</f>
        <v>0.96940000000000004</v>
      </c>
      <c r="R74" s="2427" t="s">
        <v>2396</v>
      </c>
    </row>
    <row r="75" spans="1:18" ht="15.75" thickBot="1">
      <c r="O75" s="2425" t="s">
        <v>2418</v>
      </c>
      <c r="P75" s="2423" t="str">
        <f>K59</f>
        <v>建设期及建筑物耐用年限下的土地年期修正系数Kn</v>
      </c>
      <c r="Q75" s="2424">
        <f ca="1">L59</f>
        <v>1.0094000000000001</v>
      </c>
      <c r="R75" s="2427" t="s">
        <v>2398</v>
      </c>
    </row>
    <row r="76" spans="1:18" ht="15.75" thickBot="1">
      <c r="O76" s="2422" t="s">
        <v>2392</v>
      </c>
      <c r="P76" s="2423" t="s">
        <v>2409</v>
      </c>
      <c r="Q76" s="2424">
        <f ca="1">Q66+Q67</f>
        <v>7651</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2472</v>
      </c>
      <c r="B1" s="3469"/>
      <c r="C1" s="3470"/>
      <c r="D1" s="3471">
        <f>SUM(I10,I15,I20,I21,I23)</f>
        <v>0</v>
      </c>
      <c r="E1" s="3471"/>
      <c r="F1" s="3471"/>
      <c r="G1" s="3471"/>
      <c r="H1" s="3471"/>
      <c r="I1" s="3472"/>
    </row>
    <row r="2" spans="1:9">
      <c r="A2" s="3458" t="s">
        <v>2473</v>
      </c>
      <c r="B2" s="3459" t="s">
        <v>2474</v>
      </c>
      <c r="C2" s="3459"/>
      <c r="D2" s="2531" t="s">
        <v>2475</v>
      </c>
      <c r="E2" s="2531" t="s">
        <v>2476</v>
      </c>
      <c r="F2" s="2531" t="s">
        <v>2477</v>
      </c>
      <c r="G2" s="2531" t="s">
        <v>2478</v>
      </c>
      <c r="H2" s="2531" t="s">
        <v>2479</v>
      </c>
      <c r="I2" s="2532" t="s">
        <v>2480</v>
      </c>
    </row>
    <row r="3" spans="1:9">
      <c r="A3" s="3458"/>
      <c r="B3" s="3459" t="s">
        <v>2481</v>
      </c>
      <c r="C3" s="3459"/>
      <c r="D3" s="2533"/>
      <c r="E3" s="2531"/>
      <c r="F3" s="2534"/>
      <c r="G3" s="2534"/>
      <c r="H3" s="2535"/>
      <c r="I3" s="2536">
        <f>ROUND(D3*E3*F3*G3*H3/10000,0)</f>
        <v>0</v>
      </c>
    </row>
    <row r="4" spans="1:9">
      <c r="A4" s="3458"/>
      <c r="B4" s="3459" t="s">
        <v>2482</v>
      </c>
      <c r="C4" s="3459"/>
      <c r="D4" s="2533"/>
      <c r="E4" s="2531"/>
      <c r="F4" s="2534"/>
      <c r="G4" s="2534"/>
      <c r="H4" s="2535"/>
      <c r="I4" s="2536">
        <f t="shared" ref="I4:I9" si="0">ROUND(D4*E4*F4*G4*H4/10000,0)</f>
        <v>0</v>
      </c>
    </row>
    <row r="5" spans="1:9">
      <c r="A5" s="3458"/>
      <c r="B5" s="3459" t="s">
        <v>2483</v>
      </c>
      <c r="C5" s="3459"/>
      <c r="D5" s="2533"/>
      <c r="E5" s="2531"/>
      <c r="F5" s="2534"/>
      <c r="G5" s="2534"/>
      <c r="H5" s="2535"/>
      <c r="I5" s="2536">
        <f t="shared" si="0"/>
        <v>0</v>
      </c>
    </row>
    <row r="6" spans="1:9">
      <c r="A6" s="3458"/>
      <c r="B6" s="3459" t="s">
        <v>2484</v>
      </c>
      <c r="C6" s="3459"/>
      <c r="D6" s="2533"/>
      <c r="E6" s="2531"/>
      <c r="F6" s="2534"/>
      <c r="G6" s="2534"/>
      <c r="H6" s="2535"/>
      <c r="I6" s="2536">
        <f t="shared" si="0"/>
        <v>0</v>
      </c>
    </row>
    <row r="7" spans="1:9">
      <c r="A7" s="3458"/>
      <c r="B7" s="3459" t="s">
        <v>2485</v>
      </c>
      <c r="C7" s="3459"/>
      <c r="D7" s="2533"/>
      <c r="E7" s="2531"/>
      <c r="F7" s="2534"/>
      <c r="G7" s="2534"/>
      <c r="H7" s="2535"/>
      <c r="I7" s="2536">
        <f t="shared" si="0"/>
        <v>0</v>
      </c>
    </row>
    <row r="8" spans="1:9">
      <c r="A8" s="3458"/>
      <c r="B8" s="3459" t="s">
        <v>2486</v>
      </c>
      <c r="C8" s="3459"/>
      <c r="D8" s="2533"/>
      <c r="E8" s="2531"/>
      <c r="F8" s="2534"/>
      <c r="G8" s="2534"/>
      <c r="H8" s="2535"/>
      <c r="I8" s="2536">
        <f t="shared" si="0"/>
        <v>0</v>
      </c>
    </row>
    <row r="9" spans="1:9">
      <c r="A9" s="3458"/>
      <c r="B9" s="3459" t="s">
        <v>2487</v>
      </c>
      <c r="C9" s="3459"/>
      <c r="D9" s="2533"/>
      <c r="E9" s="2531"/>
      <c r="F9" s="2534"/>
      <c r="G9" s="2534"/>
      <c r="H9" s="2535"/>
      <c r="I9" s="2536">
        <f t="shared" si="0"/>
        <v>0</v>
      </c>
    </row>
    <row r="10" spans="1:9">
      <c r="A10" s="3458"/>
      <c r="B10" s="3460" t="s">
        <v>2488</v>
      </c>
      <c r="C10" s="3460"/>
      <c r="D10" s="2537">
        <v>527</v>
      </c>
      <c r="E10" s="2537" t="e">
        <f>ROUND(D1*10000/D10/H9,0)</f>
        <v>#DIV/0!</v>
      </c>
      <c r="F10" s="2538"/>
      <c r="G10" s="2538"/>
      <c r="H10" s="2539"/>
      <c r="I10" s="2540">
        <f>SUM(I3:I9)</f>
        <v>0</v>
      </c>
    </row>
    <row r="11" spans="1:9" ht="14.25">
      <c r="A11" s="3458" t="s">
        <v>2489</v>
      </c>
      <c r="B11" s="3459" t="s">
        <v>2490</v>
      </c>
      <c r="C11" s="3459"/>
      <c r="D11" s="2533" t="s">
        <v>2491</v>
      </c>
      <c r="E11" s="2533" t="s">
        <v>2492</v>
      </c>
      <c r="F11" s="2534" t="s">
        <v>2493</v>
      </c>
      <c r="G11" s="2534" t="s">
        <v>2494</v>
      </c>
      <c r="H11" s="2541" t="s">
        <v>2495</v>
      </c>
      <c r="I11" s="2532" t="s">
        <v>2496</v>
      </c>
    </row>
    <row r="12" spans="1:9">
      <c r="A12" s="3458"/>
      <c r="B12" s="3459" t="s">
        <v>2497</v>
      </c>
      <c r="C12" s="3459"/>
      <c r="D12" s="2533"/>
      <c r="E12" s="2533"/>
      <c r="F12" s="2534"/>
      <c r="G12" s="2535"/>
      <c r="H12" s="2542"/>
      <c r="I12" s="2532">
        <f>ROUND(D12*E12*F12*G12/10000,0)</f>
        <v>0</v>
      </c>
    </row>
    <row r="13" spans="1:9">
      <c r="A13" s="3458"/>
      <c r="B13" s="3459" t="s">
        <v>2498</v>
      </c>
      <c r="C13" s="3459"/>
      <c r="D13" s="2533"/>
      <c r="E13" s="2533"/>
      <c r="F13" s="2534"/>
      <c r="G13" s="2535"/>
      <c r="H13" s="2542"/>
      <c r="I13" s="2532">
        <f>ROUND(D13*E13*F13*G13/10000,0)</f>
        <v>0</v>
      </c>
    </row>
    <row r="14" spans="1:9">
      <c r="A14" s="3458"/>
      <c r="B14" s="3459" t="s">
        <v>2499</v>
      </c>
      <c r="C14" s="3459"/>
      <c r="D14" s="2533"/>
      <c r="E14" s="2533"/>
      <c r="F14" s="2534"/>
      <c r="G14" s="2535"/>
      <c r="H14" s="2542"/>
      <c r="I14" s="2532">
        <f>ROUND(D14*E14*F14*G14/10000,0)</f>
        <v>0</v>
      </c>
    </row>
    <row r="15" spans="1:9">
      <c r="A15" s="3458"/>
      <c r="B15" s="3460" t="s">
        <v>2488</v>
      </c>
      <c r="C15" s="3460"/>
      <c r="D15" s="2537"/>
      <c r="E15" s="2537">
        <f>SUM(E12:E14)</f>
        <v>0</v>
      </c>
      <c r="F15" s="2538"/>
      <c r="G15" s="2535"/>
      <c r="H15" s="2542"/>
      <c r="I15" s="2543">
        <f>SUM(I12:I14)</f>
        <v>0</v>
      </c>
    </row>
    <row r="16" spans="1:9" ht="24">
      <c r="A16" s="3458" t="s">
        <v>2500</v>
      </c>
      <c r="B16" s="3459" t="s">
        <v>2501</v>
      </c>
      <c r="C16" s="3459"/>
      <c r="D16" s="2533" t="s">
        <v>2502</v>
      </c>
      <c r="E16" s="2544" t="s">
        <v>2503</v>
      </c>
      <c r="F16" s="2534" t="s">
        <v>2504</v>
      </c>
      <c r="G16" s="2535" t="s">
        <v>2494</v>
      </c>
      <c r="H16" s="2541" t="s">
        <v>2495</v>
      </c>
      <c r="I16" s="2532" t="s">
        <v>2496</v>
      </c>
    </row>
    <row r="17" spans="1:9" ht="14.25">
      <c r="A17" s="3458"/>
      <c r="B17" s="3459" t="s">
        <v>2505</v>
      </c>
      <c r="C17" s="3459"/>
      <c r="D17" s="2533"/>
      <c r="E17" s="2533"/>
      <c r="F17" s="2534"/>
      <c r="G17" s="2535"/>
      <c r="H17" s="2545"/>
      <c r="I17" s="2546">
        <f>ROUND(D17*E17*F17*G17/10000,0)</f>
        <v>0</v>
      </c>
    </row>
    <row r="18" spans="1:9" ht="14.25">
      <c r="A18" s="3458"/>
      <c r="B18" s="3459" t="s">
        <v>2506</v>
      </c>
      <c r="C18" s="3459"/>
      <c r="D18" s="2533"/>
      <c r="E18" s="2533"/>
      <c r="F18" s="2534"/>
      <c r="G18" s="2535"/>
      <c r="H18" s="2545"/>
      <c r="I18" s="2546">
        <f>ROUND(D18*E18*F18*G18/10000,0)</f>
        <v>0</v>
      </c>
    </row>
    <row r="19" spans="1:9" ht="14.25">
      <c r="A19" s="3458"/>
      <c r="B19" s="3459" t="s">
        <v>2507</v>
      </c>
      <c r="C19" s="3459"/>
      <c r="D19" s="2533"/>
      <c r="E19" s="2533"/>
      <c r="F19" s="2534"/>
      <c r="G19" s="2535"/>
      <c r="H19" s="2545"/>
      <c r="I19" s="2546">
        <f>ROUND(D19*E19*F19*G19/10000,0)</f>
        <v>0</v>
      </c>
    </row>
    <row r="20" spans="1:9">
      <c r="A20" s="3458"/>
      <c r="B20" s="3460" t="s">
        <v>2488</v>
      </c>
      <c r="C20" s="3460"/>
      <c r="D20" s="2537">
        <f>SUM(D17:D19)</f>
        <v>0</v>
      </c>
      <c r="E20" s="2537"/>
      <c r="F20" s="2538"/>
      <c r="G20" s="2535"/>
      <c r="H20" s="2542"/>
      <c r="I20" s="2543">
        <f>SUM(I17:I19)</f>
        <v>0</v>
      </c>
    </row>
    <row r="21" spans="1:9">
      <c r="A21" s="3458" t="s">
        <v>2508</v>
      </c>
      <c r="B21" s="3461"/>
      <c r="C21" s="3461"/>
      <c r="D21" s="3461"/>
      <c r="E21" s="3461"/>
      <c r="F21" s="3461"/>
      <c r="G21" s="3461"/>
      <c r="H21" s="2547">
        <v>0.1</v>
      </c>
      <c r="I21" s="2540">
        <f>ROUND(I10*H21,0)</f>
        <v>0</v>
      </c>
    </row>
    <row r="22" spans="1:9" ht="14.25">
      <c r="A22" s="3462" t="s">
        <v>2509</v>
      </c>
      <c r="B22" s="3463"/>
      <c r="C22" s="3464"/>
      <c r="D22" s="2548" t="s">
        <v>2510</v>
      </c>
      <c r="E22" s="2548" t="s">
        <v>2511</v>
      </c>
      <c r="F22" s="2549" t="s">
        <v>2512</v>
      </c>
      <c r="G22" s="2549" t="s">
        <v>2513</v>
      </c>
      <c r="H22" s="2541" t="s">
        <v>2514</v>
      </c>
      <c r="I22" s="2532" t="s">
        <v>2515</v>
      </c>
    </row>
    <row r="23" spans="1:9" ht="14.25" thickBot="1">
      <c r="A23" s="3465"/>
      <c r="B23" s="3466"/>
      <c r="C23" s="3467"/>
      <c r="D23" s="2550"/>
      <c r="E23" s="2550"/>
      <c r="F23" s="2550"/>
      <c r="G23" s="2551"/>
      <c r="H23" s="2552"/>
      <c r="I23" s="2553">
        <f>ROUND(E23*D23*F23*(1-G23)/10000,0)</f>
        <v>0</v>
      </c>
    </row>
    <row r="26" spans="1:9">
      <c r="A26" s="2554" t="s">
        <v>2516</v>
      </c>
      <c r="B26" s="2554"/>
      <c r="C26" s="2554"/>
      <c r="D26" s="2554"/>
      <c r="E26" s="3455">
        <f>C27-C30-C31-C32</f>
        <v>0</v>
      </c>
      <c r="F26" s="3455"/>
      <c r="G26" s="3455"/>
      <c r="H26" s="3068" t="s">
        <v>2844</v>
      </c>
    </row>
    <row r="27" spans="1:9">
      <c r="A27" s="2555">
        <v>1</v>
      </c>
      <c r="B27" s="2556" t="s">
        <v>2517</v>
      </c>
      <c r="C27" s="2556"/>
      <c r="D27" s="2556"/>
      <c r="E27" s="3456"/>
      <c r="F27" s="3456"/>
      <c r="G27" s="3456"/>
    </row>
    <row r="28" spans="1:9">
      <c r="A28" s="2557" t="s">
        <v>2518</v>
      </c>
      <c r="B28" s="2556" t="s">
        <v>2519</v>
      </c>
      <c r="C28" s="2556"/>
      <c r="D28" s="2556"/>
      <c r="E28" s="3456"/>
      <c r="F28" s="3456"/>
      <c r="G28" s="3456"/>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57"/>
      <c r="F32" s="3457"/>
      <c r="G32" s="3457"/>
    </row>
    <row r="33" spans="1:7" hidden="1">
      <c r="A33" s="3452" t="s">
        <v>2527</v>
      </c>
      <c r="B33" s="3453"/>
      <c r="C33" s="3453"/>
      <c r="D33" s="3454"/>
      <c r="E33" s="3455"/>
      <c r="F33" s="3455"/>
      <c r="G33" s="3455"/>
    </row>
    <row r="34" spans="1:7" hidden="1">
      <c r="A34" s="2559">
        <v>1</v>
      </c>
      <c r="B34" s="2556" t="s">
        <v>2528</v>
      </c>
      <c r="C34" s="2556"/>
      <c r="D34" s="2556"/>
      <c r="E34" s="3456"/>
      <c r="F34" s="3456"/>
      <c r="G34" s="3456"/>
    </row>
    <row r="35" spans="1:7" hidden="1">
      <c r="A35" s="2559">
        <v>2</v>
      </c>
      <c r="B35" s="2556" t="s">
        <v>2529</v>
      </c>
      <c r="C35" s="2556"/>
      <c r="D35" s="2556"/>
      <c r="E35" s="3456"/>
      <c r="F35" s="3456"/>
      <c r="G35" s="3456"/>
    </row>
    <row r="36" spans="1:7" hidden="1">
      <c r="A36" s="2559">
        <v>3</v>
      </c>
      <c r="B36" s="2556" t="s">
        <v>2530</v>
      </c>
      <c r="C36" s="2556"/>
      <c r="D36" s="2556"/>
      <c r="E36" s="3456"/>
      <c r="F36" s="3456"/>
      <c r="G36" s="3456"/>
    </row>
    <row r="37" spans="1:7" hidden="1">
      <c r="A37" s="2559">
        <v>4</v>
      </c>
      <c r="B37" s="2556" t="s">
        <v>2531</v>
      </c>
      <c r="C37" s="2556"/>
      <c r="D37" s="2556"/>
      <c r="E37" s="3456"/>
      <c r="F37" s="3456"/>
      <c r="G37" s="3456"/>
    </row>
    <row r="38" spans="1:7" hidden="1">
      <c r="A38" s="3452" t="s">
        <v>2532</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13432.367</v>
      </c>
      <c r="E10" s="749">
        <f>'数据-取费表'!B31</f>
        <v>150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0</v>
      </c>
      <c r="D12" s="758">
        <f>'数据-汇总表'!E5</f>
        <v>0</v>
      </c>
      <c r="E12" s="757">
        <f>'数据-取费表'!B27</f>
        <v>0</v>
      </c>
      <c r="F12" s="755"/>
      <c r="G12" s="759"/>
    </row>
    <row r="13" spans="1:25" s="2183" customFormat="1" ht="13.5" customHeight="1">
      <c r="A13" s="2500" t="s">
        <v>2448</v>
      </c>
      <c r="B13" s="756" t="s">
        <v>612</v>
      </c>
      <c r="C13" s="757">
        <f>ROUND(D13*E13/10000,0)</f>
        <v>0</v>
      </c>
      <c r="D13" s="758">
        <f>'数据-汇总表'!E6</f>
        <v>13432.367</v>
      </c>
      <c r="E13" s="757">
        <f>'数据-取费表'!B28</f>
        <v>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0.05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0.83299999999999996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7" t="s">
        <v>719</v>
      </c>
      <c r="C1" s="2648" t="s">
        <v>720</v>
      </c>
      <c r="D1" s="2649"/>
      <c r="E1" s="2650"/>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376" t="s">
        <v>522</v>
      </c>
      <c r="D4" s="3377"/>
      <c r="E4" s="3378" t="s">
        <v>523</v>
      </c>
      <c r="F4" s="3379"/>
      <c r="G4" s="3376" t="s">
        <v>524</v>
      </c>
      <c r="H4" s="3377"/>
      <c r="I4" s="3376" t="s">
        <v>525</v>
      </c>
      <c r="J4" s="3377"/>
      <c r="K4" s="853" t="s">
        <v>526</v>
      </c>
      <c r="L4" s="2133"/>
      <c r="M4" s="2134"/>
      <c r="N4" s="2134"/>
      <c r="O4" s="2134"/>
      <c r="P4" s="3380" t="s">
        <v>527</v>
      </c>
      <c r="Q4" s="3381"/>
      <c r="R4" s="3386" t="s">
        <v>523</v>
      </c>
      <c r="S4" s="3387"/>
      <c r="T4" s="3386" t="s">
        <v>524</v>
      </c>
      <c r="U4" s="3387"/>
      <c r="V4" s="3366" t="s">
        <v>525</v>
      </c>
      <c r="W4" s="3366"/>
      <c r="X4" s="1566"/>
      <c r="Y4" s="3386" t="s">
        <v>527</v>
      </c>
      <c r="Z4" s="3387"/>
      <c r="AA4" s="3373" t="s">
        <v>523</v>
      </c>
      <c r="AB4" s="3373" t="s">
        <v>524</v>
      </c>
      <c r="AC4" s="3373" t="s">
        <v>525</v>
      </c>
    </row>
    <row r="5" spans="1:29" ht="15">
      <c r="A5" s="515"/>
      <c r="B5" s="516"/>
      <c r="C5" s="3407" t="s">
        <v>2922</v>
      </c>
      <c r="D5" s="3395"/>
      <c r="E5" s="3473" t="s">
        <v>2923</v>
      </c>
      <c r="F5" s="3393"/>
      <c r="G5" s="3407" t="s">
        <v>2924</v>
      </c>
      <c r="H5" s="3395"/>
      <c r="I5" s="3407" t="s">
        <v>2925</v>
      </c>
      <c r="J5" s="3395"/>
      <c r="K5" s="854"/>
      <c r="L5" s="2133"/>
      <c r="M5" s="2134"/>
      <c r="N5" s="2134"/>
      <c r="O5" s="2134"/>
      <c r="P5" s="3382"/>
      <c r="Q5" s="3383"/>
      <c r="R5" s="3388"/>
      <c r="S5" s="3389"/>
      <c r="T5" s="3388"/>
      <c r="U5" s="3389"/>
      <c r="V5" s="3366"/>
      <c r="W5" s="3366"/>
      <c r="X5" s="1566"/>
      <c r="Y5" s="3388"/>
      <c r="Z5" s="3389"/>
      <c r="AA5" s="3374"/>
      <c r="AB5" s="3374"/>
      <c r="AC5" s="3374"/>
    </row>
    <row r="6" spans="1:29" ht="15.75" thickBot="1">
      <c r="A6" s="517"/>
      <c r="B6" s="518"/>
      <c r="C6" s="3396" t="s">
        <v>2926</v>
      </c>
      <c r="D6" s="3397"/>
      <c r="E6" s="3400" t="s">
        <v>2926</v>
      </c>
      <c r="F6" s="3401"/>
      <c r="G6" s="3396" t="s">
        <v>2926</v>
      </c>
      <c r="H6" s="3397"/>
      <c r="I6" s="3396" t="s">
        <v>2926</v>
      </c>
      <c r="J6" s="3397"/>
      <c r="K6" s="854" t="s">
        <v>528</v>
      </c>
      <c r="L6" s="2133"/>
      <c r="M6" s="2134"/>
      <c r="N6" s="2134"/>
      <c r="O6" s="2134"/>
      <c r="P6" s="3384"/>
      <c r="Q6" s="3385"/>
      <c r="R6" s="3388"/>
      <c r="S6" s="3389"/>
      <c r="T6" s="3390"/>
      <c r="U6" s="3391"/>
      <c r="V6" s="3366"/>
      <c r="W6" s="3366"/>
      <c r="X6" s="1566"/>
      <c r="Y6" s="3390"/>
      <c r="Z6" s="3391"/>
      <c r="AA6" s="3375"/>
      <c r="AB6" s="3375"/>
      <c r="AC6" s="3375"/>
    </row>
    <row r="7" spans="1:29" s="1219" customFormat="1" ht="15.75" thickBot="1">
      <c r="A7" s="2936"/>
      <c r="B7" s="2943" t="s">
        <v>529</v>
      </c>
      <c r="C7" s="519">
        <f>'数据-取费表'!B2</f>
        <v>43250</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71" t="s">
        <v>530</v>
      </c>
      <c r="Q7" s="3399"/>
      <c r="R7" s="1567" t="s">
        <v>13</v>
      </c>
      <c r="S7" s="1568">
        <f t="shared" ref="S7:S15" si="0">F7</f>
        <v>0</v>
      </c>
      <c r="T7" s="1567" t="s">
        <v>13</v>
      </c>
      <c r="U7" s="1568">
        <f t="shared" ref="U7:U15" si="1">H7</f>
        <v>0</v>
      </c>
      <c r="V7" s="1567" t="s">
        <v>13</v>
      </c>
      <c r="W7" s="1568">
        <f t="shared" ref="W7:W15" si="2">J7</f>
        <v>0</v>
      </c>
      <c r="X7" s="1569"/>
      <c r="Y7" s="3371" t="s">
        <v>530</v>
      </c>
      <c r="Z7" s="3372"/>
      <c r="AA7" s="1570" t="e">
        <f>D7/F7</f>
        <v>#DIV/0!</v>
      </c>
      <c r="AB7" s="1570" t="e">
        <f>D7/H7</f>
        <v>#DIV/0!</v>
      </c>
      <c r="AC7" s="1570" t="e">
        <f>D7/J7</f>
        <v>#DIV/0!</v>
      </c>
    </row>
    <row r="8" spans="1:29" s="1219" customFormat="1" ht="15.75" thickBot="1">
      <c r="A8" s="2937"/>
      <c r="B8" s="2944"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71" t="s">
        <v>533</v>
      </c>
      <c r="Q8" s="3372"/>
      <c r="R8" s="1567" t="s">
        <v>13</v>
      </c>
      <c r="S8" s="1568">
        <f t="shared" si="0"/>
        <v>0</v>
      </c>
      <c r="T8" s="1567" t="s">
        <v>13</v>
      </c>
      <c r="U8" s="1568">
        <f t="shared" si="1"/>
        <v>0</v>
      </c>
      <c r="V8" s="1567" t="s">
        <v>13</v>
      </c>
      <c r="W8" s="1568">
        <f t="shared" si="2"/>
        <v>0</v>
      </c>
      <c r="X8" s="1569"/>
      <c r="Y8" s="3371" t="s">
        <v>533</v>
      </c>
      <c r="Z8" s="3372"/>
      <c r="AA8" s="1570" t="e">
        <f t="shared" ref="AA8:AA46" si="3">D8/F8</f>
        <v>#DIV/0!</v>
      </c>
      <c r="AB8" s="1570" t="e">
        <f t="shared" ref="AB8:AB46" si="4">D8/H8</f>
        <v>#DIV/0!</v>
      </c>
      <c r="AC8" s="1570" t="e">
        <f t="shared" ref="AC8:AC46" si="5">D8/J8</f>
        <v>#DIV/0!</v>
      </c>
    </row>
    <row r="9" spans="1:29" s="1219" customFormat="1" ht="15">
      <c r="A9" s="2938"/>
      <c r="B9" s="2945"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64" t="s">
        <v>535</v>
      </c>
      <c r="Q9" s="1150" t="str">
        <f t="shared" ref="Q9:Q15" si="6">B9</f>
        <v>用途</v>
      </c>
      <c r="R9" s="1567" t="s">
        <v>8</v>
      </c>
      <c r="S9" s="1568">
        <f t="shared" si="0"/>
        <v>100</v>
      </c>
      <c r="T9" s="1567" t="s">
        <v>8</v>
      </c>
      <c r="U9" s="1568">
        <f t="shared" si="1"/>
        <v>100</v>
      </c>
      <c r="V9" s="1567" t="s">
        <v>8</v>
      </c>
      <c r="W9" s="1568">
        <f t="shared" si="2"/>
        <v>100</v>
      </c>
      <c r="X9" s="1569"/>
      <c r="Y9" s="3329" t="s">
        <v>536</v>
      </c>
      <c r="Z9" s="1149" t="str">
        <f t="shared" ref="Z9:Z15" si="7">Q9</f>
        <v>用途</v>
      </c>
      <c r="AA9" s="1570">
        <f t="shared" si="3"/>
        <v>1</v>
      </c>
      <c r="AB9" s="1570">
        <f t="shared" si="4"/>
        <v>1</v>
      </c>
      <c r="AC9" s="1570">
        <f t="shared" si="5"/>
        <v>1</v>
      </c>
    </row>
    <row r="10" spans="1:29" s="1337" customFormat="1" ht="27">
      <c r="A10" s="2939"/>
      <c r="B10" s="2944" t="s">
        <v>2758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29"/>
      <c r="Z10" s="1149" t="str">
        <f t="shared" si="7"/>
        <v>土地使用年限（年）</v>
      </c>
      <c r="AA10" s="1570">
        <f t="shared" si="3"/>
        <v>1</v>
      </c>
      <c r="AB10" s="1570">
        <f t="shared" si="4"/>
        <v>1</v>
      </c>
      <c r="AC10" s="1570">
        <f t="shared" si="5"/>
        <v>1</v>
      </c>
    </row>
    <row r="11" spans="1:29" ht="15">
      <c r="A11" s="2940"/>
      <c r="B11" s="2944"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64"/>
      <c r="Q11" s="1150" t="str">
        <f t="shared" si="6"/>
        <v>容积率</v>
      </c>
      <c r="R11" s="1567" t="s">
        <v>11</v>
      </c>
      <c r="S11" s="1568" t="e">
        <f t="shared" si="0"/>
        <v>#N/A</v>
      </c>
      <c r="T11" s="1567" t="s">
        <v>11</v>
      </c>
      <c r="U11" s="1568" t="e">
        <f t="shared" si="1"/>
        <v>#N/A</v>
      </c>
      <c r="V11" s="1567" t="s">
        <v>11</v>
      </c>
      <c r="W11" s="1568" t="e">
        <f t="shared" si="2"/>
        <v>#N/A</v>
      </c>
      <c r="X11" s="1569"/>
      <c r="Y11" s="3329"/>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4"/>
      <c r="Q12" s="1150">
        <f t="shared" si="6"/>
        <v>111</v>
      </c>
      <c r="R12" s="1567" t="s">
        <v>11</v>
      </c>
      <c r="S12" s="1568">
        <f t="shared" si="0"/>
        <v>100</v>
      </c>
      <c r="T12" s="1567" t="s">
        <v>11</v>
      </c>
      <c r="U12" s="1568">
        <f t="shared" si="1"/>
        <v>100</v>
      </c>
      <c r="V12" s="1567" t="s">
        <v>11</v>
      </c>
      <c r="W12" s="1568">
        <f t="shared" si="2"/>
        <v>100</v>
      </c>
      <c r="X12" s="1569"/>
      <c r="Y12" s="3329"/>
      <c r="Z12" s="1149">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4"/>
      <c r="Q13" s="1150">
        <f t="shared" si="6"/>
        <v>111</v>
      </c>
      <c r="R13" s="1567" t="s">
        <v>11</v>
      </c>
      <c r="S13" s="1568">
        <f t="shared" si="0"/>
        <v>100</v>
      </c>
      <c r="T13" s="1567" t="s">
        <v>11</v>
      </c>
      <c r="U13" s="1568">
        <f t="shared" si="1"/>
        <v>100</v>
      </c>
      <c r="V13" s="1567" t="s">
        <v>11</v>
      </c>
      <c r="W13" s="1568">
        <f t="shared" si="2"/>
        <v>100</v>
      </c>
      <c r="X13" s="1569"/>
      <c r="Y13" s="3329"/>
      <c r="Z13" s="1149">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4"/>
      <c r="Q14" s="1150">
        <f t="shared" si="6"/>
        <v>111</v>
      </c>
      <c r="R14" s="1567" t="s">
        <v>11</v>
      </c>
      <c r="S14" s="1568">
        <f t="shared" si="0"/>
        <v>100</v>
      </c>
      <c r="T14" s="1567" t="s">
        <v>11</v>
      </c>
      <c r="U14" s="1568">
        <f t="shared" si="1"/>
        <v>100</v>
      </c>
      <c r="V14" s="1567" t="s">
        <v>11</v>
      </c>
      <c r="W14" s="1568">
        <f t="shared" si="2"/>
        <v>100</v>
      </c>
      <c r="X14" s="1569"/>
      <c r="Y14" s="3329"/>
      <c r="Z14" s="1149">
        <f t="shared" si="7"/>
        <v>111</v>
      </c>
      <c r="AA14" s="1570">
        <f t="shared" si="3"/>
        <v>1</v>
      </c>
      <c r="AB14" s="1570">
        <f t="shared" si="4"/>
        <v>1</v>
      </c>
      <c r="AC14" s="1570">
        <f t="shared" si="5"/>
        <v>1</v>
      </c>
    </row>
    <row r="15" spans="1:29" ht="15">
      <c r="A15" s="2934" t="s">
        <v>2755</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67" t="s">
        <v>540</v>
      </c>
      <c r="Q15" s="1571" t="str">
        <f t="shared" si="6"/>
        <v>居住社区成熟度</v>
      </c>
      <c r="R15" s="1572" t="s">
        <v>11</v>
      </c>
      <c r="S15" s="1573">
        <f t="shared" si="0"/>
        <v>100</v>
      </c>
      <c r="T15" s="1572" t="s">
        <v>11</v>
      </c>
      <c r="U15" s="1573">
        <f t="shared" si="1"/>
        <v>100</v>
      </c>
      <c r="V15" s="1572" t="s">
        <v>11</v>
      </c>
      <c r="W15" s="1573">
        <f t="shared" si="2"/>
        <v>100</v>
      </c>
      <c r="X15" s="1566"/>
      <c r="Y15" s="3367" t="s">
        <v>540</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368"/>
      <c r="Q16" s="1571"/>
      <c r="R16" s="1572"/>
      <c r="S16" s="1573"/>
      <c r="T16" s="1572"/>
      <c r="U16" s="1573"/>
      <c r="V16" s="1572"/>
      <c r="W16" s="1573"/>
      <c r="X16" s="1566"/>
      <c r="Y16" s="3368"/>
      <c r="Z16" s="1574"/>
      <c r="AA16" s="1575">
        <v>1</v>
      </c>
      <c r="AB16" s="1575">
        <v>1</v>
      </c>
      <c r="AC16" s="157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68"/>
      <c r="Q17" s="1571" t="str">
        <f>B17</f>
        <v>交通便捷度</v>
      </c>
      <c r="R17" s="1572" t="s">
        <v>11</v>
      </c>
      <c r="S17" s="1573">
        <f>F17</f>
        <v>100</v>
      </c>
      <c r="T17" s="1572" t="s">
        <v>11</v>
      </c>
      <c r="U17" s="1573">
        <f>H17</f>
        <v>100</v>
      </c>
      <c r="V17" s="1572" t="s">
        <v>11</v>
      </c>
      <c r="W17" s="1573">
        <f>J17</f>
        <v>100</v>
      </c>
      <c r="X17" s="1566"/>
      <c r="Y17" s="336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368"/>
      <c r="Q18" s="1571"/>
      <c r="R18" s="1572"/>
      <c r="S18" s="1573"/>
      <c r="T18" s="1572"/>
      <c r="U18" s="1573"/>
      <c r="V18" s="1572"/>
      <c r="W18" s="1573"/>
      <c r="X18" s="1566"/>
      <c r="Y18" s="3368"/>
      <c r="Z18" s="1574"/>
      <c r="AA18" s="1575">
        <v>1</v>
      </c>
      <c r="AB18" s="1575">
        <v>1</v>
      </c>
      <c r="AC18" s="1575">
        <v>1</v>
      </c>
    </row>
    <row r="19" spans="1:29" ht="15">
      <c r="A19" s="532"/>
      <c r="B19" s="2624"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68"/>
      <c r="Q19" s="1571" t="str">
        <f>B19</f>
        <v>公共配套设施</v>
      </c>
      <c r="R19" s="1572" t="s">
        <v>11</v>
      </c>
      <c r="S19" s="1573">
        <f>F19</f>
        <v>100</v>
      </c>
      <c r="T19" s="1572" t="s">
        <v>11</v>
      </c>
      <c r="U19" s="1573">
        <f>H19</f>
        <v>100</v>
      </c>
      <c r="V19" s="1572" t="s">
        <v>11</v>
      </c>
      <c r="W19" s="1573">
        <f>J19</f>
        <v>100</v>
      </c>
      <c r="X19" s="1566"/>
      <c r="Y19" s="336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368"/>
      <c r="Q20" s="1571"/>
      <c r="R20" s="1572"/>
      <c r="S20" s="1573"/>
      <c r="T20" s="1572"/>
      <c r="U20" s="1573"/>
      <c r="V20" s="1572"/>
      <c r="W20" s="1573"/>
      <c r="X20" s="1566"/>
      <c r="Y20" s="3368"/>
      <c r="Z20" s="1574"/>
      <c r="AA20" s="1575">
        <v>1</v>
      </c>
      <c r="AB20" s="1575">
        <v>1</v>
      </c>
      <c r="AC20" s="1575">
        <v>1</v>
      </c>
    </row>
    <row r="21" spans="1:29" ht="15">
      <c r="A21" s="532"/>
      <c r="B21" s="2617"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68"/>
      <c r="Q21" s="2603" t="str">
        <f>B21</f>
        <v>基础设施水平</v>
      </c>
      <c r="R21" s="1572" t="s">
        <v>11</v>
      </c>
      <c r="S21" s="1573">
        <f>F21</f>
        <v>100</v>
      </c>
      <c r="T21" s="1572" t="s">
        <v>11</v>
      </c>
      <c r="U21" s="1573">
        <f>H21</f>
        <v>100</v>
      </c>
      <c r="V21" s="1572" t="s">
        <v>11</v>
      </c>
      <c r="W21" s="1573">
        <f>J21</f>
        <v>100</v>
      </c>
      <c r="X21" s="2605"/>
      <c r="Y21" s="3368"/>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368"/>
      <c r="Q22" s="2603"/>
      <c r="R22" s="1572"/>
      <c r="S22" s="1573"/>
      <c r="T22" s="1572"/>
      <c r="U22" s="1573"/>
      <c r="V22" s="1572"/>
      <c r="W22" s="1573"/>
      <c r="X22" s="2605"/>
      <c r="Y22" s="3368"/>
      <c r="Z22" s="2604"/>
      <c r="AA22" s="1575">
        <v>1</v>
      </c>
      <c r="AB22" s="1575">
        <v>1</v>
      </c>
      <c r="AC22" s="1575">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68"/>
      <c r="Q23" s="1571" t="str">
        <f>B23</f>
        <v>自然及人文环境</v>
      </c>
      <c r="R23" s="1572" t="s">
        <v>11</v>
      </c>
      <c r="S23" s="1573">
        <f>F23</f>
        <v>100</v>
      </c>
      <c r="T23" s="1572" t="s">
        <v>11</v>
      </c>
      <c r="U23" s="1573">
        <f>H23</f>
        <v>100</v>
      </c>
      <c r="V23" s="1572" t="s">
        <v>11</v>
      </c>
      <c r="W23" s="1573">
        <f>J23</f>
        <v>100</v>
      </c>
      <c r="X23" s="1566"/>
      <c r="Y23" s="336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368"/>
      <c r="Q24" s="1571"/>
      <c r="R24" s="1572"/>
      <c r="S24" s="1573"/>
      <c r="T24" s="1572"/>
      <c r="U24" s="1573"/>
      <c r="V24" s="1572"/>
      <c r="W24" s="1573"/>
      <c r="X24" s="1566"/>
      <c r="Y24" s="3368"/>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68"/>
      <c r="Q25" s="1571" t="str">
        <f t="shared" ref="Q25:Q46" si="11">B25</f>
        <v>楼层-1</v>
      </c>
      <c r="R25" s="1572" t="s">
        <v>11</v>
      </c>
      <c r="S25" s="1573">
        <f>F25</f>
        <v>100</v>
      </c>
      <c r="T25" s="1572" t="s">
        <v>11</v>
      </c>
      <c r="U25" s="1573">
        <f>H25</f>
        <v>100</v>
      </c>
      <c r="V25" s="1572" t="s">
        <v>11</v>
      </c>
      <c r="W25" s="1573">
        <f>J25</f>
        <v>100</v>
      </c>
      <c r="X25" s="1566"/>
      <c r="Y25" s="3368"/>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68"/>
      <c r="Q26" s="1571" t="str">
        <f t="shared" si="11"/>
        <v>朝向</v>
      </c>
      <c r="R26" s="1572" t="s">
        <v>11</v>
      </c>
      <c r="S26" s="1573">
        <f>F26</f>
        <v>100</v>
      </c>
      <c r="T26" s="1572" t="s">
        <v>11</v>
      </c>
      <c r="U26" s="1573">
        <f>H26</f>
        <v>100</v>
      </c>
      <c r="V26" s="1572" t="s">
        <v>11</v>
      </c>
      <c r="W26" s="1573">
        <f>J26</f>
        <v>100</v>
      </c>
      <c r="X26" s="1566"/>
      <c r="Y26" s="3368"/>
      <c r="Z26" s="1574" t="str">
        <f>Q26</f>
        <v>朝向</v>
      </c>
      <c r="AA26" s="1575">
        <f t="shared" si="3"/>
        <v>1</v>
      </c>
      <c r="AB26" s="1575">
        <f t="shared" si="4"/>
        <v>1</v>
      </c>
      <c r="AC26" s="1575">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68"/>
      <c r="Q27" s="1150" t="str">
        <f t="shared" si="11"/>
        <v>道路级别</v>
      </c>
      <c r="R27" s="1567" t="s">
        <v>11</v>
      </c>
      <c r="S27" s="1568">
        <f>F27</f>
        <v>100</v>
      </c>
      <c r="T27" s="1567" t="s">
        <v>11</v>
      </c>
      <c r="U27" s="1568">
        <f>H27</f>
        <v>100</v>
      </c>
      <c r="V27" s="1567" t="s">
        <v>11</v>
      </c>
      <c r="W27" s="1568">
        <f>J27</f>
        <v>100</v>
      </c>
      <c r="X27" s="1569"/>
      <c r="Y27" s="3368"/>
      <c r="Z27" s="1149"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68"/>
      <c r="Q28" s="1571">
        <f t="shared" si="11"/>
        <v>111</v>
      </c>
      <c r="R28" s="1572" t="s">
        <v>11</v>
      </c>
      <c r="S28" s="1573">
        <f t="shared" ref="S28:S46" si="12">F28</f>
        <v>100</v>
      </c>
      <c r="T28" s="1572" t="s">
        <v>11</v>
      </c>
      <c r="U28" s="1573">
        <f t="shared" ref="U28:U46" si="13">H28</f>
        <v>100</v>
      </c>
      <c r="V28" s="1572" t="s">
        <v>11</v>
      </c>
      <c r="W28" s="1573">
        <f t="shared" ref="W28:W46" si="14">J28</f>
        <v>100</v>
      </c>
      <c r="X28" s="1566"/>
      <c r="Y28" s="3368"/>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68"/>
      <c r="Q29" s="1571">
        <f t="shared" si="11"/>
        <v>111</v>
      </c>
      <c r="R29" s="1572" t="s">
        <v>11</v>
      </c>
      <c r="S29" s="1573">
        <f t="shared" si="12"/>
        <v>100</v>
      </c>
      <c r="T29" s="1572" t="s">
        <v>11</v>
      </c>
      <c r="U29" s="1573">
        <f t="shared" si="13"/>
        <v>100</v>
      </c>
      <c r="V29" s="1572" t="s">
        <v>11</v>
      </c>
      <c r="W29" s="1573">
        <f t="shared" si="14"/>
        <v>100</v>
      </c>
      <c r="X29" s="1566"/>
      <c r="Y29" s="336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68"/>
      <c r="Q30" s="1571">
        <f t="shared" si="11"/>
        <v>111</v>
      </c>
      <c r="R30" s="1572" t="s">
        <v>11</v>
      </c>
      <c r="S30" s="1573">
        <f t="shared" si="12"/>
        <v>100</v>
      </c>
      <c r="T30" s="1572" t="s">
        <v>11</v>
      </c>
      <c r="U30" s="1573">
        <f t="shared" si="13"/>
        <v>100</v>
      </c>
      <c r="V30" s="1572" t="s">
        <v>11</v>
      </c>
      <c r="W30" s="1573">
        <f t="shared" si="14"/>
        <v>100</v>
      </c>
      <c r="X30" s="1566"/>
      <c r="Y30" s="3368"/>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68"/>
      <c r="Q31" s="1571">
        <f t="shared" si="11"/>
        <v>111</v>
      </c>
      <c r="R31" s="1572" t="s">
        <v>11</v>
      </c>
      <c r="S31" s="1573">
        <f t="shared" si="12"/>
        <v>100</v>
      </c>
      <c r="T31" s="1572" t="s">
        <v>11</v>
      </c>
      <c r="U31" s="1573">
        <f t="shared" si="13"/>
        <v>100</v>
      </c>
      <c r="V31" s="1572" t="s">
        <v>11</v>
      </c>
      <c r="W31" s="1573">
        <f t="shared" si="14"/>
        <v>100</v>
      </c>
      <c r="X31" s="1566"/>
      <c r="Y31" s="3368"/>
      <c r="Z31" s="1574">
        <f t="shared" si="15"/>
        <v>111</v>
      </c>
      <c r="AA31" s="1575">
        <f t="shared" si="3"/>
        <v>1</v>
      </c>
      <c r="AB31" s="1575">
        <f t="shared" si="4"/>
        <v>1</v>
      </c>
      <c r="AC31" s="1575">
        <f t="shared" si="5"/>
        <v>1</v>
      </c>
    </row>
    <row r="32" spans="1:29" ht="15">
      <c r="A32" s="2931"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69" t="s">
        <v>550</v>
      </c>
      <c r="Q32" s="1571" t="str">
        <f t="shared" si="11"/>
        <v>建筑类型</v>
      </c>
      <c r="R32" s="1572" t="s">
        <v>11</v>
      </c>
      <c r="S32" s="1573">
        <f t="shared" si="12"/>
        <v>100</v>
      </c>
      <c r="T32" s="1572" t="s">
        <v>11</v>
      </c>
      <c r="U32" s="1573">
        <f t="shared" si="13"/>
        <v>100</v>
      </c>
      <c r="V32" s="1572" t="s">
        <v>11</v>
      </c>
      <c r="W32" s="1573">
        <f t="shared" si="14"/>
        <v>100</v>
      </c>
      <c r="X32" s="1566"/>
      <c r="Y32" s="3370" t="s">
        <v>550</v>
      </c>
      <c r="Z32" s="1574" t="str">
        <f t="shared" si="15"/>
        <v>建筑类型</v>
      </c>
      <c r="AA32" s="1575">
        <f t="shared" si="3"/>
        <v>1</v>
      </c>
      <c r="AB32" s="1575">
        <f t="shared" si="4"/>
        <v>1</v>
      </c>
      <c r="AC32" s="1575">
        <f t="shared" si="5"/>
        <v>1</v>
      </c>
    </row>
    <row r="33" spans="1:29" s="1338"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70"/>
      <c r="Q33" s="1604" t="str">
        <f t="shared" si="11"/>
        <v>项目建筑规模</v>
      </c>
      <c r="R33" s="1576" t="s">
        <v>11</v>
      </c>
      <c r="S33" s="1577" t="e">
        <f t="shared" si="12"/>
        <v>#N/A</v>
      </c>
      <c r="T33" s="1576" t="s">
        <v>11</v>
      </c>
      <c r="U33" s="1577" t="e">
        <f t="shared" si="13"/>
        <v>#N/A</v>
      </c>
      <c r="V33" s="1576" t="s">
        <v>11</v>
      </c>
      <c r="W33" s="1577" t="e">
        <f t="shared" si="14"/>
        <v>#N/A</v>
      </c>
      <c r="X33" s="1578"/>
      <c r="Y33" s="3370"/>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70"/>
      <c r="Q34" s="1571" t="str">
        <f t="shared" si="11"/>
        <v>建筑结构</v>
      </c>
      <c r="R34" s="1572" t="s">
        <v>11</v>
      </c>
      <c r="S34" s="1573">
        <f t="shared" si="12"/>
        <v>100</v>
      </c>
      <c r="T34" s="1572" t="s">
        <v>11</v>
      </c>
      <c r="U34" s="1573">
        <f t="shared" si="13"/>
        <v>100</v>
      </c>
      <c r="V34" s="1572" t="s">
        <v>11</v>
      </c>
      <c r="W34" s="1573">
        <f t="shared" si="14"/>
        <v>100</v>
      </c>
      <c r="X34" s="1566"/>
      <c r="Y34" s="3370"/>
      <c r="Z34" s="1574" t="str">
        <f t="shared" si="15"/>
        <v>建筑结构</v>
      </c>
      <c r="AA34" s="1575">
        <f t="shared" si="3"/>
        <v>1</v>
      </c>
      <c r="AB34" s="1575">
        <f t="shared" si="4"/>
        <v>1</v>
      </c>
      <c r="AC34" s="1575">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70"/>
      <c r="Q35" s="1571" t="str">
        <f t="shared" si="11"/>
        <v>建筑品质</v>
      </c>
      <c r="R35" s="1572" t="s">
        <v>11</v>
      </c>
      <c r="S35" s="1573">
        <f t="shared" si="12"/>
        <v>100</v>
      </c>
      <c r="T35" s="1572" t="s">
        <v>11</v>
      </c>
      <c r="U35" s="1573">
        <f t="shared" si="13"/>
        <v>100</v>
      </c>
      <c r="V35" s="1572" t="s">
        <v>11</v>
      </c>
      <c r="W35" s="1573">
        <f t="shared" si="14"/>
        <v>100</v>
      </c>
      <c r="X35" s="1566"/>
      <c r="Y35" s="3370"/>
      <c r="Z35" s="1574" t="str">
        <f t="shared" si="15"/>
        <v>建筑品质</v>
      </c>
      <c r="AA35" s="1575">
        <f t="shared" si="3"/>
        <v>1</v>
      </c>
      <c r="AB35" s="1575">
        <f t="shared" si="4"/>
        <v>1</v>
      </c>
      <c r="AC35" s="1575">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70"/>
      <c r="Q36" s="1571" t="str">
        <f t="shared" si="11"/>
        <v>公共部分装修</v>
      </c>
      <c r="R36" s="1572" t="s">
        <v>11</v>
      </c>
      <c r="S36" s="1573">
        <f t="shared" si="12"/>
        <v>100</v>
      </c>
      <c r="T36" s="1572" t="s">
        <v>11</v>
      </c>
      <c r="U36" s="1573">
        <f t="shared" si="13"/>
        <v>100</v>
      </c>
      <c r="V36" s="1572" t="s">
        <v>11</v>
      </c>
      <c r="W36" s="1573">
        <f t="shared" si="14"/>
        <v>100</v>
      </c>
      <c r="X36" s="1566"/>
      <c r="Y36" s="3370"/>
      <c r="Z36" s="1574" t="str">
        <f t="shared" si="15"/>
        <v>公共部分装修</v>
      </c>
      <c r="AA36" s="1575">
        <f t="shared" si="3"/>
        <v>1</v>
      </c>
      <c r="AB36" s="1575">
        <f t="shared" si="4"/>
        <v>1</v>
      </c>
      <c r="AC36" s="1575">
        <f t="shared" si="5"/>
        <v>1</v>
      </c>
    </row>
    <row r="37" spans="1:29" s="1219"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70"/>
      <c r="Q37" s="1150" t="str">
        <f t="shared" si="11"/>
        <v>成新度</v>
      </c>
      <c r="R37" s="1567" t="s">
        <v>11</v>
      </c>
      <c r="S37" s="1568" t="e">
        <f t="shared" si="12"/>
        <v>#N/A</v>
      </c>
      <c r="T37" s="1567" t="s">
        <v>11</v>
      </c>
      <c r="U37" s="1568" t="e">
        <f t="shared" si="13"/>
        <v>#N/A</v>
      </c>
      <c r="V37" s="1567" t="s">
        <v>11</v>
      </c>
      <c r="W37" s="1568" t="e">
        <f t="shared" si="14"/>
        <v>#N/A</v>
      </c>
      <c r="X37" s="1569"/>
      <c r="Y37" s="3370"/>
      <c r="Z37" s="1149" t="str">
        <f t="shared" si="15"/>
        <v>成新度</v>
      </c>
      <c r="AA37" s="1570" t="e">
        <f t="shared" si="3"/>
        <v>#N/A</v>
      </c>
      <c r="AB37" s="1570" t="e">
        <f t="shared" si="4"/>
        <v>#N/A</v>
      </c>
      <c r="AC37" s="1570"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70" t="s">
        <v>550</v>
      </c>
      <c r="Q38" s="1571" t="str">
        <f t="shared" si="11"/>
        <v>物业管理</v>
      </c>
      <c r="R38" s="1572" t="s">
        <v>11</v>
      </c>
      <c r="S38" s="1573">
        <f t="shared" si="12"/>
        <v>100</v>
      </c>
      <c r="T38" s="1572" t="s">
        <v>11</v>
      </c>
      <c r="U38" s="1573">
        <f t="shared" si="13"/>
        <v>100</v>
      </c>
      <c r="V38" s="1572" t="s">
        <v>11</v>
      </c>
      <c r="W38" s="1573">
        <f t="shared" si="14"/>
        <v>100</v>
      </c>
      <c r="X38" s="1566"/>
      <c r="Y38" s="3370" t="s">
        <v>550</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70"/>
      <c r="Q39" s="1571" t="str">
        <f t="shared" si="11"/>
        <v>市政基础设施</v>
      </c>
      <c r="R39" s="1572" t="s">
        <v>11</v>
      </c>
      <c r="S39" s="1573">
        <f t="shared" si="12"/>
        <v>100</v>
      </c>
      <c r="T39" s="1572" t="s">
        <v>11</v>
      </c>
      <c r="U39" s="1573">
        <f t="shared" si="13"/>
        <v>100</v>
      </c>
      <c r="V39" s="1572" t="s">
        <v>11</v>
      </c>
      <c r="W39" s="1573">
        <f t="shared" si="14"/>
        <v>100</v>
      </c>
      <c r="X39" s="1566"/>
      <c r="Y39" s="3370"/>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70"/>
      <c r="Q40" s="1571" t="str">
        <f t="shared" si="11"/>
        <v>房型</v>
      </c>
      <c r="R40" s="1572" t="s">
        <v>11</v>
      </c>
      <c r="S40" s="1573">
        <f t="shared" si="12"/>
        <v>100</v>
      </c>
      <c r="T40" s="1572" t="s">
        <v>11</v>
      </c>
      <c r="U40" s="1573">
        <f t="shared" si="13"/>
        <v>100</v>
      </c>
      <c r="V40" s="1572" t="s">
        <v>11</v>
      </c>
      <c r="W40" s="1573">
        <f t="shared" si="14"/>
        <v>100</v>
      </c>
      <c r="X40" s="1566"/>
      <c r="Y40" s="3370"/>
      <c r="Z40" s="1574" t="str">
        <f t="shared" si="15"/>
        <v>房型</v>
      </c>
      <c r="AA40" s="1575">
        <f t="shared" si="3"/>
        <v>1</v>
      </c>
      <c r="AB40" s="1575">
        <f t="shared" si="4"/>
        <v>1</v>
      </c>
      <c r="AC40" s="1575">
        <f t="shared" si="5"/>
        <v>1</v>
      </c>
    </row>
    <row r="41" spans="1:29" s="1338"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70"/>
      <c r="Q41" s="1604" t="str">
        <f t="shared" si="11"/>
        <v>单套/主力户型建筑面积</v>
      </c>
      <c r="R41" s="1576" t="s">
        <v>11</v>
      </c>
      <c r="S41" s="1577">
        <f t="shared" si="12"/>
        <v>100</v>
      </c>
      <c r="T41" s="1576" t="s">
        <v>11</v>
      </c>
      <c r="U41" s="1577">
        <f t="shared" si="13"/>
        <v>100</v>
      </c>
      <c r="V41" s="1576" t="s">
        <v>11</v>
      </c>
      <c r="W41" s="1577">
        <f t="shared" si="14"/>
        <v>100</v>
      </c>
      <c r="X41" s="1578"/>
      <c r="Y41" s="3370"/>
      <c r="Z41" s="1579" t="str">
        <f t="shared" si="15"/>
        <v>单套/主力户型建筑面积</v>
      </c>
      <c r="AA41" s="1575">
        <f t="shared" si="3"/>
        <v>1</v>
      </c>
      <c r="AB41" s="1575">
        <f t="shared" si="4"/>
        <v>1</v>
      </c>
      <c r="AC41" s="1575">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70"/>
      <c r="Q42" s="1571" t="str">
        <f t="shared" si="11"/>
        <v>内部装修</v>
      </c>
      <c r="R42" s="1572" t="s">
        <v>11</v>
      </c>
      <c r="S42" s="1573">
        <f t="shared" si="12"/>
        <v>100</v>
      </c>
      <c r="T42" s="1572" t="s">
        <v>11</v>
      </c>
      <c r="U42" s="1573">
        <f t="shared" si="13"/>
        <v>100</v>
      </c>
      <c r="V42" s="1572" t="s">
        <v>11</v>
      </c>
      <c r="W42" s="1573">
        <f t="shared" si="14"/>
        <v>100</v>
      </c>
      <c r="X42" s="1566"/>
      <c r="Y42" s="3370"/>
      <c r="Z42" s="1574" t="str">
        <f t="shared" si="15"/>
        <v>内部装修</v>
      </c>
      <c r="AA42" s="1575">
        <f t="shared" si="3"/>
        <v>1</v>
      </c>
      <c r="AB42" s="1575">
        <f t="shared" si="4"/>
        <v>1</v>
      </c>
      <c r="AC42" s="1575">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70"/>
      <c r="Q43" s="1571" t="str">
        <f t="shared" si="11"/>
        <v>内部装修维护情况</v>
      </c>
      <c r="R43" s="1572" t="s">
        <v>11</v>
      </c>
      <c r="S43" s="1573">
        <f t="shared" si="12"/>
        <v>100</v>
      </c>
      <c r="T43" s="1572" t="s">
        <v>11</v>
      </c>
      <c r="U43" s="1573">
        <f t="shared" si="13"/>
        <v>100</v>
      </c>
      <c r="V43" s="1572" t="s">
        <v>11</v>
      </c>
      <c r="W43" s="1573">
        <f t="shared" si="14"/>
        <v>100</v>
      </c>
      <c r="X43" s="1566"/>
      <c r="Y43" s="3370"/>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70"/>
      <c r="Q44" s="1150">
        <f t="shared" si="11"/>
        <v>111</v>
      </c>
      <c r="R44" s="1567" t="s">
        <v>11</v>
      </c>
      <c r="S44" s="1568">
        <f t="shared" si="12"/>
        <v>100</v>
      </c>
      <c r="T44" s="1567" t="s">
        <v>11</v>
      </c>
      <c r="U44" s="1568">
        <f t="shared" si="13"/>
        <v>100</v>
      </c>
      <c r="V44" s="1567" t="s">
        <v>11</v>
      </c>
      <c r="W44" s="1568">
        <f t="shared" si="14"/>
        <v>100</v>
      </c>
      <c r="X44" s="1569"/>
      <c r="Y44" s="3370"/>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70"/>
      <c r="Q45" s="1571">
        <f t="shared" si="11"/>
        <v>111</v>
      </c>
      <c r="R45" s="1572" t="s">
        <v>11</v>
      </c>
      <c r="S45" s="1573">
        <f t="shared" si="12"/>
        <v>100</v>
      </c>
      <c r="T45" s="1572" t="s">
        <v>11</v>
      </c>
      <c r="U45" s="1573">
        <f t="shared" si="13"/>
        <v>100</v>
      </c>
      <c r="V45" s="1572" t="s">
        <v>11</v>
      </c>
      <c r="W45" s="1573">
        <f t="shared" si="14"/>
        <v>100</v>
      </c>
      <c r="X45" s="1566"/>
      <c r="Y45" s="3370"/>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6"/>
      <c r="Q46" s="1571">
        <f t="shared" si="11"/>
        <v>111</v>
      </c>
      <c r="R46" s="1572" t="s">
        <v>10</v>
      </c>
      <c r="S46" s="1573">
        <f t="shared" si="12"/>
        <v>100</v>
      </c>
      <c r="T46" s="1572" t="s">
        <v>10</v>
      </c>
      <c r="U46" s="1573">
        <f t="shared" si="13"/>
        <v>100</v>
      </c>
      <c r="V46" s="1572" t="s">
        <v>10</v>
      </c>
      <c r="W46" s="1573">
        <f t="shared" si="14"/>
        <v>100</v>
      </c>
      <c r="X46" s="1566"/>
      <c r="Y46" s="3476"/>
      <c r="Z46" s="1574">
        <f t="shared" si="15"/>
        <v>111</v>
      </c>
      <c r="AA46" s="1575">
        <f t="shared" si="3"/>
        <v>1</v>
      </c>
      <c r="AB46" s="1575">
        <f t="shared" si="4"/>
        <v>1</v>
      </c>
      <c r="AC46" s="1575">
        <f t="shared" si="5"/>
        <v>1</v>
      </c>
    </row>
    <row r="47" spans="1:29" ht="15">
      <c r="A47" s="607" t="s">
        <v>736</v>
      </c>
      <c r="B47" s="887"/>
      <c r="C47" s="2651" t="s">
        <v>9</v>
      </c>
      <c r="D47" s="2652"/>
      <c r="E47" s="2653"/>
      <c r="F47" s="2654"/>
      <c r="G47" s="2655"/>
      <c r="H47" s="2656"/>
      <c r="I47" s="2653"/>
      <c r="J47" s="2656"/>
      <c r="K47" s="1605"/>
      <c r="L47" s="2144"/>
      <c r="M47" s="2145"/>
      <c r="N47" s="2134"/>
      <c r="O47" s="2145"/>
      <c r="P47" s="3364" t="str">
        <f>A47</f>
        <v>成交单价（元/平方米）</v>
      </c>
      <c r="Q47" s="3364"/>
      <c r="R47" s="3475">
        <f>E47</f>
        <v>0</v>
      </c>
      <c r="S47" s="3475"/>
      <c r="T47" s="3475">
        <f>G47</f>
        <v>0</v>
      </c>
      <c r="U47" s="3475"/>
      <c r="V47" s="3475">
        <f>I47</f>
        <v>0</v>
      </c>
      <c r="W47" s="3475"/>
      <c r="X47" s="1558"/>
      <c r="Y47" s="1580"/>
      <c r="Z47" s="1558"/>
      <c r="AA47" s="1558"/>
      <c r="AB47" s="1558"/>
      <c r="AC47" s="1558"/>
    </row>
    <row r="48" spans="1:29" ht="15.75" thickBot="1">
      <c r="A48" s="615" t="s">
        <v>2761</v>
      </c>
      <c r="B48" s="888"/>
      <c r="C48" s="2657" t="e">
        <f>R49</f>
        <v>#DIV/0!</v>
      </c>
      <c r="D48" s="2658"/>
      <c r="E48" s="2659" t="e">
        <f>R48</f>
        <v>#DIV/0!</v>
      </c>
      <c r="F48" s="2659"/>
      <c r="G48" s="2657" t="e">
        <f>T48</f>
        <v>#DIV/0!</v>
      </c>
      <c r="H48" s="2658"/>
      <c r="I48" s="2659" t="e">
        <f>V48</f>
        <v>#DIV/0!</v>
      </c>
      <c r="J48" s="2658"/>
      <c r="K48" s="1606"/>
      <c r="L48" s="2144"/>
      <c r="M48" s="2145"/>
      <c r="N48" s="2145"/>
      <c r="O48" s="2145"/>
      <c r="P48" s="3364" t="str">
        <f>A48</f>
        <v>比较价格（元/平方米）</v>
      </c>
      <c r="Q48" s="336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58"/>
      <c r="Y48" s="1558"/>
      <c r="Z48" s="1558"/>
      <c r="AA48" s="1558"/>
      <c r="AB48" s="1558"/>
      <c r="AC48" s="1558"/>
    </row>
    <row r="49" spans="1:29" ht="15.75" thickBot="1">
      <c r="A49" s="621" t="s">
        <v>2928</v>
      </c>
      <c r="B49" s="622"/>
      <c r="C49" s="2660" t="e">
        <f>R49</f>
        <v>#DIV/0!</v>
      </c>
      <c r="D49" s="2660"/>
      <c r="E49" s="2660"/>
      <c r="F49" s="2660"/>
      <c r="G49" s="2660"/>
      <c r="H49" s="2660"/>
      <c r="I49" s="2660"/>
      <c r="J49" s="2660"/>
      <c r="K49" s="1607"/>
      <c r="L49" s="2144"/>
      <c r="M49" s="2145"/>
      <c r="N49" s="2145"/>
      <c r="O49" s="2145"/>
      <c r="P49" s="3361" t="str">
        <f>A49</f>
        <v>估价对象XX用房的比较价格（楼面单价，元/平方米）</v>
      </c>
      <c r="Q49" s="3362"/>
      <c r="R49" s="3474" t="e">
        <f>IF(F1="售价",ROUND(AVERAGE(R48:V48),0),ROUND(AVERAGE(R48:V48),1))</f>
        <v>#DIV/0!</v>
      </c>
      <c r="S49" s="3474"/>
      <c r="T49" s="3474"/>
      <c r="U49" s="3474"/>
      <c r="V49" s="3474"/>
      <c r="W49" s="347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0"/>
      <c r="E1" s="506"/>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376" t="s">
        <v>522</v>
      </c>
      <c r="D4" s="3377"/>
      <c r="E4" s="3378" t="s">
        <v>523</v>
      </c>
      <c r="F4" s="3379"/>
      <c r="G4" s="3376" t="s">
        <v>524</v>
      </c>
      <c r="H4" s="3377"/>
      <c r="I4" s="3376" t="s">
        <v>525</v>
      </c>
      <c r="J4" s="3377"/>
      <c r="K4" s="514" t="s">
        <v>526</v>
      </c>
      <c r="L4" s="2133"/>
      <c r="M4" s="2134"/>
      <c r="N4" s="2134"/>
      <c r="O4" s="2134"/>
      <c r="P4" s="3380" t="s">
        <v>527</v>
      </c>
      <c r="Q4" s="3381"/>
      <c r="R4" s="3386" t="s">
        <v>523</v>
      </c>
      <c r="S4" s="3387"/>
      <c r="T4" s="3386" t="s">
        <v>524</v>
      </c>
      <c r="U4" s="3387"/>
      <c r="V4" s="3366" t="s">
        <v>525</v>
      </c>
      <c r="W4" s="3366"/>
      <c r="X4" s="1566"/>
      <c r="Y4" s="3386" t="s">
        <v>527</v>
      </c>
      <c r="Z4" s="3387"/>
      <c r="AA4" s="3373" t="s">
        <v>523</v>
      </c>
      <c r="AB4" s="3366" t="s">
        <v>524</v>
      </c>
      <c r="AC4" s="3373" t="s">
        <v>525</v>
      </c>
    </row>
    <row r="5" spans="1:29" ht="15">
      <c r="A5" s="515"/>
      <c r="B5" s="516"/>
      <c r="C5" s="3407" t="s">
        <v>2922</v>
      </c>
      <c r="D5" s="3395"/>
      <c r="E5" s="3473" t="s">
        <v>2923</v>
      </c>
      <c r="F5" s="3393"/>
      <c r="G5" s="3407" t="s">
        <v>2924</v>
      </c>
      <c r="H5" s="3395"/>
      <c r="I5" s="3407" t="s">
        <v>2925</v>
      </c>
      <c r="J5" s="3395"/>
      <c r="K5" s="514"/>
      <c r="L5" s="2133"/>
      <c r="M5" s="2134"/>
      <c r="N5" s="2134"/>
      <c r="O5" s="2134"/>
      <c r="P5" s="3382"/>
      <c r="Q5" s="3383"/>
      <c r="R5" s="3388"/>
      <c r="S5" s="3389"/>
      <c r="T5" s="3388"/>
      <c r="U5" s="3389"/>
      <c r="V5" s="3366"/>
      <c r="W5" s="3366"/>
      <c r="X5" s="1566"/>
      <c r="Y5" s="3388"/>
      <c r="Z5" s="3389"/>
      <c r="AA5" s="3374"/>
      <c r="AB5" s="3366"/>
      <c r="AC5" s="3374"/>
    </row>
    <row r="6" spans="1:29" ht="15.75" thickBot="1">
      <c r="A6" s="517"/>
      <c r="B6" s="518"/>
      <c r="C6" s="3396" t="s">
        <v>2926</v>
      </c>
      <c r="D6" s="3397"/>
      <c r="E6" s="3400" t="s">
        <v>2926</v>
      </c>
      <c r="F6" s="3401"/>
      <c r="G6" s="3396" t="s">
        <v>2926</v>
      </c>
      <c r="H6" s="3397"/>
      <c r="I6" s="3396" t="s">
        <v>2926</v>
      </c>
      <c r="J6" s="3397"/>
      <c r="K6" s="514" t="s">
        <v>528</v>
      </c>
      <c r="L6" s="2133"/>
      <c r="M6" s="2134"/>
      <c r="N6" s="2134"/>
      <c r="O6" s="2134"/>
      <c r="P6" s="3384"/>
      <c r="Q6" s="3385"/>
      <c r="R6" s="3388"/>
      <c r="S6" s="3389"/>
      <c r="T6" s="3390"/>
      <c r="U6" s="3391"/>
      <c r="V6" s="3366"/>
      <c r="W6" s="3366"/>
      <c r="X6" s="1566"/>
      <c r="Y6" s="3390"/>
      <c r="Z6" s="3391"/>
      <c r="AA6" s="3375"/>
      <c r="AB6" s="3366"/>
      <c r="AC6" s="3375"/>
    </row>
    <row r="7" spans="1:29" s="1219" customFormat="1" ht="15.75" thickBot="1">
      <c r="A7" s="2936"/>
      <c r="B7" s="2943" t="s">
        <v>529</v>
      </c>
      <c r="C7" s="519">
        <f>'数据-取费表'!B2</f>
        <v>43250</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1" t="s">
        <v>530</v>
      </c>
      <c r="Q7" s="3399"/>
      <c r="R7" s="1567" t="s">
        <v>8</v>
      </c>
      <c r="S7" s="1568">
        <f t="shared" ref="S7:S15" si="0">F7</f>
        <v>0</v>
      </c>
      <c r="T7" s="1567" t="s">
        <v>8</v>
      </c>
      <c r="U7" s="1568">
        <f t="shared" ref="U7:U15" si="1">H7</f>
        <v>0</v>
      </c>
      <c r="V7" s="1567" t="s">
        <v>8</v>
      </c>
      <c r="W7" s="1568">
        <f t="shared" ref="W7:W15" si="2">J7</f>
        <v>0</v>
      </c>
      <c r="X7" s="1569"/>
      <c r="Y7" s="3371" t="s">
        <v>530</v>
      </c>
      <c r="Z7" s="3372"/>
      <c r="AA7" s="1570" t="e">
        <f>D7/F7</f>
        <v>#DIV/0!</v>
      </c>
      <c r="AB7" s="1570" t="e">
        <f>D7/H7</f>
        <v>#DIV/0!</v>
      </c>
      <c r="AC7" s="1570" t="e">
        <f>D7/J7</f>
        <v>#DIV/0!</v>
      </c>
    </row>
    <row r="8" spans="1:29" s="1219" customFormat="1" ht="15.75" thickBot="1">
      <c r="A8" s="2937"/>
      <c r="B8" s="2944"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1" t="s">
        <v>533</v>
      </c>
      <c r="Q8" s="3372"/>
      <c r="R8" s="1567" t="s">
        <v>8</v>
      </c>
      <c r="S8" s="1568">
        <f t="shared" si="0"/>
        <v>0</v>
      </c>
      <c r="T8" s="1567" t="s">
        <v>8</v>
      </c>
      <c r="U8" s="1568">
        <f t="shared" si="1"/>
        <v>0</v>
      </c>
      <c r="V8" s="1567" t="s">
        <v>8</v>
      </c>
      <c r="W8" s="1568">
        <f t="shared" si="2"/>
        <v>0</v>
      </c>
      <c r="X8" s="1569"/>
      <c r="Y8" s="3371" t="s">
        <v>533</v>
      </c>
      <c r="Z8" s="3372"/>
      <c r="AA8" s="1570" t="e">
        <f t="shared" ref="AA8:AA46" si="3">D8/F8</f>
        <v>#DIV/0!</v>
      </c>
      <c r="AB8" s="1570" t="e">
        <f t="shared" ref="AB8:AB46" si="4">D8/H8</f>
        <v>#DIV/0!</v>
      </c>
      <c r="AC8" s="1570" t="e">
        <f t="shared" ref="AC8:AC46" si="5">D8/J8</f>
        <v>#DIV/0!</v>
      </c>
    </row>
    <row r="9" spans="1:29" s="1219" customFormat="1" ht="15">
      <c r="A9" s="2938"/>
      <c r="B9" s="2945"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4" t="s">
        <v>535</v>
      </c>
      <c r="Q9" s="1150" t="str">
        <f t="shared" ref="Q9:Q15" si="6">B9</f>
        <v>用途</v>
      </c>
      <c r="R9" s="1567" t="s">
        <v>8</v>
      </c>
      <c r="S9" s="1568">
        <f t="shared" si="0"/>
        <v>100</v>
      </c>
      <c r="T9" s="1567" t="s">
        <v>8</v>
      </c>
      <c r="U9" s="1568">
        <f t="shared" si="1"/>
        <v>100</v>
      </c>
      <c r="V9" s="1567" t="s">
        <v>8</v>
      </c>
      <c r="W9" s="1568">
        <f t="shared" si="2"/>
        <v>100</v>
      </c>
      <c r="X9" s="1569"/>
      <c r="Y9" s="3329" t="s">
        <v>536</v>
      </c>
      <c r="Z9" s="1149" t="str">
        <f t="shared" ref="Z9:Z15" si="7">Q9</f>
        <v>用途</v>
      </c>
      <c r="AA9" s="1570">
        <f t="shared" si="3"/>
        <v>1</v>
      </c>
      <c r="AB9" s="1570">
        <f t="shared" si="4"/>
        <v>1</v>
      </c>
      <c r="AC9" s="1570">
        <f t="shared" si="5"/>
        <v>1</v>
      </c>
    </row>
    <row r="10" spans="1:29" s="1337" customFormat="1" ht="27">
      <c r="A10" s="2939"/>
      <c r="B10" s="2944"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29"/>
      <c r="Z10" s="1149" t="str">
        <f t="shared" si="7"/>
        <v>土地使用年限（年）</v>
      </c>
      <c r="AA10" s="1570">
        <f t="shared" si="3"/>
        <v>1</v>
      </c>
      <c r="AB10" s="1570">
        <f t="shared" si="4"/>
        <v>1</v>
      </c>
      <c r="AC10" s="1570">
        <f t="shared" si="5"/>
        <v>1</v>
      </c>
    </row>
    <row r="11" spans="1:29" ht="15">
      <c r="A11" s="2940"/>
      <c r="B11" s="2944"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4"/>
      <c r="Q11" s="1150" t="str">
        <f t="shared" si="6"/>
        <v>容积率</v>
      </c>
      <c r="R11" s="1567" t="s">
        <v>8</v>
      </c>
      <c r="S11" s="1568" t="e">
        <f t="shared" si="0"/>
        <v>#N/A</v>
      </c>
      <c r="T11" s="1567" t="s">
        <v>8</v>
      </c>
      <c r="U11" s="1568" t="e">
        <f t="shared" si="1"/>
        <v>#N/A</v>
      </c>
      <c r="V11" s="1567" t="s">
        <v>8</v>
      </c>
      <c r="W11" s="1568" t="e">
        <f t="shared" si="2"/>
        <v>#N/A</v>
      </c>
      <c r="X11" s="1569"/>
      <c r="Y11" s="3329"/>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4"/>
      <c r="Q12" s="1150">
        <f t="shared" si="6"/>
        <v>111</v>
      </c>
      <c r="R12" s="1567" t="s">
        <v>8</v>
      </c>
      <c r="S12" s="1568">
        <f t="shared" si="0"/>
        <v>100</v>
      </c>
      <c r="T12" s="1567" t="s">
        <v>8</v>
      </c>
      <c r="U12" s="1568">
        <f t="shared" si="1"/>
        <v>100</v>
      </c>
      <c r="V12" s="1567" t="s">
        <v>8</v>
      </c>
      <c r="W12" s="1568">
        <f t="shared" si="2"/>
        <v>100</v>
      </c>
      <c r="X12" s="1569"/>
      <c r="Y12" s="3329"/>
      <c r="Z12" s="1149">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4"/>
      <c r="Q13" s="1150">
        <f t="shared" si="6"/>
        <v>111</v>
      </c>
      <c r="R13" s="1567" t="s">
        <v>8</v>
      </c>
      <c r="S13" s="1568">
        <f t="shared" si="0"/>
        <v>100</v>
      </c>
      <c r="T13" s="1567" t="s">
        <v>8</v>
      </c>
      <c r="U13" s="1568">
        <f t="shared" si="1"/>
        <v>100</v>
      </c>
      <c r="V13" s="1567" t="s">
        <v>8</v>
      </c>
      <c r="W13" s="1568">
        <f t="shared" si="2"/>
        <v>100</v>
      </c>
      <c r="X13" s="1569"/>
      <c r="Y13" s="3329"/>
      <c r="Z13" s="1149">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4"/>
      <c r="Q14" s="1150">
        <f t="shared" si="6"/>
        <v>111</v>
      </c>
      <c r="R14" s="1567" t="s">
        <v>8</v>
      </c>
      <c r="S14" s="1568">
        <f t="shared" si="0"/>
        <v>100</v>
      </c>
      <c r="T14" s="1567" t="s">
        <v>8</v>
      </c>
      <c r="U14" s="1568">
        <f t="shared" si="1"/>
        <v>100</v>
      </c>
      <c r="V14" s="1567" t="s">
        <v>8</v>
      </c>
      <c r="W14" s="1568">
        <f t="shared" si="2"/>
        <v>100</v>
      </c>
      <c r="X14" s="1569"/>
      <c r="Y14" s="3329"/>
      <c r="Z14" s="1149">
        <f t="shared" si="7"/>
        <v>111</v>
      </c>
      <c r="AA14" s="1570">
        <f t="shared" si="3"/>
        <v>1</v>
      </c>
      <c r="AB14" s="1570">
        <f t="shared" si="4"/>
        <v>1</v>
      </c>
      <c r="AC14" s="1570">
        <f t="shared" si="5"/>
        <v>1</v>
      </c>
    </row>
    <row r="15" spans="1:29" ht="15">
      <c r="A15" s="2934"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67" t="s">
        <v>540</v>
      </c>
      <c r="Q15" s="1571" t="str">
        <f t="shared" si="6"/>
        <v>商业繁华度</v>
      </c>
      <c r="R15" s="1572" t="s">
        <v>8</v>
      </c>
      <c r="S15" s="1573">
        <f t="shared" si="0"/>
        <v>100</v>
      </c>
      <c r="T15" s="1572" t="s">
        <v>8</v>
      </c>
      <c r="U15" s="1573">
        <f t="shared" si="1"/>
        <v>100</v>
      </c>
      <c r="V15" s="1572" t="s">
        <v>8</v>
      </c>
      <c r="W15" s="1573">
        <f t="shared" si="2"/>
        <v>100</v>
      </c>
      <c r="X15" s="1566"/>
      <c r="Y15" s="3367"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68"/>
      <c r="Q16" s="1571"/>
      <c r="R16" s="1572"/>
      <c r="S16" s="1573"/>
      <c r="T16" s="1572"/>
      <c r="U16" s="1573"/>
      <c r="V16" s="1572"/>
      <c r="W16" s="1573"/>
      <c r="X16" s="1566"/>
      <c r="Y16" s="3368"/>
      <c r="Z16" s="1574"/>
      <c r="AA16" s="1575">
        <v>1</v>
      </c>
      <c r="AB16" s="1575">
        <v>1</v>
      </c>
      <c r="AC16" s="157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68"/>
      <c r="Q17" s="1571" t="str">
        <f>B17</f>
        <v>交通便捷度</v>
      </c>
      <c r="R17" s="1572" t="s">
        <v>8</v>
      </c>
      <c r="S17" s="1573">
        <f>F17</f>
        <v>100</v>
      </c>
      <c r="T17" s="1572" t="s">
        <v>8</v>
      </c>
      <c r="U17" s="1573">
        <f>H17</f>
        <v>100</v>
      </c>
      <c r="V17" s="1572" t="s">
        <v>8</v>
      </c>
      <c r="W17" s="1573">
        <f>J17</f>
        <v>100</v>
      </c>
      <c r="X17" s="1566"/>
      <c r="Y17" s="336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68"/>
      <c r="Q18" s="1571"/>
      <c r="R18" s="1572"/>
      <c r="S18" s="1573"/>
      <c r="T18" s="1572"/>
      <c r="U18" s="1573"/>
      <c r="V18" s="1572"/>
      <c r="W18" s="1573"/>
      <c r="X18" s="1566"/>
      <c r="Y18" s="3368"/>
      <c r="Z18" s="1574"/>
      <c r="AA18" s="1575">
        <v>1</v>
      </c>
      <c r="AB18" s="1575">
        <v>1</v>
      </c>
      <c r="AC18" s="1575">
        <v>1</v>
      </c>
    </row>
    <row r="19" spans="1:29" ht="15">
      <c r="A19" s="532"/>
      <c r="B19" s="2624"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68"/>
      <c r="Q19" s="1571" t="str">
        <f>B19</f>
        <v>公共配套设施</v>
      </c>
      <c r="R19" s="1572" t="s">
        <v>8</v>
      </c>
      <c r="S19" s="1573">
        <f>F19</f>
        <v>100</v>
      </c>
      <c r="T19" s="1572" t="s">
        <v>8</v>
      </c>
      <c r="U19" s="1573">
        <f>H19</f>
        <v>100</v>
      </c>
      <c r="V19" s="1572" t="s">
        <v>8</v>
      </c>
      <c r="W19" s="1573">
        <f>J19</f>
        <v>100</v>
      </c>
      <c r="X19" s="1566"/>
      <c r="Y19" s="336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68"/>
      <c r="Q20" s="1571"/>
      <c r="R20" s="1572"/>
      <c r="S20" s="1573"/>
      <c r="T20" s="1572"/>
      <c r="U20" s="1573"/>
      <c r="V20" s="1572"/>
      <c r="W20" s="1573"/>
      <c r="X20" s="1566"/>
      <c r="Y20" s="3368"/>
      <c r="Z20" s="1574"/>
      <c r="AA20" s="1575">
        <v>1</v>
      </c>
      <c r="AB20" s="1575">
        <v>1</v>
      </c>
      <c r="AC20" s="1575">
        <v>1</v>
      </c>
    </row>
    <row r="21" spans="1:29" ht="15">
      <c r="A21" s="532"/>
      <c r="B21" s="2617"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68"/>
      <c r="Q21" s="2603" t="str">
        <f>B21</f>
        <v>基础设施水平</v>
      </c>
      <c r="R21" s="1572" t="s">
        <v>8</v>
      </c>
      <c r="S21" s="1573">
        <f>F21</f>
        <v>100</v>
      </c>
      <c r="T21" s="1572" t="s">
        <v>8</v>
      </c>
      <c r="U21" s="1573">
        <f>H21</f>
        <v>100</v>
      </c>
      <c r="V21" s="1572" t="s">
        <v>8</v>
      </c>
      <c r="W21" s="1573">
        <f>J21</f>
        <v>100</v>
      </c>
      <c r="X21" s="2605"/>
      <c r="Y21" s="3368"/>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368"/>
      <c r="Q22" s="2603"/>
      <c r="R22" s="1572"/>
      <c r="S22" s="1573"/>
      <c r="T22" s="1572"/>
      <c r="U22" s="1573"/>
      <c r="V22" s="1572"/>
      <c r="W22" s="1573"/>
      <c r="X22" s="2605"/>
      <c r="Y22" s="3368"/>
      <c r="Z22" s="2604"/>
      <c r="AA22" s="1575">
        <v>1</v>
      </c>
      <c r="AB22" s="1575">
        <v>1</v>
      </c>
      <c r="AC22" s="1575">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68"/>
      <c r="Q23" s="1571" t="str">
        <f>B23</f>
        <v>自然及人文环境</v>
      </c>
      <c r="R23" s="1572" t="s">
        <v>8</v>
      </c>
      <c r="S23" s="1573">
        <f>F23</f>
        <v>100</v>
      </c>
      <c r="T23" s="1572" t="s">
        <v>8</v>
      </c>
      <c r="U23" s="1573">
        <f>H23</f>
        <v>100</v>
      </c>
      <c r="V23" s="1572" t="s">
        <v>8</v>
      </c>
      <c r="W23" s="1573">
        <f>J23</f>
        <v>100</v>
      </c>
      <c r="X23" s="1566"/>
      <c r="Y23" s="336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68"/>
      <c r="Q24" s="1571"/>
      <c r="R24" s="1572"/>
      <c r="S24" s="1573"/>
      <c r="T24" s="1572"/>
      <c r="U24" s="1573"/>
      <c r="V24" s="1572"/>
      <c r="W24" s="1573"/>
      <c r="X24" s="1566"/>
      <c r="Y24" s="3368"/>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68"/>
      <c r="Q25" s="1571" t="str">
        <f t="shared" ref="Q25:Q46" si="11">B25</f>
        <v>临街状况</v>
      </c>
      <c r="R25" s="1572" t="s">
        <v>8</v>
      </c>
      <c r="S25" s="1573">
        <f>F25</f>
        <v>100</v>
      </c>
      <c r="T25" s="1572" t="s">
        <v>8</v>
      </c>
      <c r="U25" s="1573">
        <f>H25</f>
        <v>100</v>
      </c>
      <c r="V25" s="1572" t="s">
        <v>8</v>
      </c>
      <c r="W25" s="1573">
        <f>J25</f>
        <v>100</v>
      </c>
      <c r="X25" s="1566"/>
      <c r="Y25" s="3368"/>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68"/>
      <c r="Q26" s="1571" t="str">
        <f t="shared" si="11"/>
        <v>平面位置/可视性</v>
      </c>
      <c r="R26" s="1572" t="s">
        <v>8</v>
      </c>
      <c r="S26" s="1573">
        <f>F26</f>
        <v>100</v>
      </c>
      <c r="T26" s="1572" t="s">
        <v>8</v>
      </c>
      <c r="U26" s="1573">
        <f>H26</f>
        <v>100</v>
      </c>
      <c r="V26" s="1572" t="s">
        <v>8</v>
      </c>
      <c r="W26" s="1573">
        <f>J26</f>
        <v>100</v>
      </c>
      <c r="X26" s="1566"/>
      <c r="Y26" s="3368"/>
      <c r="Z26" s="1574" t="str">
        <f>Q26</f>
        <v>平面位置/可视性</v>
      </c>
      <c r="AA26" s="1575">
        <f t="shared" si="3"/>
        <v>1</v>
      </c>
      <c r="AB26" s="1575">
        <f t="shared" si="4"/>
        <v>1</v>
      </c>
      <c r="AC26" s="1575">
        <f t="shared" si="5"/>
        <v>1</v>
      </c>
    </row>
    <row r="27" spans="1:29" s="1219"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68"/>
      <c r="Q27" s="1150" t="str">
        <f t="shared" si="11"/>
        <v>人流量</v>
      </c>
      <c r="R27" s="1567" t="s">
        <v>8</v>
      </c>
      <c r="S27" s="1568">
        <f>F27</f>
        <v>100</v>
      </c>
      <c r="T27" s="1567" t="s">
        <v>8</v>
      </c>
      <c r="U27" s="1568">
        <f>H27</f>
        <v>100</v>
      </c>
      <c r="V27" s="1567" t="s">
        <v>8</v>
      </c>
      <c r="W27" s="1568">
        <f>J27</f>
        <v>100</v>
      </c>
      <c r="X27" s="1569"/>
      <c r="Y27" s="3368"/>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6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68"/>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68"/>
      <c r="Q29" s="1571">
        <f t="shared" si="11"/>
        <v>111</v>
      </c>
      <c r="R29" s="1572" t="s">
        <v>8</v>
      </c>
      <c r="S29" s="1573">
        <f t="shared" si="12"/>
        <v>100</v>
      </c>
      <c r="T29" s="1572" t="s">
        <v>8</v>
      </c>
      <c r="U29" s="1573">
        <f t="shared" si="13"/>
        <v>100</v>
      </c>
      <c r="V29" s="1572" t="s">
        <v>8</v>
      </c>
      <c r="W29" s="1573">
        <f t="shared" si="14"/>
        <v>100</v>
      </c>
      <c r="X29" s="1566"/>
      <c r="Y29" s="336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68"/>
      <c r="Q30" s="1571">
        <f t="shared" si="11"/>
        <v>111</v>
      </c>
      <c r="R30" s="1572" t="s">
        <v>8</v>
      </c>
      <c r="S30" s="1573">
        <f t="shared" si="12"/>
        <v>100</v>
      </c>
      <c r="T30" s="1572" t="s">
        <v>8</v>
      </c>
      <c r="U30" s="1573">
        <f t="shared" si="13"/>
        <v>100</v>
      </c>
      <c r="V30" s="1572" t="s">
        <v>8</v>
      </c>
      <c r="W30" s="1573">
        <f t="shared" si="14"/>
        <v>100</v>
      </c>
      <c r="X30" s="1566"/>
      <c r="Y30" s="3368"/>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68"/>
      <c r="Q31" s="1571">
        <f t="shared" si="11"/>
        <v>111</v>
      </c>
      <c r="R31" s="1572" t="s">
        <v>8</v>
      </c>
      <c r="S31" s="1573">
        <f t="shared" si="12"/>
        <v>100</v>
      </c>
      <c r="T31" s="1572" t="s">
        <v>8</v>
      </c>
      <c r="U31" s="1573">
        <f t="shared" si="13"/>
        <v>100</v>
      </c>
      <c r="V31" s="1572" t="s">
        <v>8</v>
      </c>
      <c r="W31" s="1573">
        <f t="shared" si="14"/>
        <v>100</v>
      </c>
      <c r="X31" s="1566"/>
      <c r="Y31" s="3368"/>
      <c r="Z31" s="1574">
        <f t="shared" si="15"/>
        <v>111</v>
      </c>
      <c r="AA31" s="1575">
        <f t="shared" si="3"/>
        <v>1</v>
      </c>
      <c r="AB31" s="1575">
        <f t="shared" si="4"/>
        <v>1</v>
      </c>
      <c r="AC31" s="1575">
        <f t="shared" si="5"/>
        <v>1</v>
      </c>
    </row>
    <row r="32" spans="1:29" ht="15">
      <c r="A32" s="2931"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69" t="s">
        <v>550</v>
      </c>
      <c r="Q32" s="1571" t="str">
        <f t="shared" si="11"/>
        <v>商业类型</v>
      </c>
      <c r="R32" s="1572" t="s">
        <v>8</v>
      </c>
      <c r="S32" s="1573">
        <f t="shared" si="12"/>
        <v>100</v>
      </c>
      <c r="T32" s="1572" t="s">
        <v>8</v>
      </c>
      <c r="U32" s="1573">
        <f t="shared" si="13"/>
        <v>100</v>
      </c>
      <c r="V32" s="1572" t="s">
        <v>8</v>
      </c>
      <c r="W32" s="1573">
        <f t="shared" si="14"/>
        <v>100</v>
      </c>
      <c r="X32" s="1566"/>
      <c r="Y32" s="3370" t="s">
        <v>550</v>
      </c>
      <c r="Z32" s="1574" t="str">
        <f t="shared" si="15"/>
        <v>商业类型</v>
      </c>
      <c r="AA32" s="1575">
        <f t="shared" si="3"/>
        <v>1</v>
      </c>
      <c r="AB32" s="1575">
        <f t="shared" si="4"/>
        <v>1</v>
      </c>
      <c r="AC32" s="1575">
        <f t="shared" si="5"/>
        <v>1</v>
      </c>
    </row>
    <row r="33" spans="1:29" s="1338"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70"/>
      <c r="Q33" s="1604" t="str">
        <f t="shared" si="11"/>
        <v>项目建筑规模</v>
      </c>
      <c r="R33" s="1576" t="s">
        <v>8</v>
      </c>
      <c r="S33" s="1577" t="e">
        <f t="shared" si="12"/>
        <v>#N/A</v>
      </c>
      <c r="T33" s="1576" t="s">
        <v>8</v>
      </c>
      <c r="U33" s="1577" t="e">
        <f t="shared" si="13"/>
        <v>#N/A</v>
      </c>
      <c r="V33" s="1576" t="s">
        <v>8</v>
      </c>
      <c r="W33" s="1577" t="e">
        <f t="shared" si="14"/>
        <v>#N/A</v>
      </c>
      <c r="X33" s="1578"/>
      <c r="Y33" s="3370"/>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70"/>
      <c r="Q34" s="1571" t="str">
        <f t="shared" si="11"/>
        <v>建筑结构</v>
      </c>
      <c r="R34" s="1572" t="s">
        <v>8</v>
      </c>
      <c r="S34" s="1573">
        <f t="shared" si="12"/>
        <v>100</v>
      </c>
      <c r="T34" s="1572" t="s">
        <v>8</v>
      </c>
      <c r="U34" s="1573">
        <f t="shared" si="13"/>
        <v>100</v>
      </c>
      <c r="V34" s="1572" t="s">
        <v>8</v>
      </c>
      <c r="W34" s="1573">
        <f t="shared" si="14"/>
        <v>100</v>
      </c>
      <c r="X34" s="1566"/>
      <c r="Y34" s="3370"/>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70"/>
      <c r="Q35" s="1571" t="str">
        <f t="shared" si="11"/>
        <v>公共部分装修</v>
      </c>
      <c r="R35" s="1572" t="s">
        <v>8</v>
      </c>
      <c r="S35" s="1573">
        <f t="shared" si="12"/>
        <v>100</v>
      </c>
      <c r="T35" s="1572" t="s">
        <v>8</v>
      </c>
      <c r="U35" s="1573">
        <f t="shared" si="13"/>
        <v>100</v>
      </c>
      <c r="V35" s="1572" t="s">
        <v>8</v>
      </c>
      <c r="W35" s="1573">
        <f t="shared" si="14"/>
        <v>100</v>
      </c>
      <c r="X35" s="1566"/>
      <c r="Y35" s="3370"/>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70"/>
      <c r="Q36" s="1571" t="str">
        <f t="shared" si="11"/>
        <v>成新度</v>
      </c>
      <c r="R36" s="1572" t="s">
        <v>8</v>
      </c>
      <c r="S36" s="1573" t="e">
        <f t="shared" si="12"/>
        <v>#N/A</v>
      </c>
      <c r="T36" s="1572" t="s">
        <v>8</v>
      </c>
      <c r="U36" s="1573" t="e">
        <f t="shared" si="13"/>
        <v>#N/A</v>
      </c>
      <c r="V36" s="1572" t="s">
        <v>8</v>
      </c>
      <c r="W36" s="1573" t="e">
        <f t="shared" si="14"/>
        <v>#N/A</v>
      </c>
      <c r="X36" s="1566"/>
      <c r="Y36" s="3370"/>
      <c r="Z36" s="1574" t="str">
        <f t="shared" si="15"/>
        <v>成新度</v>
      </c>
      <c r="AA36" s="1575" t="e">
        <f t="shared" si="3"/>
        <v>#N/A</v>
      </c>
      <c r="AB36" s="1575" t="e">
        <f t="shared" si="4"/>
        <v>#N/A</v>
      </c>
      <c r="AC36" s="1575" t="e">
        <f t="shared" si="5"/>
        <v>#N/A</v>
      </c>
    </row>
    <row r="37" spans="1:29" s="1219"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70"/>
      <c r="Q37" s="1150" t="str">
        <f t="shared" si="11"/>
        <v>市政基础设施</v>
      </c>
      <c r="R37" s="1567" t="s">
        <v>8</v>
      </c>
      <c r="S37" s="1568">
        <f t="shared" si="12"/>
        <v>100</v>
      </c>
      <c r="T37" s="1567" t="s">
        <v>8</v>
      </c>
      <c r="U37" s="1568">
        <f t="shared" si="13"/>
        <v>100</v>
      </c>
      <c r="V37" s="1567" t="s">
        <v>8</v>
      </c>
      <c r="W37" s="1568">
        <f t="shared" si="14"/>
        <v>100</v>
      </c>
      <c r="X37" s="1569"/>
      <c r="Y37" s="3370"/>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70" t="s">
        <v>766</v>
      </c>
      <c r="Q38" s="1571" t="str">
        <f t="shared" si="11"/>
        <v>业态</v>
      </c>
      <c r="R38" s="1572" t="s">
        <v>8</v>
      </c>
      <c r="S38" s="1573">
        <f t="shared" si="12"/>
        <v>100</v>
      </c>
      <c r="T38" s="1572" t="s">
        <v>8</v>
      </c>
      <c r="U38" s="1573">
        <f t="shared" si="13"/>
        <v>100</v>
      </c>
      <c r="V38" s="1572" t="s">
        <v>8</v>
      </c>
      <c r="W38" s="1573">
        <f t="shared" si="14"/>
        <v>100</v>
      </c>
      <c r="X38" s="1566"/>
      <c r="Y38" s="3370"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0"/>
      <c r="Q39" s="1571" t="str">
        <f t="shared" si="11"/>
        <v>层高</v>
      </c>
      <c r="R39" s="1572" t="s">
        <v>8</v>
      </c>
      <c r="S39" s="1573">
        <f t="shared" si="12"/>
        <v>100</v>
      </c>
      <c r="T39" s="1572" t="s">
        <v>8</v>
      </c>
      <c r="U39" s="1573">
        <f t="shared" si="13"/>
        <v>100</v>
      </c>
      <c r="V39" s="1572" t="s">
        <v>8</v>
      </c>
      <c r="W39" s="1573">
        <f t="shared" si="14"/>
        <v>100</v>
      </c>
      <c r="X39" s="1566"/>
      <c r="Y39" s="3370"/>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70"/>
      <c r="Q40" s="1571" t="str">
        <f t="shared" si="11"/>
        <v>单套建筑面积</v>
      </c>
      <c r="R40" s="1572" t="s">
        <v>8</v>
      </c>
      <c r="S40" s="1573">
        <f t="shared" si="12"/>
        <v>100</v>
      </c>
      <c r="T40" s="1572" t="s">
        <v>8</v>
      </c>
      <c r="U40" s="1573">
        <f t="shared" si="13"/>
        <v>100</v>
      </c>
      <c r="V40" s="1572" t="s">
        <v>8</v>
      </c>
      <c r="W40" s="1573">
        <f t="shared" si="14"/>
        <v>100</v>
      </c>
      <c r="X40" s="1566"/>
      <c r="Y40" s="3370"/>
      <c r="Z40" s="1574" t="str">
        <f t="shared" si="15"/>
        <v>单套建筑面积</v>
      </c>
      <c r="AA40" s="1575">
        <f t="shared" si="3"/>
        <v>1</v>
      </c>
      <c r="AB40" s="1575">
        <f t="shared" si="4"/>
        <v>1</v>
      </c>
      <c r="AC40" s="1575">
        <f t="shared" si="5"/>
        <v>1</v>
      </c>
    </row>
    <row r="41" spans="1:29" s="1338"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70"/>
      <c r="Q41" s="1604" t="str">
        <f t="shared" si="11"/>
        <v>进深比</v>
      </c>
      <c r="R41" s="1576" t="s">
        <v>8</v>
      </c>
      <c r="S41" s="1577">
        <f t="shared" si="12"/>
        <v>100</v>
      </c>
      <c r="T41" s="1576" t="s">
        <v>8</v>
      </c>
      <c r="U41" s="1577">
        <f t="shared" si="13"/>
        <v>100</v>
      </c>
      <c r="V41" s="1576" t="s">
        <v>8</v>
      </c>
      <c r="W41" s="1577">
        <f t="shared" si="14"/>
        <v>100</v>
      </c>
      <c r="X41" s="1578"/>
      <c r="Y41" s="3370"/>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70"/>
      <c r="Q42" s="1571" t="str">
        <f t="shared" si="11"/>
        <v>内部装修</v>
      </c>
      <c r="R42" s="1572" t="s">
        <v>8</v>
      </c>
      <c r="S42" s="1573">
        <f t="shared" si="12"/>
        <v>100</v>
      </c>
      <c r="T42" s="1572" t="s">
        <v>8</v>
      </c>
      <c r="U42" s="1573">
        <f t="shared" si="13"/>
        <v>100</v>
      </c>
      <c r="V42" s="1572" t="s">
        <v>8</v>
      </c>
      <c r="W42" s="1573">
        <f t="shared" si="14"/>
        <v>100</v>
      </c>
      <c r="X42" s="1566"/>
      <c r="Y42" s="3370"/>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70"/>
      <c r="Q43" s="1571" t="str">
        <f t="shared" si="11"/>
        <v>内部装修维护情况</v>
      </c>
      <c r="R43" s="1572" t="s">
        <v>8</v>
      </c>
      <c r="S43" s="1573">
        <f t="shared" si="12"/>
        <v>100</v>
      </c>
      <c r="T43" s="1572" t="s">
        <v>8</v>
      </c>
      <c r="U43" s="1573">
        <f t="shared" si="13"/>
        <v>100</v>
      </c>
      <c r="V43" s="1572" t="s">
        <v>8</v>
      </c>
      <c r="W43" s="1573">
        <f t="shared" si="14"/>
        <v>100</v>
      </c>
      <c r="X43" s="1566"/>
      <c r="Y43" s="3370"/>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70"/>
      <c r="Q44" s="1150">
        <f t="shared" si="11"/>
        <v>111</v>
      </c>
      <c r="R44" s="1567" t="s">
        <v>8</v>
      </c>
      <c r="S44" s="1568">
        <f t="shared" si="12"/>
        <v>100</v>
      </c>
      <c r="T44" s="1567" t="s">
        <v>8</v>
      </c>
      <c r="U44" s="1568">
        <f t="shared" si="13"/>
        <v>100</v>
      </c>
      <c r="V44" s="1567" t="s">
        <v>8</v>
      </c>
      <c r="W44" s="1568">
        <f t="shared" si="14"/>
        <v>100</v>
      </c>
      <c r="X44" s="1569"/>
      <c r="Y44" s="3370"/>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70"/>
      <c r="Q45" s="1571">
        <f t="shared" si="11"/>
        <v>111</v>
      </c>
      <c r="R45" s="1572" t="s">
        <v>8</v>
      </c>
      <c r="S45" s="1573">
        <f t="shared" si="12"/>
        <v>100</v>
      </c>
      <c r="T45" s="1572" t="s">
        <v>8</v>
      </c>
      <c r="U45" s="1573">
        <f t="shared" si="13"/>
        <v>100</v>
      </c>
      <c r="V45" s="1572" t="s">
        <v>8</v>
      </c>
      <c r="W45" s="1573">
        <f t="shared" si="14"/>
        <v>100</v>
      </c>
      <c r="X45" s="1566"/>
      <c r="Y45" s="3370"/>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6"/>
      <c r="Q46" s="1571">
        <f t="shared" si="11"/>
        <v>111</v>
      </c>
      <c r="R46" s="1572" t="s">
        <v>8</v>
      </c>
      <c r="S46" s="1573">
        <f t="shared" si="12"/>
        <v>100</v>
      </c>
      <c r="T46" s="1572" t="s">
        <v>8</v>
      </c>
      <c r="U46" s="1573">
        <f t="shared" si="13"/>
        <v>100</v>
      </c>
      <c r="V46" s="1572" t="s">
        <v>8</v>
      </c>
      <c r="W46" s="1573">
        <f t="shared" si="14"/>
        <v>100</v>
      </c>
      <c r="X46" s="1566"/>
      <c r="Y46" s="3476"/>
      <c r="Z46" s="1574">
        <f t="shared" si="15"/>
        <v>111</v>
      </c>
      <c r="AA46" s="1575">
        <f t="shared" si="3"/>
        <v>1</v>
      </c>
      <c r="AB46" s="1575">
        <f t="shared" si="4"/>
        <v>1</v>
      </c>
      <c r="AC46" s="1575">
        <f t="shared" si="5"/>
        <v>1</v>
      </c>
    </row>
    <row r="47" spans="1:29" ht="15">
      <c r="A47" s="607" t="s">
        <v>736</v>
      </c>
      <c r="B47" s="887"/>
      <c r="C47" s="2651" t="s">
        <v>1</v>
      </c>
      <c r="D47" s="2652"/>
      <c r="E47" s="2653"/>
      <c r="F47" s="2654"/>
      <c r="G47" s="2655"/>
      <c r="H47" s="2656"/>
      <c r="I47" s="2653"/>
      <c r="J47" s="2656"/>
      <c r="K47" s="1610"/>
      <c r="L47" s="2144"/>
      <c r="M47" s="2145"/>
      <c r="N47" s="2134"/>
      <c r="O47" s="2145"/>
      <c r="P47" s="3364" t="str">
        <f>A47</f>
        <v>成交单价（元/平方米）</v>
      </c>
      <c r="Q47" s="3364"/>
      <c r="R47" s="3475">
        <f>E47</f>
        <v>0</v>
      </c>
      <c r="S47" s="3475"/>
      <c r="T47" s="3475">
        <f>G47</f>
        <v>0</v>
      </c>
      <c r="U47" s="3475"/>
      <c r="V47" s="3475">
        <f>I47</f>
        <v>0</v>
      </c>
      <c r="W47" s="3475"/>
      <c r="X47" s="1558"/>
      <c r="Y47" s="1580"/>
      <c r="Z47" s="1558"/>
      <c r="AA47" s="1558"/>
      <c r="AB47" s="1558"/>
      <c r="AC47" s="1558"/>
    </row>
    <row r="48" spans="1:29" ht="15.75" thickBot="1">
      <c r="A48" s="615" t="s">
        <v>2761</v>
      </c>
      <c r="B48" s="888"/>
      <c r="C48" s="2657" t="e">
        <f>R49</f>
        <v>#DIV/0!</v>
      </c>
      <c r="D48" s="2658"/>
      <c r="E48" s="2659" t="e">
        <f>R48</f>
        <v>#DIV/0!</v>
      </c>
      <c r="F48" s="2659"/>
      <c r="G48" s="2657" t="e">
        <f>T48</f>
        <v>#DIV/0!</v>
      </c>
      <c r="H48" s="2658"/>
      <c r="I48" s="2659" t="e">
        <f>V48</f>
        <v>#DIV/0!</v>
      </c>
      <c r="J48" s="2658"/>
      <c r="K48" s="1611"/>
      <c r="L48" s="2144"/>
      <c r="M48" s="2145"/>
      <c r="N48" s="2134"/>
      <c r="O48" s="2145"/>
      <c r="P48" s="3364" t="str">
        <f>A48</f>
        <v>比较价格（元/平方米）</v>
      </c>
      <c r="Q48" s="336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58"/>
      <c r="Y48" s="1558"/>
      <c r="Z48" s="1558"/>
      <c r="AA48" s="1558"/>
      <c r="AB48" s="1558"/>
      <c r="AC48" s="1558"/>
    </row>
    <row r="49" spans="1:29" ht="15.75" thickBot="1">
      <c r="A49" s="621" t="s">
        <v>2928</v>
      </c>
      <c r="B49" s="622"/>
      <c r="C49" s="2660" t="e">
        <f>R49</f>
        <v>#DIV/0!</v>
      </c>
      <c r="D49" s="2660"/>
      <c r="E49" s="2660"/>
      <c r="F49" s="2660"/>
      <c r="G49" s="2660"/>
      <c r="H49" s="2660"/>
      <c r="I49" s="2660"/>
      <c r="J49" s="2660"/>
      <c r="K49" s="1612"/>
      <c r="L49" s="2144"/>
      <c r="M49" s="2145"/>
      <c r="N49" s="2134"/>
      <c r="O49" s="2145"/>
      <c r="P49" s="3361" t="str">
        <f>A49</f>
        <v>估价对象XX用房的比较价格（楼面单价，元/平方米）</v>
      </c>
      <c r="Q49" s="3362"/>
      <c r="R49" s="3474" t="e">
        <f>IF(F1="售价",ROUND(AVERAGE(R48:V48),0),ROUND(AVERAGE(R48:V48),1))</f>
        <v>#DIV/0!</v>
      </c>
      <c r="S49" s="3474"/>
      <c r="T49" s="3474"/>
      <c r="U49" s="3474"/>
      <c r="V49" s="3474"/>
      <c r="W49" s="347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1"/>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376" t="s">
        <v>522</v>
      </c>
      <c r="D4" s="3377"/>
      <c r="E4" s="3378" t="s">
        <v>523</v>
      </c>
      <c r="F4" s="3379"/>
      <c r="G4" s="3376" t="s">
        <v>524</v>
      </c>
      <c r="H4" s="3377"/>
      <c r="I4" s="3376" t="s">
        <v>525</v>
      </c>
      <c r="J4" s="3377"/>
      <c r="K4" s="514" t="s">
        <v>526</v>
      </c>
      <c r="L4" s="2133"/>
      <c r="M4" s="2134"/>
      <c r="N4" s="2134"/>
      <c r="O4" s="2134"/>
      <c r="P4" s="3477" t="s">
        <v>527</v>
      </c>
      <c r="Q4" s="3381"/>
      <c r="R4" s="3386" t="s">
        <v>523</v>
      </c>
      <c r="S4" s="3387"/>
      <c r="T4" s="3386" t="s">
        <v>524</v>
      </c>
      <c r="U4" s="3387"/>
      <c r="V4" s="3366" t="s">
        <v>525</v>
      </c>
      <c r="W4" s="3366"/>
      <c r="X4" s="1566"/>
      <c r="Y4" s="3386" t="s">
        <v>527</v>
      </c>
      <c r="Z4" s="3387"/>
      <c r="AA4" s="3373" t="s">
        <v>523</v>
      </c>
      <c r="AB4" s="3373" t="s">
        <v>524</v>
      </c>
      <c r="AC4" s="3373" t="s">
        <v>525</v>
      </c>
    </row>
    <row r="5" spans="1:29" ht="15">
      <c r="A5" s="515"/>
      <c r="B5" s="516"/>
      <c r="C5" s="3407" t="s">
        <v>2922</v>
      </c>
      <c r="D5" s="3395"/>
      <c r="E5" s="3473" t="s">
        <v>2923</v>
      </c>
      <c r="F5" s="3393"/>
      <c r="G5" s="3407" t="s">
        <v>2924</v>
      </c>
      <c r="H5" s="3395"/>
      <c r="I5" s="3407" t="s">
        <v>2925</v>
      </c>
      <c r="J5" s="3395"/>
      <c r="K5" s="514"/>
      <c r="L5" s="2133"/>
      <c r="M5" s="2134"/>
      <c r="N5" s="2134"/>
      <c r="O5" s="2134"/>
      <c r="P5" s="3478"/>
      <c r="Q5" s="3383"/>
      <c r="R5" s="3388"/>
      <c r="S5" s="3389"/>
      <c r="T5" s="3388"/>
      <c r="U5" s="3389"/>
      <c r="V5" s="3366"/>
      <c r="W5" s="3366"/>
      <c r="X5" s="1566"/>
      <c r="Y5" s="3388"/>
      <c r="Z5" s="3389"/>
      <c r="AA5" s="3374"/>
      <c r="AB5" s="3374"/>
      <c r="AC5" s="3374"/>
    </row>
    <row r="6" spans="1:29" ht="15.75" thickBot="1">
      <c r="A6" s="517"/>
      <c r="B6" s="518"/>
      <c r="C6" s="3396" t="s">
        <v>2926</v>
      </c>
      <c r="D6" s="3397"/>
      <c r="E6" s="3400" t="s">
        <v>2926</v>
      </c>
      <c r="F6" s="3401"/>
      <c r="G6" s="3396" t="s">
        <v>2926</v>
      </c>
      <c r="H6" s="3397"/>
      <c r="I6" s="3396" t="s">
        <v>2926</v>
      </c>
      <c r="J6" s="3397"/>
      <c r="K6" s="514" t="s">
        <v>528</v>
      </c>
      <c r="L6" s="2133"/>
      <c r="M6" s="2134"/>
      <c r="N6" s="2134"/>
      <c r="O6" s="2134"/>
      <c r="P6" s="3479"/>
      <c r="Q6" s="3385"/>
      <c r="R6" s="3388"/>
      <c r="S6" s="3389"/>
      <c r="T6" s="3390"/>
      <c r="U6" s="3391"/>
      <c r="V6" s="3366"/>
      <c r="W6" s="3366"/>
      <c r="X6" s="1566"/>
      <c r="Y6" s="3390"/>
      <c r="Z6" s="3391"/>
      <c r="AA6" s="3375"/>
      <c r="AB6" s="3375"/>
      <c r="AC6" s="3375"/>
    </row>
    <row r="7" spans="1:29" s="1219" customFormat="1" ht="15.75" thickBot="1">
      <c r="A7" s="2936"/>
      <c r="B7" s="2943" t="s">
        <v>529</v>
      </c>
      <c r="C7" s="519">
        <f>'数据-取费表'!B2</f>
        <v>43250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9" t="s">
        <v>530</v>
      </c>
      <c r="Q7" s="3399"/>
      <c r="R7" s="1567" t="s">
        <v>8</v>
      </c>
      <c r="S7" s="1568">
        <f t="shared" ref="S7:S15" si="0">F7</f>
        <v>0</v>
      </c>
      <c r="T7" s="1567" t="s">
        <v>8</v>
      </c>
      <c r="U7" s="1568">
        <f t="shared" ref="U7:U15" si="1">H7</f>
        <v>0</v>
      </c>
      <c r="V7" s="1567" t="s">
        <v>8</v>
      </c>
      <c r="W7" s="1568">
        <f t="shared" ref="W7:W15" si="2">J7</f>
        <v>0</v>
      </c>
      <c r="X7" s="1569"/>
      <c r="Y7" s="3371" t="s">
        <v>530</v>
      </c>
      <c r="Z7" s="3372"/>
      <c r="AA7" s="1570" t="e">
        <f>D7/F7</f>
        <v>#DIV/0!</v>
      </c>
      <c r="AB7" s="1570" t="e">
        <f>D7/H7</f>
        <v>#DIV/0!</v>
      </c>
      <c r="AC7" s="1570" t="e">
        <f>D7/J7</f>
        <v>#DIV/0!</v>
      </c>
    </row>
    <row r="8" spans="1:29" s="1219"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9" t="s">
        <v>533</v>
      </c>
      <c r="Q8" s="3372"/>
      <c r="R8" s="1567" t="s">
        <v>8</v>
      </c>
      <c r="S8" s="1568">
        <f t="shared" si="0"/>
        <v>0</v>
      </c>
      <c r="T8" s="1567" t="s">
        <v>8</v>
      </c>
      <c r="U8" s="1568">
        <f t="shared" si="1"/>
        <v>0</v>
      </c>
      <c r="V8" s="1567" t="s">
        <v>8</v>
      </c>
      <c r="W8" s="1568">
        <f t="shared" si="2"/>
        <v>0</v>
      </c>
      <c r="X8" s="1569"/>
      <c r="Y8" s="3371" t="s">
        <v>533</v>
      </c>
      <c r="Z8" s="3372"/>
      <c r="AA8" s="1570" t="e">
        <f t="shared" ref="AA8:AA47" si="3">D8/F8</f>
        <v>#DIV/0!</v>
      </c>
      <c r="AB8" s="1570" t="e">
        <f t="shared" ref="AB8:AB47" si="4">D8/H8</f>
        <v>#DIV/0!</v>
      </c>
      <c r="AC8" s="1570" t="e">
        <f t="shared" ref="AC8:AC47" si="5">D8/J8</f>
        <v>#DIV/0!</v>
      </c>
    </row>
    <row r="9" spans="1:29" s="1219" customFormat="1" ht="15">
      <c r="A9" s="2938"/>
      <c r="B9" s="2945"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4" t="s">
        <v>535</v>
      </c>
      <c r="Q9" s="1150" t="str">
        <f t="shared" ref="Q9:Q15" si="6">B9</f>
        <v>用途</v>
      </c>
      <c r="R9" s="1567" t="s">
        <v>8</v>
      </c>
      <c r="S9" s="1568">
        <f t="shared" si="0"/>
        <v>100</v>
      </c>
      <c r="T9" s="1567" t="s">
        <v>8</v>
      </c>
      <c r="U9" s="1568">
        <f t="shared" si="1"/>
        <v>100</v>
      </c>
      <c r="V9" s="1567" t="s">
        <v>8</v>
      </c>
      <c r="W9" s="1568">
        <f t="shared" si="2"/>
        <v>100</v>
      </c>
      <c r="X9" s="1569"/>
      <c r="Y9" s="3329" t="s">
        <v>536</v>
      </c>
      <c r="Z9" s="1149" t="str">
        <f t="shared" ref="Z9:Z15" si="7">Q9</f>
        <v>用途</v>
      </c>
      <c r="AA9" s="1570">
        <f t="shared" si="3"/>
        <v>1</v>
      </c>
      <c r="AB9" s="1570">
        <f t="shared" si="4"/>
        <v>1</v>
      </c>
      <c r="AC9" s="1570">
        <f t="shared" si="5"/>
        <v>1</v>
      </c>
    </row>
    <row r="10" spans="1:29" s="1337" customFormat="1" ht="27">
      <c r="A10" s="2939"/>
      <c r="B10" s="2944"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4"/>
      <c r="Q10" s="1150" t="str">
        <f t="shared" si="6"/>
        <v>土地使用年限（年）</v>
      </c>
      <c r="R10" s="1567" t="s">
        <v>8</v>
      </c>
      <c r="S10" s="1568">
        <f t="shared" si="0"/>
        <v>100</v>
      </c>
      <c r="T10" s="1567" t="s">
        <v>8</v>
      </c>
      <c r="U10" s="1568">
        <f t="shared" si="1"/>
        <v>100</v>
      </c>
      <c r="V10" s="1567" t="s">
        <v>8</v>
      </c>
      <c r="W10" s="1568">
        <f t="shared" si="2"/>
        <v>100</v>
      </c>
      <c r="X10" s="1569"/>
      <c r="Y10" s="3329"/>
      <c r="Z10" s="1149" t="str">
        <f t="shared" si="7"/>
        <v>土地使用年限（年）</v>
      </c>
      <c r="AA10" s="1570">
        <f t="shared" si="3"/>
        <v>1</v>
      </c>
      <c r="AB10" s="1570">
        <f t="shared" si="4"/>
        <v>1</v>
      </c>
      <c r="AC10" s="1570">
        <f t="shared" si="5"/>
        <v>1</v>
      </c>
    </row>
    <row r="11" spans="1:29" ht="15">
      <c r="A11" s="2940"/>
      <c r="B11" s="2944"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4"/>
      <c r="Q11" s="1150" t="str">
        <f t="shared" si="6"/>
        <v>容积率</v>
      </c>
      <c r="R11" s="1567" t="s">
        <v>8</v>
      </c>
      <c r="S11" s="1568" t="e">
        <f t="shared" si="0"/>
        <v>#N/A</v>
      </c>
      <c r="T11" s="1567" t="s">
        <v>8</v>
      </c>
      <c r="U11" s="1568" t="e">
        <f t="shared" si="1"/>
        <v>#N/A</v>
      </c>
      <c r="V11" s="1567" t="s">
        <v>8</v>
      </c>
      <c r="W11" s="1568" t="e">
        <f t="shared" si="2"/>
        <v>#N/A</v>
      </c>
      <c r="X11" s="1569"/>
      <c r="Y11" s="3329"/>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4"/>
      <c r="Q12" s="1150">
        <f t="shared" si="6"/>
        <v>111</v>
      </c>
      <c r="R12" s="1567" t="s">
        <v>8</v>
      </c>
      <c r="S12" s="1568">
        <f t="shared" si="0"/>
        <v>100</v>
      </c>
      <c r="T12" s="1567" t="s">
        <v>8</v>
      </c>
      <c r="U12" s="1568">
        <f t="shared" si="1"/>
        <v>100</v>
      </c>
      <c r="V12" s="1567" t="s">
        <v>8</v>
      </c>
      <c r="W12" s="1568">
        <f t="shared" si="2"/>
        <v>100</v>
      </c>
      <c r="X12" s="1569"/>
      <c r="Y12" s="3329"/>
      <c r="Z12" s="1149">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4"/>
      <c r="Q13" s="1150">
        <f t="shared" si="6"/>
        <v>111</v>
      </c>
      <c r="R13" s="1567" t="s">
        <v>8</v>
      </c>
      <c r="S13" s="1568">
        <f t="shared" si="0"/>
        <v>100</v>
      </c>
      <c r="T13" s="1567" t="s">
        <v>8</v>
      </c>
      <c r="U13" s="1568">
        <f t="shared" si="1"/>
        <v>100</v>
      </c>
      <c r="V13" s="1567" t="s">
        <v>8</v>
      </c>
      <c r="W13" s="1568">
        <f t="shared" si="2"/>
        <v>100</v>
      </c>
      <c r="X13" s="1569"/>
      <c r="Y13" s="3329"/>
      <c r="Z13" s="1149">
        <f t="shared" si="7"/>
        <v>111</v>
      </c>
      <c r="AA13" s="1570">
        <f t="shared" si="3"/>
        <v>1</v>
      </c>
      <c r="AB13" s="1570">
        <f t="shared" si="4"/>
        <v>1</v>
      </c>
      <c r="AC13" s="1570">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4"/>
      <c r="Q14" s="1150">
        <f t="shared" si="6"/>
        <v>111</v>
      </c>
      <c r="R14" s="1567" t="s">
        <v>8</v>
      </c>
      <c r="S14" s="1568">
        <f t="shared" si="0"/>
        <v>100</v>
      </c>
      <c r="T14" s="1567" t="s">
        <v>8</v>
      </c>
      <c r="U14" s="1568">
        <f t="shared" si="1"/>
        <v>100</v>
      </c>
      <c r="V14" s="1567" t="s">
        <v>8</v>
      </c>
      <c r="W14" s="1568">
        <f t="shared" si="2"/>
        <v>100</v>
      </c>
      <c r="X14" s="1569"/>
      <c r="Y14" s="3329"/>
      <c r="Z14" s="1149">
        <f t="shared" si="7"/>
        <v>111</v>
      </c>
      <c r="AA14" s="1570">
        <f t="shared" si="3"/>
        <v>1</v>
      </c>
      <c r="AB14" s="1570">
        <f t="shared" si="4"/>
        <v>1</v>
      </c>
      <c r="AC14" s="1570">
        <f t="shared" si="5"/>
        <v>1</v>
      </c>
    </row>
    <row r="15" spans="1:29" ht="15">
      <c r="A15" s="2934"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67" t="s">
        <v>540</v>
      </c>
      <c r="Q15" s="1571" t="str">
        <f t="shared" si="6"/>
        <v>办公集聚程度</v>
      </c>
      <c r="R15" s="1572" t="s">
        <v>8</v>
      </c>
      <c r="S15" s="1573">
        <f t="shared" si="0"/>
        <v>100</v>
      </c>
      <c r="T15" s="1572" t="s">
        <v>8</v>
      </c>
      <c r="U15" s="1573">
        <f t="shared" si="1"/>
        <v>100</v>
      </c>
      <c r="V15" s="1572" t="s">
        <v>8</v>
      </c>
      <c r="W15" s="1573">
        <f t="shared" si="2"/>
        <v>100</v>
      </c>
      <c r="X15" s="1566"/>
      <c r="Y15" s="3367"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68"/>
      <c r="Q16" s="1571"/>
      <c r="R16" s="1572"/>
      <c r="S16" s="1573"/>
      <c r="T16" s="1572"/>
      <c r="U16" s="1573"/>
      <c r="V16" s="1572"/>
      <c r="W16" s="1573"/>
      <c r="X16" s="1566"/>
      <c r="Y16" s="3368"/>
      <c r="Z16" s="1574"/>
      <c r="AA16" s="1575">
        <v>1</v>
      </c>
      <c r="AB16" s="1575">
        <v>1</v>
      </c>
      <c r="AC16" s="1575">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68"/>
      <c r="Q17" s="1571" t="str">
        <f>B17</f>
        <v>交通便捷度</v>
      </c>
      <c r="R17" s="1572" t="s">
        <v>8</v>
      </c>
      <c r="S17" s="1573">
        <f>F17</f>
        <v>100</v>
      </c>
      <c r="T17" s="1572" t="s">
        <v>8</v>
      </c>
      <c r="U17" s="1573">
        <f>H17</f>
        <v>100</v>
      </c>
      <c r="V17" s="1572" t="s">
        <v>8</v>
      </c>
      <c r="W17" s="1573">
        <f>J17</f>
        <v>100</v>
      </c>
      <c r="X17" s="1566"/>
      <c r="Y17" s="3368"/>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68"/>
      <c r="Q18" s="1571"/>
      <c r="R18" s="1572"/>
      <c r="S18" s="1573"/>
      <c r="T18" s="1572"/>
      <c r="U18" s="1573"/>
      <c r="V18" s="1572"/>
      <c r="W18" s="1573"/>
      <c r="X18" s="1566"/>
      <c r="Y18" s="3368"/>
      <c r="Z18" s="1574"/>
      <c r="AA18" s="1575">
        <v>1</v>
      </c>
      <c r="AB18" s="1575">
        <v>1</v>
      </c>
      <c r="AC18" s="1575">
        <v>1</v>
      </c>
    </row>
    <row r="19" spans="1:29" ht="15">
      <c r="A19" s="532"/>
      <c r="B19" s="2627" t="s">
        <v>2547</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68"/>
      <c r="Q19" s="1571" t="str">
        <f>B19</f>
        <v>公共配套设施</v>
      </c>
      <c r="R19" s="1572" t="s">
        <v>8</v>
      </c>
      <c r="S19" s="1573">
        <f>F19</f>
        <v>100</v>
      </c>
      <c r="T19" s="1572" t="s">
        <v>8</v>
      </c>
      <c r="U19" s="1573">
        <f>H19</f>
        <v>100</v>
      </c>
      <c r="V19" s="1572" t="s">
        <v>8</v>
      </c>
      <c r="W19" s="1573">
        <f>J19</f>
        <v>100</v>
      </c>
      <c r="X19" s="1566"/>
      <c r="Y19" s="3368"/>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68"/>
      <c r="Q20" s="1571"/>
      <c r="R20" s="1572"/>
      <c r="S20" s="1573"/>
      <c r="T20" s="1572"/>
      <c r="U20" s="1573"/>
      <c r="V20" s="1572"/>
      <c r="W20" s="1573"/>
      <c r="X20" s="1566"/>
      <c r="Y20" s="3368"/>
      <c r="Z20" s="1574"/>
      <c r="AA20" s="1575">
        <v>1</v>
      </c>
      <c r="AB20" s="1575">
        <v>1</v>
      </c>
      <c r="AC20" s="1575">
        <v>1</v>
      </c>
    </row>
    <row r="21" spans="1:29" ht="15">
      <c r="A21" s="532"/>
      <c r="B21" s="2615" t="s">
        <v>2559</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68"/>
      <c r="Q21" s="2603" t="str">
        <f>B21</f>
        <v>基础设施水平</v>
      </c>
      <c r="R21" s="1572" t="s">
        <v>8</v>
      </c>
      <c r="S21" s="1573">
        <f>F21</f>
        <v>100</v>
      </c>
      <c r="T21" s="1572" t="s">
        <v>8</v>
      </c>
      <c r="U21" s="1573">
        <f>H21</f>
        <v>100</v>
      </c>
      <c r="V21" s="1572" t="s">
        <v>8</v>
      </c>
      <c r="W21" s="1573">
        <f>J21</f>
        <v>100</v>
      </c>
      <c r="X21" s="2605"/>
      <c r="Y21" s="3368"/>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68"/>
      <c r="Q22" s="2603"/>
      <c r="R22" s="1572"/>
      <c r="S22" s="1573"/>
      <c r="T22" s="1572"/>
      <c r="U22" s="1573"/>
      <c r="V22" s="1572"/>
      <c r="W22" s="1573"/>
      <c r="X22" s="2605"/>
      <c r="Y22" s="3368"/>
      <c r="Z22" s="2604"/>
      <c r="AA22" s="1575">
        <v>1</v>
      </c>
      <c r="AB22" s="1575">
        <v>1</v>
      </c>
      <c r="AC22" s="1575">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68"/>
      <c r="Q23" s="1571" t="str">
        <f>B23</f>
        <v>环境质量</v>
      </c>
      <c r="R23" s="1572" t="s">
        <v>8</v>
      </c>
      <c r="S23" s="1573">
        <f>F23</f>
        <v>100</v>
      </c>
      <c r="T23" s="1572" t="s">
        <v>8</v>
      </c>
      <c r="U23" s="1573">
        <f>H23</f>
        <v>100</v>
      </c>
      <c r="V23" s="1572" t="s">
        <v>8</v>
      </c>
      <c r="W23" s="1573">
        <f>J23</f>
        <v>100</v>
      </c>
      <c r="X23" s="1566"/>
      <c r="Y23" s="3368"/>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68"/>
      <c r="Q24" s="1571"/>
      <c r="R24" s="1572"/>
      <c r="S24" s="1573"/>
      <c r="T24" s="1572"/>
      <c r="U24" s="1573"/>
      <c r="V24" s="1572"/>
      <c r="W24" s="1573"/>
      <c r="X24" s="1566"/>
      <c r="Y24" s="3368"/>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68"/>
      <c r="Q25" s="1571" t="str">
        <f>B25</f>
        <v>毗邻道路的类型与等级</v>
      </c>
      <c r="R25" s="1572" t="s">
        <v>8</v>
      </c>
      <c r="S25" s="1573">
        <f>F25</f>
        <v>100</v>
      </c>
      <c r="T25" s="1572" t="s">
        <v>8</v>
      </c>
      <c r="U25" s="1573">
        <f>H25</f>
        <v>100</v>
      </c>
      <c r="V25" s="1572" t="s">
        <v>8</v>
      </c>
      <c r="W25" s="1573">
        <f>J25</f>
        <v>100</v>
      </c>
      <c r="X25" s="1566"/>
      <c r="Y25" s="3368"/>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68"/>
      <c r="Q26" s="1571"/>
      <c r="R26" s="1572"/>
      <c r="S26" s="1573"/>
      <c r="T26" s="1572"/>
      <c r="U26" s="1573"/>
      <c r="V26" s="1572"/>
      <c r="W26" s="1573"/>
      <c r="X26" s="1566"/>
      <c r="Y26" s="3368"/>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68"/>
      <c r="Q27" s="1571" t="str">
        <f t="shared" ref="Q27:Q47" si="11">B27</f>
        <v>楼层</v>
      </c>
      <c r="R27" s="1572" t="s">
        <v>8</v>
      </c>
      <c r="S27" s="1573">
        <f>F27</f>
        <v>100</v>
      </c>
      <c r="T27" s="1572" t="s">
        <v>8</v>
      </c>
      <c r="U27" s="1573">
        <f>H27</f>
        <v>100</v>
      </c>
      <c r="V27" s="1572" t="s">
        <v>8</v>
      </c>
      <c r="W27" s="1573">
        <f>J27</f>
        <v>100</v>
      </c>
      <c r="X27" s="1566"/>
      <c r="Y27" s="3368"/>
      <c r="Z27" s="1574" t="str">
        <f>Q27</f>
        <v>楼层</v>
      </c>
      <c r="AA27" s="1575">
        <f t="shared" si="3"/>
        <v>1</v>
      </c>
      <c r="AB27" s="1575">
        <f t="shared" si="4"/>
        <v>1</v>
      </c>
      <c r="AC27" s="1575">
        <f t="shared" si="5"/>
        <v>1</v>
      </c>
    </row>
    <row r="28" spans="1:29" s="1219"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68"/>
      <c r="Q28" s="1150" t="str">
        <f t="shared" si="11"/>
        <v>朝向</v>
      </c>
      <c r="R28" s="1567" t="s">
        <v>8</v>
      </c>
      <c r="S28" s="1568">
        <f>F28</f>
        <v>100</v>
      </c>
      <c r="T28" s="1567" t="s">
        <v>8</v>
      </c>
      <c r="U28" s="1568">
        <f>H28</f>
        <v>100</v>
      </c>
      <c r="V28" s="1567" t="s">
        <v>8</v>
      </c>
      <c r="W28" s="1568">
        <f>J28</f>
        <v>100</v>
      </c>
      <c r="X28" s="1569"/>
      <c r="Y28" s="3368"/>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68"/>
      <c r="Q29" s="1571">
        <f t="shared" si="11"/>
        <v>111</v>
      </c>
      <c r="R29" s="1572" t="s">
        <v>8</v>
      </c>
      <c r="S29" s="1573">
        <f t="shared" ref="S29:S47" si="12">F29</f>
        <v>100</v>
      </c>
      <c r="T29" s="1572" t="s">
        <v>8</v>
      </c>
      <c r="U29" s="1573">
        <f t="shared" ref="U29:U47" si="13">H29</f>
        <v>100</v>
      </c>
      <c r="V29" s="1572" t="s">
        <v>8</v>
      </c>
      <c r="W29" s="1573">
        <f t="shared" ref="W29:W47" si="14">J29</f>
        <v>100</v>
      </c>
      <c r="X29" s="1566"/>
      <c r="Y29" s="3368"/>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68"/>
      <c r="Q30" s="1571">
        <f t="shared" si="11"/>
        <v>111</v>
      </c>
      <c r="R30" s="1572" t="s">
        <v>8</v>
      </c>
      <c r="S30" s="1573">
        <f t="shared" si="12"/>
        <v>100</v>
      </c>
      <c r="T30" s="1572" t="s">
        <v>8</v>
      </c>
      <c r="U30" s="1573">
        <f t="shared" si="13"/>
        <v>100</v>
      </c>
      <c r="V30" s="1572" t="s">
        <v>8</v>
      </c>
      <c r="W30" s="1573">
        <f t="shared" si="14"/>
        <v>100</v>
      </c>
      <c r="X30" s="1566"/>
      <c r="Y30" s="3368"/>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68"/>
      <c r="Q31" s="1571">
        <f t="shared" si="11"/>
        <v>111</v>
      </c>
      <c r="R31" s="1572" t="s">
        <v>8</v>
      </c>
      <c r="S31" s="1573">
        <f t="shared" si="12"/>
        <v>100</v>
      </c>
      <c r="T31" s="1572" t="s">
        <v>8</v>
      </c>
      <c r="U31" s="1573">
        <f t="shared" si="13"/>
        <v>100</v>
      </c>
      <c r="V31" s="1572" t="s">
        <v>8</v>
      </c>
      <c r="W31" s="1573">
        <f t="shared" si="14"/>
        <v>100</v>
      </c>
      <c r="X31" s="1566"/>
      <c r="Y31" s="3368"/>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68"/>
      <c r="Q32" s="1571">
        <f t="shared" si="11"/>
        <v>111</v>
      </c>
      <c r="R32" s="1572" t="s">
        <v>8</v>
      </c>
      <c r="S32" s="1573">
        <f t="shared" si="12"/>
        <v>100</v>
      </c>
      <c r="T32" s="1572" t="s">
        <v>8</v>
      </c>
      <c r="U32" s="1573">
        <f t="shared" si="13"/>
        <v>100</v>
      </c>
      <c r="V32" s="1572" t="s">
        <v>8</v>
      </c>
      <c r="W32" s="1573">
        <f t="shared" si="14"/>
        <v>100</v>
      </c>
      <c r="X32" s="1566"/>
      <c r="Y32" s="3368"/>
      <c r="Z32" s="1574">
        <f t="shared" si="15"/>
        <v>111</v>
      </c>
      <c r="AA32" s="1575">
        <f t="shared" si="3"/>
        <v>1</v>
      </c>
      <c r="AB32" s="1575">
        <f t="shared" si="4"/>
        <v>1</v>
      </c>
      <c r="AC32" s="1575">
        <f t="shared" si="5"/>
        <v>1</v>
      </c>
    </row>
    <row r="33" spans="1:29" ht="15">
      <c r="A33" s="2931"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69" t="s">
        <v>550</v>
      </c>
      <c r="Q33" s="1571" t="str">
        <f t="shared" si="11"/>
        <v>建筑类型</v>
      </c>
      <c r="R33" s="1572" t="s">
        <v>8</v>
      </c>
      <c r="S33" s="1573">
        <f t="shared" si="12"/>
        <v>100</v>
      </c>
      <c r="T33" s="1572" t="s">
        <v>8</v>
      </c>
      <c r="U33" s="1573">
        <f t="shared" si="13"/>
        <v>100</v>
      </c>
      <c r="V33" s="1572" t="s">
        <v>8</v>
      </c>
      <c r="W33" s="1573">
        <f t="shared" si="14"/>
        <v>100</v>
      </c>
      <c r="X33" s="1566"/>
      <c r="Y33" s="3370" t="s">
        <v>550</v>
      </c>
      <c r="Z33" s="1574" t="str">
        <f t="shared" si="15"/>
        <v>建筑类型</v>
      </c>
      <c r="AA33" s="1575">
        <f t="shared" si="3"/>
        <v>1</v>
      </c>
      <c r="AB33" s="1575">
        <f t="shared" si="4"/>
        <v>1</v>
      </c>
      <c r="AC33" s="1575">
        <f t="shared" si="5"/>
        <v>1</v>
      </c>
    </row>
    <row r="34" spans="1:29" s="1338"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70"/>
      <c r="Q34" s="1604" t="str">
        <f t="shared" si="11"/>
        <v>项目建筑规模</v>
      </c>
      <c r="R34" s="1576" t="s">
        <v>8</v>
      </c>
      <c r="S34" s="1577" t="e">
        <f t="shared" si="12"/>
        <v>#N/A</v>
      </c>
      <c r="T34" s="1576" t="s">
        <v>8</v>
      </c>
      <c r="U34" s="1577" t="e">
        <f t="shared" si="13"/>
        <v>#N/A</v>
      </c>
      <c r="V34" s="1576" t="s">
        <v>8</v>
      </c>
      <c r="W34" s="1577" t="e">
        <f t="shared" si="14"/>
        <v>#N/A</v>
      </c>
      <c r="X34" s="1578"/>
      <c r="Y34" s="3370"/>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70"/>
      <c r="Q35" s="1571" t="str">
        <f t="shared" si="11"/>
        <v>建筑结构</v>
      </c>
      <c r="R35" s="1572" t="s">
        <v>8</v>
      </c>
      <c r="S35" s="1573">
        <f t="shared" si="12"/>
        <v>100</v>
      </c>
      <c r="T35" s="1572" t="s">
        <v>8</v>
      </c>
      <c r="U35" s="1573">
        <f t="shared" si="13"/>
        <v>100</v>
      </c>
      <c r="V35" s="1572" t="s">
        <v>8</v>
      </c>
      <c r="W35" s="1573">
        <f t="shared" si="14"/>
        <v>100</v>
      </c>
      <c r="X35" s="1566"/>
      <c r="Y35" s="3370"/>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70"/>
      <c r="Q36" s="1571" t="str">
        <f t="shared" si="11"/>
        <v>公共部分装修</v>
      </c>
      <c r="R36" s="1572" t="s">
        <v>8</v>
      </c>
      <c r="S36" s="1573">
        <f t="shared" si="12"/>
        <v>100</v>
      </c>
      <c r="T36" s="1572" t="s">
        <v>8</v>
      </c>
      <c r="U36" s="1573">
        <f t="shared" si="13"/>
        <v>100</v>
      </c>
      <c r="V36" s="1572" t="s">
        <v>8</v>
      </c>
      <c r="W36" s="1573">
        <f t="shared" si="14"/>
        <v>100</v>
      </c>
      <c r="X36" s="1566"/>
      <c r="Y36" s="3370"/>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70"/>
      <c r="Q37" s="1571" t="str">
        <f t="shared" si="11"/>
        <v>成新度</v>
      </c>
      <c r="R37" s="1572" t="s">
        <v>8</v>
      </c>
      <c r="S37" s="1573" t="e">
        <f t="shared" si="12"/>
        <v>#N/A</v>
      </c>
      <c r="T37" s="1572" t="s">
        <v>8</v>
      </c>
      <c r="U37" s="1573" t="e">
        <f t="shared" si="13"/>
        <v>#N/A</v>
      </c>
      <c r="V37" s="1572" t="s">
        <v>8</v>
      </c>
      <c r="W37" s="1573" t="e">
        <f t="shared" si="14"/>
        <v>#N/A</v>
      </c>
      <c r="X37" s="1566"/>
      <c r="Y37" s="3370"/>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70"/>
      <c r="Q38" s="1150" t="str">
        <f t="shared" si="11"/>
        <v>写字楼等级</v>
      </c>
      <c r="R38" s="1567" t="s">
        <v>8</v>
      </c>
      <c r="S38" s="1568">
        <f t="shared" si="12"/>
        <v>100</v>
      </c>
      <c r="T38" s="1567" t="s">
        <v>8</v>
      </c>
      <c r="U38" s="1568">
        <f t="shared" si="13"/>
        <v>100</v>
      </c>
      <c r="V38" s="1567" t="s">
        <v>8</v>
      </c>
      <c r="W38" s="1568">
        <f t="shared" si="14"/>
        <v>100</v>
      </c>
      <c r="X38" s="1569"/>
      <c r="Y38" s="3370"/>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70" t="s">
        <v>550</v>
      </c>
      <c r="Q39" s="1571" t="str">
        <f t="shared" si="11"/>
        <v>物业管理</v>
      </c>
      <c r="R39" s="1572" t="s">
        <v>8</v>
      </c>
      <c r="S39" s="1573">
        <f t="shared" si="12"/>
        <v>100</v>
      </c>
      <c r="T39" s="1572" t="s">
        <v>8</v>
      </c>
      <c r="U39" s="1573">
        <f t="shared" si="13"/>
        <v>100</v>
      </c>
      <c r="V39" s="1572" t="s">
        <v>8</v>
      </c>
      <c r="W39" s="1573">
        <f t="shared" si="14"/>
        <v>100</v>
      </c>
      <c r="X39" s="1566"/>
      <c r="Y39" s="3370" t="s">
        <v>550</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70"/>
      <c r="Q40" s="1571" t="str">
        <f t="shared" si="11"/>
        <v>市政基础设施</v>
      </c>
      <c r="R40" s="1572" t="s">
        <v>8</v>
      </c>
      <c r="S40" s="1573">
        <f t="shared" si="12"/>
        <v>100</v>
      </c>
      <c r="T40" s="1572" t="s">
        <v>8</v>
      </c>
      <c r="U40" s="1573">
        <f t="shared" si="13"/>
        <v>100</v>
      </c>
      <c r="V40" s="1572" t="s">
        <v>8</v>
      </c>
      <c r="W40" s="1573">
        <f t="shared" si="14"/>
        <v>100</v>
      </c>
      <c r="X40" s="1566"/>
      <c r="Y40" s="3370"/>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70"/>
      <c r="Q41" s="1571" t="str">
        <f t="shared" si="11"/>
        <v>层高</v>
      </c>
      <c r="R41" s="1572" t="s">
        <v>8</v>
      </c>
      <c r="S41" s="1573">
        <f t="shared" si="12"/>
        <v>100</v>
      </c>
      <c r="T41" s="1572" t="s">
        <v>8</v>
      </c>
      <c r="U41" s="1573">
        <f t="shared" si="13"/>
        <v>100</v>
      </c>
      <c r="V41" s="1572" t="s">
        <v>8</v>
      </c>
      <c r="W41" s="1573">
        <f t="shared" si="14"/>
        <v>100</v>
      </c>
      <c r="X41" s="1566"/>
      <c r="Y41" s="3370"/>
      <c r="Z41" s="1574" t="str">
        <f t="shared" si="15"/>
        <v>层高</v>
      </c>
      <c r="AA41" s="1575">
        <f t="shared" si="3"/>
        <v>1</v>
      </c>
      <c r="AB41" s="1575">
        <f t="shared" si="4"/>
        <v>1</v>
      </c>
      <c r="AC41" s="1575">
        <f t="shared" si="5"/>
        <v>1</v>
      </c>
    </row>
    <row r="42" spans="1:29" s="1338"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70"/>
      <c r="Q42" s="1604" t="str">
        <f t="shared" si="11"/>
        <v>单套建筑面积</v>
      </c>
      <c r="R42" s="1576" t="s">
        <v>8</v>
      </c>
      <c r="S42" s="1577">
        <f t="shared" si="12"/>
        <v>100</v>
      </c>
      <c r="T42" s="1576" t="s">
        <v>8</v>
      </c>
      <c r="U42" s="1577">
        <f t="shared" si="13"/>
        <v>100</v>
      </c>
      <c r="V42" s="1576" t="s">
        <v>8</v>
      </c>
      <c r="W42" s="1577">
        <f t="shared" si="14"/>
        <v>100</v>
      </c>
      <c r="X42" s="1578"/>
      <c r="Y42" s="3370"/>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70"/>
      <c r="Q43" s="1571" t="str">
        <f t="shared" si="11"/>
        <v>内部装修</v>
      </c>
      <c r="R43" s="1572" t="s">
        <v>8</v>
      </c>
      <c r="S43" s="1573">
        <f t="shared" si="12"/>
        <v>100</v>
      </c>
      <c r="T43" s="1572" t="s">
        <v>8</v>
      </c>
      <c r="U43" s="1573">
        <f t="shared" si="13"/>
        <v>100</v>
      </c>
      <c r="V43" s="1572" t="s">
        <v>8</v>
      </c>
      <c r="W43" s="1573">
        <f t="shared" si="14"/>
        <v>100</v>
      </c>
      <c r="X43" s="1566"/>
      <c r="Y43" s="3370"/>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70"/>
      <c r="Q44" s="1571" t="str">
        <f t="shared" si="11"/>
        <v>内部装修维护情况</v>
      </c>
      <c r="R44" s="1572" t="s">
        <v>8</v>
      </c>
      <c r="S44" s="1573">
        <f t="shared" si="12"/>
        <v>100</v>
      </c>
      <c r="T44" s="1572" t="s">
        <v>8</v>
      </c>
      <c r="U44" s="1573">
        <f t="shared" si="13"/>
        <v>100</v>
      </c>
      <c r="V44" s="1572" t="s">
        <v>8</v>
      </c>
      <c r="W44" s="1573">
        <f t="shared" si="14"/>
        <v>100</v>
      </c>
      <c r="X44" s="1566"/>
      <c r="Y44" s="3370"/>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70"/>
      <c r="Q45" s="1150">
        <f t="shared" si="11"/>
        <v>111</v>
      </c>
      <c r="R45" s="1567" t="s">
        <v>8</v>
      </c>
      <c r="S45" s="1568">
        <f t="shared" si="12"/>
        <v>100</v>
      </c>
      <c r="T45" s="1567" t="s">
        <v>8</v>
      </c>
      <c r="U45" s="1568">
        <f t="shared" si="13"/>
        <v>100</v>
      </c>
      <c r="V45" s="1567" t="s">
        <v>8</v>
      </c>
      <c r="W45" s="1568">
        <f t="shared" si="14"/>
        <v>100</v>
      </c>
      <c r="X45" s="1569"/>
      <c r="Y45" s="3370"/>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70"/>
      <c r="Q46" s="1571">
        <f t="shared" si="11"/>
        <v>111</v>
      </c>
      <c r="R46" s="1572" t="s">
        <v>8</v>
      </c>
      <c r="S46" s="1573">
        <f t="shared" si="12"/>
        <v>100</v>
      </c>
      <c r="T46" s="1572" t="s">
        <v>8</v>
      </c>
      <c r="U46" s="1573">
        <f t="shared" si="13"/>
        <v>100</v>
      </c>
      <c r="V46" s="1572" t="s">
        <v>8</v>
      </c>
      <c r="W46" s="1573">
        <f t="shared" si="14"/>
        <v>100</v>
      </c>
      <c r="X46" s="1566"/>
      <c r="Y46" s="3370"/>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6"/>
      <c r="Q47" s="1571">
        <f t="shared" si="11"/>
        <v>111</v>
      </c>
      <c r="R47" s="1572" t="s">
        <v>8</v>
      </c>
      <c r="S47" s="1573">
        <f t="shared" si="12"/>
        <v>100</v>
      </c>
      <c r="T47" s="1572" t="s">
        <v>8</v>
      </c>
      <c r="U47" s="1573">
        <f t="shared" si="13"/>
        <v>100</v>
      </c>
      <c r="V47" s="1572" t="s">
        <v>8</v>
      </c>
      <c r="W47" s="1573">
        <f t="shared" si="14"/>
        <v>100</v>
      </c>
      <c r="X47" s="1566"/>
      <c r="Y47" s="3476"/>
      <c r="Z47" s="1574">
        <f t="shared" si="15"/>
        <v>111</v>
      </c>
      <c r="AA47" s="1575">
        <f t="shared" si="3"/>
        <v>1</v>
      </c>
      <c r="AB47" s="1575">
        <f t="shared" si="4"/>
        <v>1</v>
      </c>
      <c r="AC47" s="1575">
        <f t="shared" si="5"/>
        <v>1</v>
      </c>
    </row>
    <row r="48" spans="1:29" ht="15">
      <c r="A48" s="607" t="s">
        <v>736</v>
      </c>
      <c r="B48" s="887"/>
      <c r="C48" s="2651" t="s">
        <v>1</v>
      </c>
      <c r="D48" s="2652"/>
      <c r="E48" s="2653"/>
      <c r="F48" s="2654"/>
      <c r="G48" s="2655"/>
      <c r="H48" s="2656"/>
      <c r="I48" s="2653"/>
      <c r="J48" s="2656"/>
      <c r="K48" s="1610"/>
      <c r="L48" s="2144"/>
      <c r="M48" s="2134"/>
      <c r="N48" s="2134"/>
      <c r="O48" s="2134"/>
      <c r="P48" s="3362" t="str">
        <f>A48</f>
        <v>成交单价（元/平方米）</v>
      </c>
      <c r="Q48" s="3364"/>
      <c r="R48" s="3475">
        <f>E48</f>
        <v>0</v>
      </c>
      <c r="S48" s="3475"/>
      <c r="T48" s="3475">
        <f>G48</f>
        <v>0</v>
      </c>
      <c r="U48" s="3475"/>
      <c r="V48" s="3475">
        <f>I48</f>
        <v>0</v>
      </c>
      <c r="W48" s="3475"/>
      <c r="X48" s="1558"/>
      <c r="Y48" s="1580"/>
      <c r="Z48" s="1558"/>
      <c r="AA48" s="1558"/>
      <c r="AB48" s="1558"/>
      <c r="AC48" s="1558"/>
    </row>
    <row r="49" spans="1:29" ht="15.75" thickBot="1">
      <c r="A49" s="615" t="s">
        <v>2761</v>
      </c>
      <c r="B49" s="888"/>
      <c r="C49" s="2657" t="e">
        <f>R50</f>
        <v>#DIV/0!</v>
      </c>
      <c r="D49" s="2658"/>
      <c r="E49" s="2659" t="e">
        <f>R49</f>
        <v>#DIV/0!</v>
      </c>
      <c r="F49" s="2659"/>
      <c r="G49" s="2657" t="e">
        <f>T49</f>
        <v>#DIV/0!</v>
      </c>
      <c r="H49" s="2658"/>
      <c r="I49" s="2659" t="e">
        <f>V49</f>
        <v>#DIV/0!</v>
      </c>
      <c r="J49" s="2658"/>
      <c r="K49" s="1611"/>
      <c r="L49" s="2144"/>
      <c r="M49" s="2134"/>
      <c r="N49" s="2134"/>
      <c r="O49" s="2134"/>
      <c r="P49" s="3362" t="str">
        <f>A49</f>
        <v>比较价格（元/平方米）</v>
      </c>
      <c r="Q49" s="3364"/>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58"/>
      <c r="Y49" s="1558"/>
      <c r="Z49" s="1558"/>
      <c r="AA49" s="1558"/>
      <c r="AB49" s="1558"/>
      <c r="AC49" s="1558"/>
    </row>
    <row r="50" spans="1:29" ht="15.75" thickBot="1">
      <c r="A50" s="621" t="s">
        <v>2928</v>
      </c>
      <c r="B50" s="622"/>
      <c r="C50" s="2660" t="e">
        <f>R50</f>
        <v>#DIV/0!</v>
      </c>
      <c r="D50" s="2660"/>
      <c r="E50" s="2660"/>
      <c r="F50" s="2660"/>
      <c r="G50" s="2660"/>
      <c r="H50" s="2660"/>
      <c r="I50" s="2660"/>
      <c r="J50" s="2660"/>
      <c r="K50" s="1612"/>
      <c r="L50" s="2144"/>
      <c r="M50" s="2134"/>
      <c r="N50" s="2134"/>
      <c r="O50" s="2134"/>
      <c r="P50" s="3480" t="str">
        <f>A50</f>
        <v>估价对象XX用房的比较价格（楼面单价，元/平方米）</v>
      </c>
      <c r="Q50" s="3362"/>
      <c r="R50" s="3474" t="e">
        <f>IF(F1="售价",ROUND(AVERAGE(R49:V49),0),ROUND(AVERAGE(R49:V49),1))</f>
        <v>#DIV/0!</v>
      </c>
      <c r="S50" s="3474"/>
      <c r="T50" s="3474"/>
      <c r="U50" s="3474"/>
      <c r="V50" s="3474"/>
      <c r="W50" s="3474"/>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376" t="s">
        <v>522</v>
      </c>
      <c r="D4" s="3377"/>
      <c r="E4" s="3378" t="s">
        <v>523</v>
      </c>
      <c r="F4" s="3379"/>
      <c r="G4" s="3376" t="s">
        <v>524</v>
      </c>
      <c r="H4" s="3377"/>
      <c r="I4" s="3376" t="s">
        <v>525</v>
      </c>
      <c r="J4" s="3377"/>
      <c r="K4" s="514" t="s">
        <v>526</v>
      </c>
      <c r="L4" s="2133"/>
      <c r="M4" s="2134"/>
      <c r="N4" s="2134"/>
      <c r="O4" s="2134"/>
      <c r="P4" s="3380" t="s">
        <v>527</v>
      </c>
      <c r="Q4" s="3381"/>
      <c r="R4" s="3386" t="s">
        <v>523</v>
      </c>
      <c r="S4" s="3387"/>
      <c r="T4" s="3386" t="s">
        <v>524</v>
      </c>
      <c r="U4" s="3387"/>
      <c r="V4" s="3366" t="s">
        <v>525</v>
      </c>
      <c r="W4" s="3366"/>
      <c r="X4" s="1566"/>
      <c r="Y4" s="3386" t="s">
        <v>527</v>
      </c>
      <c r="Z4" s="3387"/>
      <c r="AA4" s="3373" t="s">
        <v>523</v>
      </c>
      <c r="AB4" s="3374" t="s">
        <v>524</v>
      </c>
      <c r="AC4" s="3373" t="s">
        <v>525</v>
      </c>
    </row>
    <row r="5" spans="1:29" ht="15">
      <c r="A5" s="515"/>
      <c r="B5" s="516"/>
      <c r="C5" s="3407" t="s">
        <v>2922</v>
      </c>
      <c r="D5" s="3395"/>
      <c r="E5" s="3473" t="s">
        <v>2923</v>
      </c>
      <c r="F5" s="3393"/>
      <c r="G5" s="3407" t="s">
        <v>2924</v>
      </c>
      <c r="H5" s="3395"/>
      <c r="I5" s="3407" t="s">
        <v>2925</v>
      </c>
      <c r="J5" s="3395"/>
      <c r="K5" s="514"/>
      <c r="L5" s="2133"/>
      <c r="M5" s="2134"/>
      <c r="N5" s="2134"/>
      <c r="O5" s="2134"/>
      <c r="P5" s="3382"/>
      <c r="Q5" s="3383"/>
      <c r="R5" s="3388"/>
      <c r="S5" s="3389"/>
      <c r="T5" s="3388"/>
      <c r="U5" s="3389"/>
      <c r="V5" s="3366"/>
      <c r="W5" s="3366"/>
      <c r="X5" s="1566"/>
      <c r="Y5" s="3388"/>
      <c r="Z5" s="3389"/>
      <c r="AA5" s="3374"/>
      <c r="AB5" s="3374"/>
      <c r="AC5" s="3374"/>
    </row>
    <row r="6" spans="1:29" ht="15.75" thickBot="1">
      <c r="A6" s="517"/>
      <c r="B6" s="518"/>
      <c r="C6" s="3396" t="s">
        <v>2926</v>
      </c>
      <c r="D6" s="3397"/>
      <c r="E6" s="3400" t="s">
        <v>2926</v>
      </c>
      <c r="F6" s="3401"/>
      <c r="G6" s="3396" t="s">
        <v>2926</v>
      </c>
      <c r="H6" s="3397"/>
      <c r="I6" s="3396" t="s">
        <v>2926</v>
      </c>
      <c r="J6" s="3397"/>
      <c r="K6" s="514" t="s">
        <v>528</v>
      </c>
      <c r="L6" s="2133"/>
      <c r="M6" s="2134"/>
      <c r="N6" s="2134"/>
      <c r="O6" s="2134"/>
      <c r="P6" s="3384"/>
      <c r="Q6" s="3385"/>
      <c r="R6" s="3388"/>
      <c r="S6" s="3389"/>
      <c r="T6" s="3390"/>
      <c r="U6" s="3391"/>
      <c r="V6" s="3366"/>
      <c r="W6" s="3366"/>
      <c r="X6" s="1566"/>
      <c r="Y6" s="3390"/>
      <c r="Z6" s="3391"/>
      <c r="AA6" s="3375"/>
      <c r="AB6" s="3375"/>
      <c r="AC6" s="3375"/>
    </row>
    <row r="7" spans="1:29" s="1219" customFormat="1" ht="15.75" thickBot="1">
      <c r="A7" s="2936"/>
      <c r="B7" s="2943" t="s">
        <v>529</v>
      </c>
      <c r="C7" s="519">
        <f>'数据-取费表'!B2</f>
        <v>43250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1" t="s">
        <v>530</v>
      </c>
      <c r="Q7" s="3399"/>
      <c r="R7" s="1567" t="s">
        <v>8</v>
      </c>
      <c r="S7" s="1568">
        <f t="shared" ref="S7:S15" si="0">F7</f>
        <v>0</v>
      </c>
      <c r="T7" s="1567" t="s">
        <v>8</v>
      </c>
      <c r="U7" s="1568">
        <f t="shared" ref="U7:U15" si="1">H7</f>
        <v>0</v>
      </c>
      <c r="V7" s="1567" t="s">
        <v>8</v>
      </c>
      <c r="W7" s="1568">
        <f t="shared" ref="W7:W15" si="2">J7</f>
        <v>0</v>
      </c>
      <c r="X7" s="1569"/>
      <c r="Y7" s="3371" t="s">
        <v>530</v>
      </c>
      <c r="Z7" s="3372"/>
      <c r="AA7" s="1570" t="e">
        <f>D7/F7</f>
        <v>#DIV/0!</v>
      </c>
      <c r="AB7" s="1570" t="e">
        <f>D7/H7</f>
        <v>#DIV/0!</v>
      </c>
      <c r="AC7" s="1570" t="e">
        <f>D7/J7</f>
        <v>#DIV/0!</v>
      </c>
    </row>
    <row r="8" spans="1:29" s="1219"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1" t="s">
        <v>533</v>
      </c>
      <c r="Q8" s="3372"/>
      <c r="R8" s="1567" t="s">
        <v>8</v>
      </c>
      <c r="S8" s="1568">
        <f t="shared" si="0"/>
        <v>0</v>
      </c>
      <c r="T8" s="1567" t="s">
        <v>8</v>
      </c>
      <c r="U8" s="1568">
        <f t="shared" si="1"/>
        <v>0</v>
      </c>
      <c r="V8" s="1567" t="s">
        <v>8</v>
      </c>
      <c r="W8" s="1568">
        <f t="shared" si="2"/>
        <v>0</v>
      </c>
      <c r="X8" s="1569"/>
      <c r="Y8" s="3371" t="s">
        <v>533</v>
      </c>
      <c r="Z8" s="3372"/>
      <c r="AA8" s="1570" t="e">
        <f t="shared" ref="AA8:AA40" si="3">D8/F8</f>
        <v>#DIV/0!</v>
      </c>
      <c r="AB8" s="1570" t="e">
        <f t="shared" ref="AB8:AB40" si="4">D8/H8</f>
        <v>#DIV/0!</v>
      </c>
      <c r="AC8" s="1570" t="e">
        <f t="shared" ref="AC8:AC40" si="5">D8/J8</f>
        <v>#DIV/0!</v>
      </c>
    </row>
    <row r="9" spans="1:29" s="1219" customFormat="1" ht="15">
      <c r="A9" s="2938"/>
      <c r="B9" s="2945"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4" t="s">
        <v>535</v>
      </c>
      <c r="Q9" s="1150" t="str">
        <f t="shared" ref="Q9:Q15" si="6">B9</f>
        <v>用途</v>
      </c>
      <c r="R9" s="1567" t="s">
        <v>8</v>
      </c>
      <c r="S9" s="1568">
        <f t="shared" si="0"/>
        <v>100</v>
      </c>
      <c r="T9" s="1567" t="s">
        <v>8</v>
      </c>
      <c r="U9" s="1568">
        <f t="shared" si="1"/>
        <v>100</v>
      </c>
      <c r="V9" s="1567" t="s">
        <v>8</v>
      </c>
      <c r="W9" s="1568">
        <f t="shared" si="2"/>
        <v>100</v>
      </c>
      <c r="X9" s="1569"/>
      <c r="Y9" s="3329" t="s">
        <v>536</v>
      </c>
      <c r="Z9" s="1149" t="str">
        <f t="shared" ref="Z9:Z15" si="7">Q9</f>
        <v>用途</v>
      </c>
      <c r="AA9" s="1570">
        <f t="shared" si="3"/>
        <v>1</v>
      </c>
      <c r="AB9" s="1570">
        <f t="shared" si="4"/>
        <v>1</v>
      </c>
      <c r="AC9" s="1570">
        <f t="shared" si="5"/>
        <v>1</v>
      </c>
    </row>
    <row r="10" spans="1:29" s="1337" customFormat="1" ht="27">
      <c r="A10" s="2939"/>
      <c r="B10" s="2944"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29"/>
      <c r="Z10" s="1149" t="str">
        <f t="shared" si="7"/>
        <v>土地使用年限（年）</v>
      </c>
      <c r="AA10" s="1570">
        <f t="shared" si="3"/>
        <v>1</v>
      </c>
      <c r="AB10" s="1570">
        <f t="shared" si="4"/>
        <v>1</v>
      </c>
      <c r="AC10" s="1570">
        <f t="shared" si="5"/>
        <v>1</v>
      </c>
    </row>
    <row r="11" spans="1:29" ht="15">
      <c r="A11" s="2940"/>
      <c r="B11" s="2944"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4"/>
      <c r="Q11" s="1150" t="str">
        <f t="shared" si="6"/>
        <v>容积率</v>
      </c>
      <c r="R11" s="1567" t="s">
        <v>8</v>
      </c>
      <c r="S11" s="1568" t="e">
        <f t="shared" si="0"/>
        <v>#N/A</v>
      </c>
      <c r="T11" s="1567" t="s">
        <v>8</v>
      </c>
      <c r="U11" s="1568" t="e">
        <f t="shared" si="1"/>
        <v>#N/A</v>
      </c>
      <c r="V11" s="1567" t="s">
        <v>8</v>
      </c>
      <c r="W11" s="1568" t="e">
        <f t="shared" si="2"/>
        <v>#N/A</v>
      </c>
      <c r="X11" s="1569"/>
      <c r="Y11" s="3329"/>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4"/>
      <c r="Q12" s="1150">
        <f t="shared" si="6"/>
        <v>111</v>
      </c>
      <c r="R12" s="1567" t="s">
        <v>8</v>
      </c>
      <c r="S12" s="1568">
        <f t="shared" si="0"/>
        <v>100</v>
      </c>
      <c r="T12" s="1567" t="s">
        <v>8</v>
      </c>
      <c r="U12" s="1568">
        <f t="shared" si="1"/>
        <v>100</v>
      </c>
      <c r="V12" s="1567" t="s">
        <v>8</v>
      </c>
      <c r="W12" s="1568">
        <f t="shared" si="2"/>
        <v>100</v>
      </c>
      <c r="X12" s="1569"/>
      <c r="Y12" s="3329"/>
      <c r="Z12" s="1149">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4"/>
      <c r="Q13" s="1150">
        <f t="shared" si="6"/>
        <v>111</v>
      </c>
      <c r="R13" s="1567" t="s">
        <v>8</v>
      </c>
      <c r="S13" s="1568">
        <f t="shared" si="0"/>
        <v>100</v>
      </c>
      <c r="T13" s="1567" t="s">
        <v>8</v>
      </c>
      <c r="U13" s="1568">
        <f t="shared" si="1"/>
        <v>100</v>
      </c>
      <c r="V13" s="1567" t="s">
        <v>8</v>
      </c>
      <c r="W13" s="1568">
        <f t="shared" si="2"/>
        <v>100</v>
      </c>
      <c r="X13" s="1569"/>
      <c r="Y13" s="3329"/>
      <c r="Z13" s="1149">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4"/>
      <c r="Q14" s="1150">
        <f t="shared" si="6"/>
        <v>111</v>
      </c>
      <c r="R14" s="1567" t="s">
        <v>8</v>
      </c>
      <c r="S14" s="1568">
        <f t="shared" si="0"/>
        <v>100</v>
      </c>
      <c r="T14" s="1567" t="s">
        <v>8</v>
      </c>
      <c r="U14" s="1568">
        <f t="shared" si="1"/>
        <v>100</v>
      </c>
      <c r="V14" s="1567" t="s">
        <v>8</v>
      </c>
      <c r="W14" s="1568">
        <f t="shared" si="2"/>
        <v>100</v>
      </c>
      <c r="X14" s="1569"/>
      <c r="Y14" s="3329"/>
      <c r="Z14" s="1149">
        <f t="shared" si="7"/>
        <v>111</v>
      </c>
      <c r="AA14" s="1570">
        <f t="shared" si="3"/>
        <v>1</v>
      </c>
      <c r="AB14" s="1570">
        <f t="shared" si="4"/>
        <v>1</v>
      </c>
      <c r="AC14" s="1570">
        <f t="shared" si="5"/>
        <v>1</v>
      </c>
    </row>
    <row r="15" spans="1:29" ht="15">
      <c r="A15" s="2934"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67" t="s">
        <v>540</v>
      </c>
      <c r="Q15" s="1571" t="str">
        <f t="shared" si="6"/>
        <v>产业集聚程度</v>
      </c>
      <c r="R15" s="1572" t="s">
        <v>8</v>
      </c>
      <c r="S15" s="1573">
        <f t="shared" si="0"/>
        <v>100</v>
      </c>
      <c r="T15" s="1572" t="s">
        <v>8</v>
      </c>
      <c r="U15" s="1573">
        <f t="shared" si="1"/>
        <v>100</v>
      </c>
      <c r="V15" s="1572" t="s">
        <v>8</v>
      </c>
      <c r="W15" s="1573">
        <f t="shared" si="2"/>
        <v>100</v>
      </c>
      <c r="X15" s="1566"/>
      <c r="Y15" s="3367"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68"/>
      <c r="Q16" s="1571"/>
      <c r="R16" s="1572"/>
      <c r="S16" s="1573"/>
      <c r="T16" s="1572"/>
      <c r="U16" s="1573"/>
      <c r="V16" s="1572"/>
      <c r="W16" s="1573"/>
      <c r="X16" s="1566"/>
      <c r="Y16" s="3368"/>
      <c r="Z16" s="1574"/>
      <c r="AA16" s="1575">
        <v>1</v>
      </c>
      <c r="AB16" s="1575">
        <v>1</v>
      </c>
      <c r="AC16" s="1575">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68"/>
      <c r="Q17" s="1571" t="str">
        <f>B17</f>
        <v>交通便捷度</v>
      </c>
      <c r="R17" s="1572" t="s">
        <v>8</v>
      </c>
      <c r="S17" s="1573">
        <f>F17</f>
        <v>100</v>
      </c>
      <c r="T17" s="1572" t="s">
        <v>8</v>
      </c>
      <c r="U17" s="1573">
        <f>H17</f>
        <v>100</v>
      </c>
      <c r="V17" s="1572" t="s">
        <v>8</v>
      </c>
      <c r="W17" s="1573">
        <f>J17</f>
        <v>100</v>
      </c>
      <c r="X17" s="1566"/>
      <c r="Y17" s="336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68"/>
      <c r="Q18" s="1571"/>
      <c r="R18" s="1572"/>
      <c r="S18" s="1573"/>
      <c r="T18" s="1572"/>
      <c r="U18" s="1573"/>
      <c r="V18" s="1572"/>
      <c r="W18" s="1573"/>
      <c r="X18" s="1566"/>
      <c r="Y18" s="3368"/>
      <c r="Z18" s="1574"/>
      <c r="AA18" s="1575">
        <v>1</v>
      </c>
      <c r="AB18" s="1575">
        <v>1</v>
      </c>
      <c r="AC18" s="1575">
        <v>1</v>
      </c>
    </row>
    <row r="19" spans="1:29" ht="15">
      <c r="A19" s="532"/>
      <c r="B19" s="2627"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68"/>
      <c r="Q19" s="1571" t="str">
        <f>B19</f>
        <v>公共配套设施</v>
      </c>
      <c r="R19" s="1572" t="s">
        <v>8</v>
      </c>
      <c r="S19" s="1573">
        <f>F19</f>
        <v>100</v>
      </c>
      <c r="T19" s="1572" t="s">
        <v>8</v>
      </c>
      <c r="U19" s="1573">
        <f>H19</f>
        <v>100</v>
      </c>
      <c r="V19" s="1572" t="s">
        <v>8</v>
      </c>
      <c r="W19" s="1573">
        <f>J19</f>
        <v>100</v>
      </c>
      <c r="X19" s="1566"/>
      <c r="Y19" s="336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68"/>
      <c r="Q20" s="1571"/>
      <c r="R20" s="1572"/>
      <c r="S20" s="1573"/>
      <c r="T20" s="1572"/>
      <c r="U20" s="1573"/>
      <c r="V20" s="1572"/>
      <c r="W20" s="1573"/>
      <c r="X20" s="1566"/>
      <c r="Y20" s="3368"/>
      <c r="Z20" s="1574"/>
      <c r="AA20" s="1575">
        <v>1</v>
      </c>
      <c r="AB20" s="1575">
        <v>1</v>
      </c>
      <c r="AC20" s="1575">
        <v>1</v>
      </c>
    </row>
    <row r="21" spans="1:29" ht="15">
      <c r="A21" s="532"/>
      <c r="B21" s="2615"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68"/>
      <c r="Q21" s="2603" t="str">
        <f>B21</f>
        <v>基础设施水平</v>
      </c>
      <c r="R21" s="1572" t="s">
        <v>8</v>
      </c>
      <c r="S21" s="1573">
        <f>F21</f>
        <v>100</v>
      </c>
      <c r="T21" s="1572" t="s">
        <v>8</v>
      </c>
      <c r="U21" s="1573">
        <f>H21</f>
        <v>100</v>
      </c>
      <c r="V21" s="1572" t="s">
        <v>8</v>
      </c>
      <c r="W21" s="1573">
        <f>J21</f>
        <v>100</v>
      </c>
      <c r="X21" s="2605"/>
      <c r="Y21" s="3368"/>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68"/>
      <c r="Q22" s="2603"/>
      <c r="R22" s="1572"/>
      <c r="S22" s="1573"/>
      <c r="T22" s="1572"/>
      <c r="U22" s="1573"/>
      <c r="V22" s="1572"/>
      <c r="W22" s="1573"/>
      <c r="X22" s="2605"/>
      <c r="Y22" s="3368"/>
      <c r="Z22" s="2604"/>
      <c r="AA22" s="1575">
        <v>1</v>
      </c>
      <c r="AB22" s="1575">
        <v>1</v>
      </c>
      <c r="AC22" s="1575">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68"/>
      <c r="Q23" s="1571" t="str">
        <f>B23</f>
        <v>环境质量</v>
      </c>
      <c r="R23" s="1572" t="s">
        <v>8</v>
      </c>
      <c r="S23" s="1573">
        <f>F23</f>
        <v>100</v>
      </c>
      <c r="T23" s="1572" t="s">
        <v>8</v>
      </c>
      <c r="U23" s="1573">
        <f>H23</f>
        <v>100</v>
      </c>
      <c r="V23" s="1572" t="s">
        <v>8</v>
      </c>
      <c r="W23" s="1573">
        <f>J23</f>
        <v>100</v>
      </c>
      <c r="X23" s="1566"/>
      <c r="Y23" s="3368"/>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68"/>
      <c r="Q24" s="1571"/>
      <c r="R24" s="1572"/>
      <c r="S24" s="1573"/>
      <c r="T24" s="1572"/>
      <c r="U24" s="1573"/>
      <c r="V24" s="1572"/>
      <c r="W24" s="1573"/>
      <c r="X24" s="1566"/>
      <c r="Y24" s="3368"/>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68"/>
      <c r="Q25" s="1571">
        <f>B25</f>
        <v>111</v>
      </c>
      <c r="R25" s="1572" t="s">
        <v>8</v>
      </c>
      <c r="S25" s="1573">
        <f>F25</f>
        <v>100</v>
      </c>
      <c r="T25" s="1572" t="s">
        <v>8</v>
      </c>
      <c r="U25" s="1573">
        <f>H25</f>
        <v>100</v>
      </c>
      <c r="V25" s="1572" t="s">
        <v>8</v>
      </c>
      <c r="W25" s="1573">
        <f>J25</f>
        <v>100</v>
      </c>
      <c r="X25" s="1566"/>
      <c r="Y25" s="3368"/>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68"/>
      <c r="Q26" s="1571">
        <f t="shared" ref="Q26:Q40" si="11">B26</f>
        <v>111</v>
      </c>
      <c r="R26" s="1572" t="s">
        <v>8</v>
      </c>
      <c r="S26" s="1573">
        <f>F26</f>
        <v>100</v>
      </c>
      <c r="T26" s="1572" t="s">
        <v>8</v>
      </c>
      <c r="U26" s="1573">
        <f>H26</f>
        <v>100</v>
      </c>
      <c r="V26" s="1572" t="s">
        <v>8</v>
      </c>
      <c r="W26" s="1573">
        <f>J26</f>
        <v>100</v>
      </c>
      <c r="X26" s="1566"/>
      <c r="Y26" s="3368"/>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68"/>
      <c r="Q27" s="1150">
        <f t="shared" si="11"/>
        <v>111</v>
      </c>
      <c r="R27" s="1567" t="s">
        <v>8</v>
      </c>
      <c r="S27" s="1568">
        <f>F27</f>
        <v>100</v>
      </c>
      <c r="T27" s="1567" t="s">
        <v>8</v>
      </c>
      <c r="U27" s="1568">
        <f>H27</f>
        <v>100</v>
      </c>
      <c r="V27" s="1567" t="s">
        <v>8</v>
      </c>
      <c r="W27" s="1568">
        <f>J27</f>
        <v>100</v>
      </c>
      <c r="X27" s="1569"/>
      <c r="Y27" s="3368"/>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68"/>
      <c r="Q28" s="1571">
        <f t="shared" si="11"/>
        <v>111</v>
      </c>
      <c r="R28" s="1572" t="s">
        <v>8</v>
      </c>
      <c r="S28" s="1573">
        <f t="shared" ref="S28:S40" si="12">F28</f>
        <v>100</v>
      </c>
      <c r="T28" s="1572" t="s">
        <v>8</v>
      </c>
      <c r="U28" s="1573">
        <f t="shared" ref="U28:U40" si="13">H28</f>
        <v>100</v>
      </c>
      <c r="V28" s="1572" t="s">
        <v>8</v>
      </c>
      <c r="W28" s="1573">
        <f t="shared" ref="W28:W40" si="14">J28</f>
        <v>100</v>
      </c>
      <c r="X28" s="1566"/>
      <c r="Y28" s="3368"/>
      <c r="Z28" s="1574">
        <f t="shared" ref="Z28:Z40" si="15">Q28</f>
        <v>111</v>
      </c>
      <c r="AA28" s="1575">
        <f t="shared" si="3"/>
        <v>1</v>
      </c>
      <c r="AB28" s="1575">
        <f t="shared" si="4"/>
        <v>1</v>
      </c>
      <c r="AC28" s="1575">
        <f t="shared" si="5"/>
        <v>1</v>
      </c>
    </row>
    <row r="29" spans="1:29" ht="15">
      <c r="A29" s="2931"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69" t="s">
        <v>550</v>
      </c>
      <c r="Q29" s="1571" t="str">
        <f t="shared" si="11"/>
        <v>建筑类型</v>
      </c>
      <c r="R29" s="1572" t="s">
        <v>8</v>
      </c>
      <c r="S29" s="1573">
        <f t="shared" si="12"/>
        <v>100</v>
      </c>
      <c r="T29" s="1572" t="s">
        <v>8</v>
      </c>
      <c r="U29" s="1573">
        <f t="shared" si="13"/>
        <v>100</v>
      </c>
      <c r="V29" s="1572" t="s">
        <v>8</v>
      </c>
      <c r="W29" s="1573">
        <f t="shared" si="14"/>
        <v>100</v>
      </c>
      <c r="X29" s="1566"/>
      <c r="Y29" s="3370" t="s">
        <v>550</v>
      </c>
      <c r="Z29" s="1574" t="str">
        <f t="shared" si="15"/>
        <v>建筑类型</v>
      </c>
      <c r="AA29" s="1575">
        <f t="shared" si="3"/>
        <v>1</v>
      </c>
      <c r="AB29" s="1575">
        <f t="shared" si="4"/>
        <v>1</v>
      </c>
      <c r="AC29" s="1575">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70"/>
      <c r="Q30" s="1604" t="str">
        <f t="shared" si="11"/>
        <v>项目建筑规模</v>
      </c>
      <c r="R30" s="1576" t="s">
        <v>8</v>
      </c>
      <c r="S30" s="1577" t="e">
        <f t="shared" si="12"/>
        <v>#N/A</v>
      </c>
      <c r="T30" s="1576" t="s">
        <v>8</v>
      </c>
      <c r="U30" s="1577" t="e">
        <f t="shared" si="13"/>
        <v>#N/A</v>
      </c>
      <c r="V30" s="1576" t="s">
        <v>8</v>
      </c>
      <c r="W30" s="1577" t="e">
        <f t="shared" si="14"/>
        <v>#N/A</v>
      </c>
      <c r="X30" s="1578"/>
      <c r="Y30" s="3370"/>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70"/>
      <c r="Q31" s="1571" t="str">
        <f t="shared" si="11"/>
        <v>建筑结构</v>
      </c>
      <c r="R31" s="1572" t="s">
        <v>8</v>
      </c>
      <c r="S31" s="1573">
        <f t="shared" si="12"/>
        <v>100</v>
      </c>
      <c r="T31" s="1572" t="s">
        <v>8</v>
      </c>
      <c r="U31" s="1573">
        <f t="shared" si="13"/>
        <v>100</v>
      </c>
      <c r="V31" s="1572" t="s">
        <v>8</v>
      </c>
      <c r="W31" s="1573">
        <f t="shared" si="14"/>
        <v>100</v>
      </c>
      <c r="X31" s="1566"/>
      <c r="Y31" s="3370"/>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70"/>
      <c r="Q32" s="1571" t="str">
        <f t="shared" si="11"/>
        <v>公共部分装修</v>
      </c>
      <c r="R32" s="1572" t="s">
        <v>8</v>
      </c>
      <c r="S32" s="1573">
        <f t="shared" si="12"/>
        <v>100</v>
      </c>
      <c r="T32" s="1572" t="s">
        <v>8</v>
      </c>
      <c r="U32" s="1573">
        <f t="shared" si="13"/>
        <v>100</v>
      </c>
      <c r="V32" s="1572" t="s">
        <v>8</v>
      </c>
      <c r="W32" s="1573">
        <f t="shared" si="14"/>
        <v>100</v>
      </c>
      <c r="X32" s="1566"/>
      <c r="Y32" s="3370"/>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70"/>
      <c r="Q33" s="1571" t="str">
        <f t="shared" si="11"/>
        <v>成新度</v>
      </c>
      <c r="R33" s="1572" t="s">
        <v>8</v>
      </c>
      <c r="S33" s="1573" t="e">
        <f t="shared" si="12"/>
        <v>#N/A</v>
      </c>
      <c r="T33" s="1572" t="s">
        <v>8</v>
      </c>
      <c r="U33" s="1573" t="e">
        <f t="shared" si="13"/>
        <v>#N/A</v>
      </c>
      <c r="V33" s="1572" t="s">
        <v>8</v>
      </c>
      <c r="W33" s="1573" t="e">
        <f t="shared" si="14"/>
        <v>#N/A</v>
      </c>
      <c r="X33" s="1566"/>
      <c r="Y33" s="3370"/>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70"/>
      <c r="Q34" s="1150" t="str">
        <f t="shared" si="11"/>
        <v>物业管理</v>
      </c>
      <c r="R34" s="1567" t="s">
        <v>8</v>
      </c>
      <c r="S34" s="1568">
        <f t="shared" si="12"/>
        <v>100</v>
      </c>
      <c r="T34" s="1567" t="s">
        <v>8</v>
      </c>
      <c r="U34" s="1568">
        <f t="shared" si="13"/>
        <v>100</v>
      </c>
      <c r="V34" s="1567" t="s">
        <v>8</v>
      </c>
      <c r="W34" s="1568">
        <f t="shared" si="14"/>
        <v>100</v>
      </c>
      <c r="X34" s="1569"/>
      <c r="Y34" s="3370"/>
      <c r="Z34" s="1149"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70" t="s">
        <v>550</v>
      </c>
      <c r="Q35" s="1571" t="str">
        <f t="shared" si="11"/>
        <v>市政基础设施</v>
      </c>
      <c r="R35" s="1572" t="s">
        <v>8</v>
      </c>
      <c r="S35" s="1573">
        <f t="shared" si="12"/>
        <v>100</v>
      </c>
      <c r="T35" s="1572" t="s">
        <v>8</v>
      </c>
      <c r="U35" s="1573">
        <f t="shared" si="13"/>
        <v>100</v>
      </c>
      <c r="V35" s="1572" t="s">
        <v>8</v>
      </c>
      <c r="W35" s="1573">
        <f t="shared" si="14"/>
        <v>100</v>
      </c>
      <c r="X35" s="1566"/>
      <c r="Y35" s="3370"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70"/>
      <c r="Q36" s="1571" t="str">
        <f t="shared" si="11"/>
        <v>内部装修</v>
      </c>
      <c r="R36" s="1572" t="s">
        <v>8</v>
      </c>
      <c r="S36" s="1573">
        <f t="shared" si="12"/>
        <v>100</v>
      </c>
      <c r="T36" s="1572" t="s">
        <v>8</v>
      </c>
      <c r="U36" s="1573">
        <f t="shared" si="13"/>
        <v>100</v>
      </c>
      <c r="V36" s="1572" t="s">
        <v>8</v>
      </c>
      <c r="W36" s="1573">
        <f t="shared" si="14"/>
        <v>100</v>
      </c>
      <c r="X36" s="1566"/>
      <c r="Y36" s="3370"/>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70"/>
      <c r="Q37" s="1571" t="str">
        <f t="shared" si="11"/>
        <v>内部装修状况</v>
      </c>
      <c r="R37" s="1572" t="s">
        <v>8</v>
      </c>
      <c r="S37" s="1573">
        <f t="shared" si="12"/>
        <v>100</v>
      </c>
      <c r="T37" s="1572" t="s">
        <v>8</v>
      </c>
      <c r="U37" s="1573">
        <f t="shared" si="13"/>
        <v>100</v>
      </c>
      <c r="V37" s="1572" t="s">
        <v>8</v>
      </c>
      <c r="W37" s="1573">
        <f t="shared" si="14"/>
        <v>100</v>
      </c>
      <c r="X37" s="1566"/>
      <c r="Y37" s="3370"/>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70"/>
      <c r="Q38" s="1604">
        <f t="shared" si="11"/>
        <v>111</v>
      </c>
      <c r="R38" s="1576" t="s">
        <v>8</v>
      </c>
      <c r="S38" s="1577">
        <f t="shared" si="12"/>
        <v>100</v>
      </c>
      <c r="T38" s="1576" t="s">
        <v>8</v>
      </c>
      <c r="U38" s="1577">
        <f t="shared" si="13"/>
        <v>100</v>
      </c>
      <c r="V38" s="1576" t="s">
        <v>8</v>
      </c>
      <c r="W38" s="1577">
        <f t="shared" si="14"/>
        <v>100</v>
      </c>
      <c r="X38" s="1578"/>
      <c r="Y38" s="3370"/>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70"/>
      <c r="Q39" s="1571">
        <f t="shared" si="11"/>
        <v>111</v>
      </c>
      <c r="R39" s="1572" t="s">
        <v>8</v>
      </c>
      <c r="S39" s="1573">
        <f t="shared" si="12"/>
        <v>100</v>
      </c>
      <c r="T39" s="1572" t="s">
        <v>8</v>
      </c>
      <c r="U39" s="1573">
        <f t="shared" si="13"/>
        <v>100</v>
      </c>
      <c r="V39" s="1572" t="s">
        <v>8</v>
      </c>
      <c r="W39" s="1573">
        <f t="shared" si="14"/>
        <v>100</v>
      </c>
      <c r="X39" s="1566"/>
      <c r="Y39" s="3370"/>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6"/>
      <c r="Q40" s="1571">
        <f t="shared" si="11"/>
        <v>111</v>
      </c>
      <c r="R40" s="1572" t="s">
        <v>8</v>
      </c>
      <c r="S40" s="1573">
        <f t="shared" si="12"/>
        <v>100</v>
      </c>
      <c r="T40" s="1572" t="s">
        <v>8</v>
      </c>
      <c r="U40" s="1573">
        <f t="shared" si="13"/>
        <v>100</v>
      </c>
      <c r="V40" s="1572" t="s">
        <v>8</v>
      </c>
      <c r="W40" s="1573">
        <f t="shared" si="14"/>
        <v>100</v>
      </c>
      <c r="X40" s="1566"/>
      <c r="Y40" s="3476"/>
      <c r="Z40" s="1574">
        <f t="shared" si="15"/>
        <v>111</v>
      </c>
      <c r="AA40" s="1575">
        <f t="shared" si="3"/>
        <v>1</v>
      </c>
      <c r="AB40" s="1575">
        <f t="shared" si="4"/>
        <v>1</v>
      </c>
      <c r="AC40" s="1575">
        <f t="shared" si="5"/>
        <v>1</v>
      </c>
    </row>
    <row r="41" spans="1:29" ht="15">
      <c r="A41" s="607" t="s">
        <v>736</v>
      </c>
      <c r="B41" s="887"/>
      <c r="C41" s="2651" t="s">
        <v>1</v>
      </c>
      <c r="D41" s="2652"/>
      <c r="E41" s="2653"/>
      <c r="F41" s="2654"/>
      <c r="G41" s="2655"/>
      <c r="H41" s="2656"/>
      <c r="I41" s="2653"/>
      <c r="J41" s="2656"/>
      <c r="K41" s="1610"/>
      <c r="L41" s="2144"/>
      <c r="M41" s="2145"/>
      <c r="N41" s="2134"/>
      <c r="O41" s="2145"/>
      <c r="P41" s="3364" t="str">
        <f>A41</f>
        <v>成交单价（元/平方米）</v>
      </c>
      <c r="Q41" s="3364"/>
      <c r="R41" s="3475">
        <f>E41</f>
        <v>0</v>
      </c>
      <c r="S41" s="3475"/>
      <c r="T41" s="3475">
        <f>G41</f>
        <v>0</v>
      </c>
      <c r="U41" s="3475"/>
      <c r="V41" s="3475">
        <f>I41</f>
        <v>0</v>
      </c>
      <c r="W41" s="3475"/>
      <c r="X41" s="1558"/>
      <c r="Y41" s="1580"/>
      <c r="Z41" s="1558"/>
      <c r="AA41" s="1558"/>
      <c r="AB41" s="1558"/>
      <c r="AC41" s="1558"/>
    </row>
    <row r="42" spans="1:29" ht="15.75" thickBot="1">
      <c r="A42" s="615" t="s">
        <v>2761</v>
      </c>
      <c r="B42" s="888"/>
      <c r="C42" s="2657" t="e">
        <f>R43</f>
        <v>#DIV/0!</v>
      </c>
      <c r="D42" s="2658"/>
      <c r="E42" s="2659" t="e">
        <f>R42</f>
        <v>#DIV/0!</v>
      </c>
      <c r="F42" s="2659"/>
      <c r="G42" s="2657" t="e">
        <f>T42</f>
        <v>#DIV/0!</v>
      </c>
      <c r="H42" s="2658"/>
      <c r="I42" s="2659" t="e">
        <f>V42</f>
        <v>#DIV/0!</v>
      </c>
      <c r="J42" s="2658"/>
      <c r="K42" s="1611"/>
      <c r="L42" s="2144"/>
      <c r="M42" s="2145"/>
      <c r="N42" s="2134"/>
      <c r="O42" s="2145"/>
      <c r="P42" s="3364" t="str">
        <f>A42</f>
        <v>比较价格（元/平方米）</v>
      </c>
      <c r="Q42" s="3364"/>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58"/>
      <c r="Y42" s="1558"/>
      <c r="Z42" s="1558"/>
      <c r="AA42" s="1558"/>
      <c r="AB42" s="1558"/>
      <c r="AC42" s="1558"/>
    </row>
    <row r="43" spans="1:29" ht="15.75" thickBot="1">
      <c r="A43" s="621" t="s">
        <v>2928</v>
      </c>
      <c r="B43" s="622"/>
      <c r="C43" s="2660" t="e">
        <f>R43</f>
        <v>#DIV/0!</v>
      </c>
      <c r="D43" s="2660"/>
      <c r="E43" s="2660"/>
      <c r="F43" s="2660"/>
      <c r="G43" s="2660"/>
      <c r="H43" s="2660"/>
      <c r="I43" s="2660"/>
      <c r="J43" s="2660"/>
      <c r="K43" s="1612"/>
      <c r="L43" s="2144"/>
      <c r="M43" s="2145"/>
      <c r="N43" s="2145"/>
      <c r="O43" s="2145"/>
      <c r="P43" s="3361" t="str">
        <f>A43</f>
        <v>估价对象XX用房的比较价格（楼面单价，元/平方米）</v>
      </c>
      <c r="Q43" s="3362"/>
      <c r="R43" s="3474" t="e">
        <f>IF(F1="售价",ROUND(AVERAGE(R42:V42),0),ROUND(AVERAGE(R42:V42),1))</f>
        <v>#DIV/0!</v>
      </c>
      <c r="S43" s="3474"/>
      <c r="T43" s="3474"/>
      <c r="U43" s="3474"/>
      <c r="V43" s="3474"/>
      <c r="W43" s="3474"/>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3"/>
      <c r="C1" s="504" t="s">
        <v>792</v>
      </c>
      <c r="D1" s="849"/>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76" t="s">
        <v>798</v>
      </c>
      <c r="D4" s="3377"/>
      <c r="E4" s="3376" t="s">
        <v>799</v>
      </c>
      <c r="F4" s="3377"/>
      <c r="G4" s="3376" t="s">
        <v>800</v>
      </c>
      <c r="H4" s="3377"/>
      <c r="I4" s="3376" t="s">
        <v>801</v>
      </c>
      <c r="J4" s="3377"/>
      <c r="K4" s="514" t="s">
        <v>802</v>
      </c>
      <c r="L4" s="2133"/>
      <c r="M4" s="2134"/>
      <c r="N4" s="2134"/>
      <c r="O4" s="2134"/>
      <c r="P4" s="3380" t="s">
        <v>803</v>
      </c>
      <c r="Q4" s="3381"/>
      <c r="R4" s="3386" t="s">
        <v>799</v>
      </c>
      <c r="S4" s="3387"/>
      <c r="T4" s="3386" t="s">
        <v>800</v>
      </c>
      <c r="U4" s="3387"/>
      <c r="V4" s="3366" t="s">
        <v>801</v>
      </c>
      <c r="W4" s="3366"/>
      <c r="X4" s="1566"/>
      <c r="Y4" s="3386" t="s">
        <v>803</v>
      </c>
      <c r="Z4" s="3387"/>
      <c r="AA4" s="3373" t="s">
        <v>799</v>
      </c>
      <c r="AB4" s="3374" t="s">
        <v>800</v>
      </c>
      <c r="AC4" s="3373" t="s">
        <v>801</v>
      </c>
    </row>
    <row r="5" spans="1:29" ht="15">
      <c r="A5" s="515"/>
      <c r="B5" s="516"/>
      <c r="C5" s="3407" t="s">
        <v>2922</v>
      </c>
      <c r="D5" s="3395"/>
      <c r="E5" s="3407" t="s">
        <v>2923</v>
      </c>
      <c r="F5" s="3395"/>
      <c r="G5" s="3407" t="s">
        <v>2924</v>
      </c>
      <c r="H5" s="3395"/>
      <c r="I5" s="3407" t="s">
        <v>2925</v>
      </c>
      <c r="J5" s="3395"/>
      <c r="K5" s="514"/>
      <c r="L5" s="2133"/>
      <c r="M5" s="2134"/>
      <c r="N5" s="2134"/>
      <c r="O5" s="2134"/>
      <c r="P5" s="3382"/>
      <c r="Q5" s="3383"/>
      <c r="R5" s="3388"/>
      <c r="S5" s="3389"/>
      <c r="T5" s="3388"/>
      <c r="U5" s="3389"/>
      <c r="V5" s="3366"/>
      <c r="W5" s="3366"/>
      <c r="X5" s="1566"/>
      <c r="Y5" s="3388"/>
      <c r="Z5" s="3389"/>
      <c r="AA5" s="3374"/>
      <c r="AB5" s="3374"/>
      <c r="AC5" s="3374"/>
    </row>
    <row r="6" spans="1:29" ht="15.75" thickBot="1">
      <c r="A6" s="517"/>
      <c r="B6" s="518"/>
      <c r="C6" s="3396" t="s">
        <v>2926</v>
      </c>
      <c r="D6" s="3397"/>
      <c r="E6" s="3408" t="s">
        <v>2926</v>
      </c>
      <c r="F6" s="3409"/>
      <c r="G6" s="3396" t="s">
        <v>2926</v>
      </c>
      <c r="H6" s="3397"/>
      <c r="I6" s="3396" t="s">
        <v>2926</v>
      </c>
      <c r="J6" s="3397"/>
      <c r="K6" s="514" t="s">
        <v>528</v>
      </c>
      <c r="L6" s="2133"/>
      <c r="M6" s="2134"/>
      <c r="N6" s="2134"/>
      <c r="O6" s="2134"/>
      <c r="P6" s="3384"/>
      <c r="Q6" s="3385"/>
      <c r="R6" s="3388"/>
      <c r="S6" s="3389"/>
      <c r="T6" s="3390"/>
      <c r="U6" s="3391"/>
      <c r="V6" s="3366"/>
      <c r="W6" s="3366"/>
      <c r="X6" s="1566"/>
      <c r="Y6" s="3390"/>
      <c r="Z6" s="3391"/>
      <c r="AA6" s="3375"/>
      <c r="AB6" s="3375"/>
      <c r="AC6" s="3375"/>
    </row>
    <row r="7" spans="1:29" s="1219" customFormat="1" ht="15.75" thickBot="1">
      <c r="A7" s="2936"/>
      <c r="B7" s="2943" t="s">
        <v>529</v>
      </c>
      <c r="C7" s="519">
        <f>'数据-取费表'!B2</f>
        <v>43250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1" t="s">
        <v>530</v>
      </c>
      <c r="Q7" s="3399"/>
      <c r="R7" s="1567" t="s">
        <v>8</v>
      </c>
      <c r="S7" s="1568">
        <f t="shared" ref="S7:S14" si="0">F7</f>
        <v>0</v>
      </c>
      <c r="T7" s="1567" t="s">
        <v>8</v>
      </c>
      <c r="U7" s="1568">
        <f t="shared" ref="U7:U14" si="1">H7</f>
        <v>0</v>
      </c>
      <c r="V7" s="1567" t="s">
        <v>8</v>
      </c>
      <c r="W7" s="1568">
        <f t="shared" ref="W7:W14" si="2">J7</f>
        <v>0</v>
      </c>
      <c r="X7" s="1569"/>
      <c r="Y7" s="3371" t="s">
        <v>530</v>
      </c>
      <c r="Z7" s="3372"/>
      <c r="AA7" s="1570" t="e">
        <f>D7/F7</f>
        <v>#DIV/0!</v>
      </c>
      <c r="AB7" s="1570" t="e">
        <f>D7/H7</f>
        <v>#DIV/0!</v>
      </c>
      <c r="AC7" s="1570" t="e">
        <f>D7/J7</f>
        <v>#DIV/0!</v>
      </c>
    </row>
    <row r="8" spans="1:29" s="1219"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1" t="s">
        <v>533</v>
      </c>
      <c r="Q8" s="3372"/>
      <c r="R8" s="1567" t="s">
        <v>8</v>
      </c>
      <c r="S8" s="1568">
        <f t="shared" si="0"/>
        <v>0</v>
      </c>
      <c r="T8" s="1567" t="s">
        <v>8</v>
      </c>
      <c r="U8" s="1568">
        <f t="shared" si="1"/>
        <v>0</v>
      </c>
      <c r="V8" s="1567" t="s">
        <v>8</v>
      </c>
      <c r="W8" s="1568">
        <f t="shared" si="2"/>
        <v>0</v>
      </c>
      <c r="X8" s="1569"/>
      <c r="Y8" s="3371" t="s">
        <v>533</v>
      </c>
      <c r="Z8" s="3372"/>
      <c r="AA8" s="1570" t="e">
        <f t="shared" ref="AA8:AA36" si="3">D8/F8</f>
        <v>#DIV/0!</v>
      </c>
      <c r="AB8" s="1570" t="e">
        <f t="shared" ref="AB8:AB36" si="4">D8/H8</f>
        <v>#DIV/0!</v>
      </c>
      <c r="AC8" s="1570" t="e">
        <f t="shared" ref="AC8:AC36" si="5">D8/J8</f>
        <v>#DIV/0!</v>
      </c>
    </row>
    <row r="9" spans="1:29" s="1219" customFormat="1" ht="15">
      <c r="A9" s="2938"/>
      <c r="B9" s="2945"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4" t="s">
        <v>535</v>
      </c>
      <c r="Q9" s="1150" t="str">
        <f t="shared" ref="Q9:Q14" si="6">B9</f>
        <v>用途</v>
      </c>
      <c r="R9" s="1567" t="s">
        <v>8</v>
      </c>
      <c r="S9" s="1568">
        <f t="shared" si="0"/>
        <v>100</v>
      </c>
      <c r="T9" s="1567" t="s">
        <v>8</v>
      </c>
      <c r="U9" s="1568">
        <f t="shared" si="1"/>
        <v>100</v>
      </c>
      <c r="V9" s="1567" t="s">
        <v>8</v>
      </c>
      <c r="W9" s="1568">
        <f t="shared" si="2"/>
        <v>100</v>
      </c>
      <c r="X9" s="1569"/>
      <c r="Y9" s="3329" t="s">
        <v>536</v>
      </c>
      <c r="Z9" s="1149" t="str">
        <f t="shared" ref="Z9:Z14" si="7">Q9</f>
        <v>用途</v>
      </c>
      <c r="AA9" s="1570">
        <f t="shared" si="3"/>
        <v>1</v>
      </c>
      <c r="AB9" s="1570">
        <f t="shared" si="4"/>
        <v>1</v>
      </c>
      <c r="AC9" s="1570">
        <f t="shared" si="5"/>
        <v>1</v>
      </c>
    </row>
    <row r="10" spans="1:29" s="1337" customFormat="1" ht="27">
      <c r="A10" s="2939"/>
      <c r="B10" s="2944"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29"/>
      <c r="Z10" s="1149"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4"/>
      <c r="Q11" s="1150">
        <f t="shared" si="6"/>
        <v>111</v>
      </c>
      <c r="R11" s="1567" t="s">
        <v>8</v>
      </c>
      <c r="S11" s="1568">
        <f t="shared" si="0"/>
        <v>100</v>
      </c>
      <c r="T11" s="1567" t="s">
        <v>8</v>
      </c>
      <c r="U11" s="1568">
        <f t="shared" si="1"/>
        <v>100</v>
      </c>
      <c r="V11" s="1567" t="s">
        <v>8</v>
      </c>
      <c r="W11" s="1568">
        <f t="shared" si="2"/>
        <v>100</v>
      </c>
      <c r="X11" s="1569"/>
      <c r="Y11" s="3329"/>
      <c r="Z11" s="1149">
        <f t="shared" si="7"/>
        <v>111</v>
      </c>
      <c r="AA11" s="1570">
        <f t="shared" si="3"/>
        <v>1</v>
      </c>
      <c r="AB11" s="1570">
        <f t="shared" si="4"/>
        <v>1</v>
      </c>
      <c r="AC11" s="1570">
        <f t="shared" si="5"/>
        <v>1</v>
      </c>
    </row>
    <row r="12" spans="1:29" s="1219"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4"/>
      <c r="Q12" s="1150">
        <f t="shared" si="6"/>
        <v>111</v>
      </c>
      <c r="R12" s="1567" t="s">
        <v>8</v>
      </c>
      <c r="S12" s="1568">
        <f t="shared" si="0"/>
        <v>100</v>
      </c>
      <c r="T12" s="1567" t="s">
        <v>8</v>
      </c>
      <c r="U12" s="1568">
        <f t="shared" si="1"/>
        <v>100</v>
      </c>
      <c r="V12" s="1567" t="s">
        <v>8</v>
      </c>
      <c r="W12" s="1568">
        <f t="shared" si="2"/>
        <v>100</v>
      </c>
      <c r="X12" s="1569"/>
      <c r="Y12" s="3329"/>
      <c r="Z12" s="1149">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4"/>
      <c r="Q13" s="1150">
        <f t="shared" si="6"/>
        <v>111</v>
      </c>
      <c r="R13" s="1567" t="s">
        <v>8</v>
      </c>
      <c r="S13" s="1568">
        <f t="shared" si="0"/>
        <v>100</v>
      </c>
      <c r="T13" s="1567" t="s">
        <v>8</v>
      </c>
      <c r="U13" s="1568">
        <f t="shared" si="1"/>
        <v>100</v>
      </c>
      <c r="V13" s="1567" t="s">
        <v>8</v>
      </c>
      <c r="W13" s="1568">
        <f t="shared" si="2"/>
        <v>100</v>
      </c>
      <c r="X13" s="1569"/>
      <c r="Y13" s="3329"/>
      <c r="Z13" s="1149">
        <f t="shared" si="7"/>
        <v>111</v>
      </c>
      <c r="AA13" s="1570">
        <f t="shared" si="3"/>
        <v>1</v>
      </c>
      <c r="AB13" s="1570">
        <f t="shared" si="4"/>
        <v>1</v>
      </c>
      <c r="AC13" s="1570">
        <f t="shared" si="5"/>
        <v>1</v>
      </c>
    </row>
    <row r="14" spans="1:29" ht="15">
      <c r="A14" s="2934" t="s">
        <v>2755</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67" t="s">
        <v>540</v>
      </c>
      <c r="Q14" s="1571" t="str">
        <f t="shared" si="6"/>
        <v>交通便捷度</v>
      </c>
      <c r="R14" s="1572" t="s">
        <v>8</v>
      </c>
      <c r="S14" s="1573">
        <f t="shared" si="0"/>
        <v>100</v>
      </c>
      <c r="T14" s="1572" t="s">
        <v>8</v>
      </c>
      <c r="U14" s="1573">
        <f t="shared" si="1"/>
        <v>100</v>
      </c>
      <c r="V14" s="1572" t="s">
        <v>8</v>
      </c>
      <c r="W14" s="1573">
        <f t="shared" si="2"/>
        <v>100</v>
      </c>
      <c r="X14" s="1566"/>
      <c r="Y14" s="3367"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68"/>
      <c r="Q15" s="1571"/>
      <c r="R15" s="1572"/>
      <c r="S15" s="1573"/>
      <c r="T15" s="1572"/>
      <c r="U15" s="1573"/>
      <c r="V15" s="1572"/>
      <c r="W15" s="1573"/>
      <c r="X15" s="1566"/>
      <c r="Y15" s="3368"/>
      <c r="Z15" s="1574"/>
      <c r="AA15" s="1575">
        <v>1</v>
      </c>
      <c r="AB15" s="1575">
        <v>1</v>
      </c>
      <c r="AC15" s="1575">
        <v>1</v>
      </c>
    </row>
    <row r="16" spans="1:29" ht="15">
      <c r="A16" s="515"/>
      <c r="B16" s="2627" t="s">
        <v>2547</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68"/>
      <c r="Q16" s="1571" t="str">
        <f>B16</f>
        <v>公共配套设施</v>
      </c>
      <c r="R16" s="1572" t="s">
        <v>8</v>
      </c>
      <c r="S16" s="1573">
        <f>F16</f>
        <v>100</v>
      </c>
      <c r="T16" s="1572" t="s">
        <v>8</v>
      </c>
      <c r="U16" s="1573">
        <f>H16</f>
        <v>100</v>
      </c>
      <c r="V16" s="1572" t="s">
        <v>8</v>
      </c>
      <c r="W16" s="1573">
        <f>J16</f>
        <v>100</v>
      </c>
      <c r="X16" s="1566"/>
      <c r="Y16" s="3368"/>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68"/>
      <c r="Q17" s="1571"/>
      <c r="R17" s="1572"/>
      <c r="S17" s="1573"/>
      <c r="T17" s="1572"/>
      <c r="U17" s="1573"/>
      <c r="V17" s="1572"/>
      <c r="W17" s="1573"/>
      <c r="X17" s="1566"/>
      <c r="Y17" s="3368"/>
      <c r="Z17" s="1574"/>
      <c r="AA17" s="1575">
        <v>1</v>
      </c>
      <c r="AB17" s="1575">
        <v>1</v>
      </c>
      <c r="AC17" s="1575">
        <v>1</v>
      </c>
    </row>
    <row r="18" spans="1:29" ht="15">
      <c r="A18" s="515"/>
      <c r="B18" s="2615" t="s">
        <v>2559</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68"/>
      <c r="Q18" s="2603" t="str">
        <f>B18</f>
        <v>基础设施水平</v>
      </c>
      <c r="R18" s="1572" t="s">
        <v>8</v>
      </c>
      <c r="S18" s="1573">
        <f>F18</f>
        <v>100</v>
      </c>
      <c r="T18" s="1572" t="s">
        <v>8</v>
      </c>
      <c r="U18" s="1573">
        <f>H18</f>
        <v>100</v>
      </c>
      <c r="V18" s="1572" t="s">
        <v>8</v>
      </c>
      <c r="W18" s="1573">
        <f>J18</f>
        <v>100</v>
      </c>
      <c r="X18" s="2605"/>
      <c r="Y18" s="3368"/>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368"/>
      <c r="Q19" s="2603"/>
      <c r="R19" s="1572"/>
      <c r="S19" s="1573"/>
      <c r="T19" s="1572"/>
      <c r="U19" s="1573"/>
      <c r="V19" s="1572"/>
      <c r="W19" s="1573"/>
      <c r="X19" s="2605"/>
      <c r="Y19" s="3368"/>
      <c r="Z19" s="2604"/>
      <c r="AA19" s="1575">
        <v>1</v>
      </c>
      <c r="AB19" s="1575">
        <v>1</v>
      </c>
      <c r="AC19" s="1575">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68"/>
      <c r="Q20" s="1571" t="str">
        <f>B20</f>
        <v>自然及人文环境</v>
      </c>
      <c r="R20" s="1572" t="s">
        <v>8</v>
      </c>
      <c r="S20" s="1573">
        <f>F20</f>
        <v>100</v>
      </c>
      <c r="T20" s="1572" t="s">
        <v>8</v>
      </c>
      <c r="U20" s="1573">
        <f>H20</f>
        <v>100</v>
      </c>
      <c r="V20" s="1572" t="s">
        <v>8</v>
      </c>
      <c r="W20" s="1573">
        <f>J20</f>
        <v>100</v>
      </c>
      <c r="X20" s="1566"/>
      <c r="Y20" s="3368"/>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68"/>
      <c r="Q21" s="1571"/>
      <c r="R21" s="1572"/>
      <c r="S21" s="1573"/>
      <c r="T21" s="1572"/>
      <c r="U21" s="1573"/>
      <c r="V21" s="1572"/>
      <c r="W21" s="1573"/>
      <c r="X21" s="1566"/>
      <c r="Y21" s="3368"/>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68"/>
      <c r="Q22" s="1571" t="str">
        <f>B22</f>
        <v>楼层</v>
      </c>
      <c r="R22" s="1572" t="s">
        <v>8</v>
      </c>
      <c r="S22" s="1573">
        <f>F22</f>
        <v>100</v>
      </c>
      <c r="T22" s="1572" t="s">
        <v>8</v>
      </c>
      <c r="U22" s="1573">
        <f>H22</f>
        <v>100</v>
      </c>
      <c r="V22" s="1572" t="s">
        <v>8</v>
      </c>
      <c r="W22" s="1573">
        <f>J22</f>
        <v>100</v>
      </c>
      <c r="X22" s="1566"/>
      <c r="Y22" s="3368"/>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68"/>
      <c r="Q23" s="1571">
        <f>B23</f>
        <v>111</v>
      </c>
      <c r="R23" s="1572" t="s">
        <v>8</v>
      </c>
      <c r="S23" s="1573">
        <f>F23</f>
        <v>100</v>
      </c>
      <c r="T23" s="1572" t="s">
        <v>8</v>
      </c>
      <c r="U23" s="1573">
        <f>H23</f>
        <v>100</v>
      </c>
      <c r="V23" s="1572" t="s">
        <v>8</v>
      </c>
      <c r="W23" s="1573">
        <f>J23</f>
        <v>100</v>
      </c>
      <c r="X23" s="1566"/>
      <c r="Y23" s="3368"/>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68"/>
      <c r="Q24" s="1571">
        <f t="shared" ref="Q24:Q36" si="11">B24</f>
        <v>111</v>
      </c>
      <c r="R24" s="1572" t="s">
        <v>8</v>
      </c>
      <c r="S24" s="1573">
        <f>F24</f>
        <v>100</v>
      </c>
      <c r="T24" s="1572" t="s">
        <v>8</v>
      </c>
      <c r="U24" s="1573">
        <f>H24</f>
        <v>100</v>
      </c>
      <c r="V24" s="1572" t="s">
        <v>8</v>
      </c>
      <c r="W24" s="1573">
        <f>J24</f>
        <v>100</v>
      </c>
      <c r="X24" s="1566"/>
      <c r="Y24" s="3368"/>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68"/>
      <c r="Q25" s="1150">
        <f t="shared" si="11"/>
        <v>111</v>
      </c>
      <c r="R25" s="1567" t="s">
        <v>8</v>
      </c>
      <c r="S25" s="1568">
        <f>F25</f>
        <v>100</v>
      </c>
      <c r="T25" s="1567" t="s">
        <v>8</v>
      </c>
      <c r="U25" s="1568">
        <f>H25</f>
        <v>100</v>
      </c>
      <c r="V25" s="1567" t="s">
        <v>8</v>
      </c>
      <c r="W25" s="1568">
        <f>J25</f>
        <v>100</v>
      </c>
      <c r="X25" s="1569"/>
      <c r="Y25" s="3368"/>
      <c r="Z25" s="1149">
        <f>Q25</f>
        <v>111</v>
      </c>
      <c r="AA25" s="1575">
        <f>D25/F25</f>
        <v>1</v>
      </c>
      <c r="AB25" s="1575">
        <f>D25/H25</f>
        <v>1</v>
      </c>
      <c r="AC25" s="1575">
        <f>D25/J25</f>
        <v>1</v>
      </c>
    </row>
    <row r="26" spans="1:29" ht="15">
      <c r="A26" s="2931"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69"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0" t="s">
        <v>550</v>
      </c>
      <c r="Z26" s="1574" t="str">
        <f t="shared" ref="Z26:Z36" si="15">Q26</f>
        <v>配套类型</v>
      </c>
      <c r="AA26" s="1575">
        <f t="shared" si="3"/>
        <v>1</v>
      </c>
      <c r="AB26" s="1575">
        <f t="shared" si="4"/>
        <v>1</v>
      </c>
      <c r="AC26" s="1575">
        <f t="shared" si="5"/>
        <v>1</v>
      </c>
    </row>
    <row r="27" spans="1:29" s="1338"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70"/>
      <c r="Q27" s="1604" t="str">
        <f t="shared" si="11"/>
        <v>项目停车位配比</v>
      </c>
      <c r="R27" s="1576" t="s">
        <v>8</v>
      </c>
      <c r="S27" s="1577">
        <f t="shared" si="12"/>
        <v>100</v>
      </c>
      <c r="T27" s="1576" t="s">
        <v>8</v>
      </c>
      <c r="U27" s="1577">
        <f t="shared" si="13"/>
        <v>100</v>
      </c>
      <c r="V27" s="1576" t="s">
        <v>8</v>
      </c>
      <c r="W27" s="1577">
        <f t="shared" si="14"/>
        <v>100</v>
      </c>
      <c r="X27" s="1578"/>
      <c r="Y27" s="3370"/>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70"/>
      <c r="Q28" s="1571" t="str">
        <f t="shared" si="11"/>
        <v>公共部分装修</v>
      </c>
      <c r="R28" s="1572" t="s">
        <v>8</v>
      </c>
      <c r="S28" s="1573">
        <f t="shared" si="12"/>
        <v>100</v>
      </c>
      <c r="T28" s="1572" t="s">
        <v>8</v>
      </c>
      <c r="U28" s="1573">
        <f t="shared" si="13"/>
        <v>100</v>
      </c>
      <c r="V28" s="1572" t="s">
        <v>8</v>
      </c>
      <c r="W28" s="1573">
        <f t="shared" si="14"/>
        <v>100</v>
      </c>
      <c r="X28" s="1566"/>
      <c r="Y28" s="3370"/>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70"/>
      <c r="Q29" s="1571" t="str">
        <f t="shared" si="11"/>
        <v>成新率</v>
      </c>
      <c r="R29" s="1572" t="s">
        <v>8</v>
      </c>
      <c r="S29" s="1573" t="e">
        <f t="shared" si="12"/>
        <v>#N/A</v>
      </c>
      <c r="T29" s="1572" t="s">
        <v>8</v>
      </c>
      <c r="U29" s="1573" t="e">
        <f t="shared" si="13"/>
        <v>#N/A</v>
      </c>
      <c r="V29" s="1572" t="s">
        <v>8</v>
      </c>
      <c r="W29" s="1573" t="e">
        <f t="shared" si="14"/>
        <v>#N/A</v>
      </c>
      <c r="X29" s="1566"/>
      <c r="Y29" s="3370"/>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70"/>
      <c r="Q30" s="1571" t="str">
        <f t="shared" si="11"/>
        <v>物业等级</v>
      </c>
      <c r="R30" s="1572" t="s">
        <v>8</v>
      </c>
      <c r="S30" s="1573">
        <f t="shared" si="12"/>
        <v>100</v>
      </c>
      <c r="T30" s="1572" t="s">
        <v>8</v>
      </c>
      <c r="U30" s="1573">
        <f t="shared" si="13"/>
        <v>100</v>
      </c>
      <c r="V30" s="1572" t="s">
        <v>8</v>
      </c>
      <c r="W30" s="1573">
        <f t="shared" si="14"/>
        <v>100</v>
      </c>
      <c r="X30" s="1566"/>
      <c r="Y30" s="3370"/>
      <c r="Z30" s="1574" t="str">
        <f t="shared" si="15"/>
        <v>物业等级</v>
      </c>
      <c r="AA30" s="1575">
        <f t="shared" si="3"/>
        <v>1</v>
      </c>
      <c r="AB30" s="1575">
        <f t="shared" si="4"/>
        <v>1</v>
      </c>
      <c r="AC30" s="1575">
        <f t="shared" si="5"/>
        <v>1</v>
      </c>
    </row>
    <row r="31" spans="1:29" s="1219"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70"/>
      <c r="Q31" s="1150" t="str">
        <f t="shared" si="11"/>
        <v>停车位面积</v>
      </c>
      <c r="R31" s="1567" t="s">
        <v>8</v>
      </c>
      <c r="S31" s="1568" t="e">
        <f t="shared" si="12"/>
        <v>#N/A</v>
      </c>
      <c r="T31" s="1567" t="s">
        <v>8</v>
      </c>
      <c r="U31" s="1568" t="e">
        <f t="shared" si="13"/>
        <v>#N/A</v>
      </c>
      <c r="V31" s="1567" t="s">
        <v>8</v>
      </c>
      <c r="W31" s="1568" t="e">
        <f t="shared" si="14"/>
        <v>#N/A</v>
      </c>
      <c r="X31" s="1569"/>
      <c r="Y31" s="3370"/>
      <c r="Z31" s="1149"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70" t="s">
        <v>550</v>
      </c>
      <c r="Q32" s="1571" t="str">
        <f t="shared" si="11"/>
        <v>车位类型</v>
      </c>
      <c r="R32" s="1572" t="s">
        <v>8</v>
      </c>
      <c r="S32" s="1573">
        <f t="shared" si="12"/>
        <v>100</v>
      </c>
      <c r="T32" s="1572" t="s">
        <v>8</v>
      </c>
      <c r="U32" s="1573">
        <f t="shared" si="13"/>
        <v>100</v>
      </c>
      <c r="V32" s="1572" t="s">
        <v>8</v>
      </c>
      <c r="W32" s="1573">
        <f t="shared" si="14"/>
        <v>100</v>
      </c>
      <c r="X32" s="1566"/>
      <c r="Y32" s="3370"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70"/>
      <c r="Q33" s="1571" t="str">
        <f t="shared" si="11"/>
        <v>是否直接入户</v>
      </c>
      <c r="R33" s="1572" t="s">
        <v>8</v>
      </c>
      <c r="S33" s="1573">
        <f t="shared" si="12"/>
        <v>100</v>
      </c>
      <c r="T33" s="1572" t="s">
        <v>8</v>
      </c>
      <c r="U33" s="1573">
        <f t="shared" si="13"/>
        <v>100</v>
      </c>
      <c r="V33" s="1572" t="s">
        <v>8</v>
      </c>
      <c r="W33" s="1573">
        <f t="shared" si="14"/>
        <v>100</v>
      </c>
      <c r="X33" s="1566"/>
      <c r="Y33" s="3370"/>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70"/>
      <c r="Q34" s="1571">
        <f t="shared" si="11"/>
        <v>111</v>
      </c>
      <c r="R34" s="1572" t="s">
        <v>8</v>
      </c>
      <c r="S34" s="1573">
        <f t="shared" si="12"/>
        <v>100</v>
      </c>
      <c r="T34" s="1572" t="s">
        <v>8</v>
      </c>
      <c r="U34" s="1573">
        <f t="shared" si="13"/>
        <v>100</v>
      </c>
      <c r="V34" s="1572" t="s">
        <v>8</v>
      </c>
      <c r="W34" s="1573">
        <f t="shared" si="14"/>
        <v>100</v>
      </c>
      <c r="X34" s="1566"/>
      <c r="Y34" s="3370"/>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70"/>
      <c r="Q35" s="1604">
        <f t="shared" si="11"/>
        <v>111</v>
      </c>
      <c r="R35" s="1576" t="s">
        <v>8</v>
      </c>
      <c r="S35" s="1577">
        <f t="shared" si="12"/>
        <v>100</v>
      </c>
      <c r="T35" s="1576" t="s">
        <v>8</v>
      </c>
      <c r="U35" s="1577">
        <f t="shared" si="13"/>
        <v>100</v>
      </c>
      <c r="V35" s="1576" t="s">
        <v>8</v>
      </c>
      <c r="W35" s="1577">
        <f t="shared" si="14"/>
        <v>100</v>
      </c>
      <c r="X35" s="1578"/>
      <c r="Y35" s="3370"/>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70"/>
      <c r="Q36" s="1571">
        <f t="shared" si="11"/>
        <v>111</v>
      </c>
      <c r="R36" s="1572" t="s">
        <v>8</v>
      </c>
      <c r="S36" s="1573">
        <f t="shared" si="12"/>
        <v>100</v>
      </c>
      <c r="T36" s="1572" t="s">
        <v>8</v>
      </c>
      <c r="U36" s="1573">
        <f t="shared" si="13"/>
        <v>100</v>
      </c>
      <c r="V36" s="1572" t="s">
        <v>8</v>
      </c>
      <c r="W36" s="1573">
        <f t="shared" si="14"/>
        <v>100</v>
      </c>
      <c r="X36" s="1566"/>
      <c r="Y36" s="3370"/>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64" t="str">
        <f>A37</f>
        <v>成交单价</v>
      </c>
      <c r="Q37" s="3364"/>
      <c r="R37" s="3475">
        <f>E37</f>
        <v>0</v>
      </c>
      <c r="S37" s="3475"/>
      <c r="T37" s="3475">
        <f>G37</f>
        <v>0</v>
      </c>
      <c r="U37" s="3475"/>
      <c r="V37" s="3475">
        <f>I37</f>
        <v>0</v>
      </c>
      <c r="W37" s="3475"/>
      <c r="X37" s="1558"/>
      <c r="Y37" s="1580"/>
      <c r="Z37" s="1558"/>
      <c r="AA37" s="1558"/>
      <c r="AB37" s="1558"/>
      <c r="AC37" s="1558"/>
    </row>
    <row r="38" spans="1:29" ht="15.75" thickBot="1">
      <c r="A38" s="615" t="s">
        <v>2761</v>
      </c>
      <c r="B38" s="888"/>
      <c r="C38" s="2657" t="e">
        <f>R39</f>
        <v>#DIV/0!</v>
      </c>
      <c r="D38" s="2658"/>
      <c r="E38" s="2659" t="e">
        <f>R38</f>
        <v>#DIV/0!</v>
      </c>
      <c r="F38" s="2659"/>
      <c r="G38" s="2657" t="e">
        <f>T38</f>
        <v>#DIV/0!</v>
      </c>
      <c r="H38" s="2658"/>
      <c r="I38" s="2659" t="e">
        <f>V38</f>
        <v>#DIV/0!</v>
      </c>
      <c r="J38" s="2658"/>
      <c r="K38" s="1611"/>
      <c r="L38" s="2144"/>
      <c r="M38" s="2145"/>
      <c r="N38" s="2145"/>
      <c r="O38" s="2145"/>
      <c r="P38" s="3364" t="str">
        <f>A38</f>
        <v>比较价格（元/平方米）</v>
      </c>
      <c r="Q38" s="3364"/>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58"/>
      <c r="Y38" s="1558"/>
      <c r="Z38" s="1558"/>
      <c r="AA38" s="1558"/>
      <c r="AB38" s="1558"/>
      <c r="AC38" s="1558"/>
    </row>
    <row r="39" spans="1:29" ht="15.75" thickBot="1">
      <c r="A39" s="621" t="s">
        <v>2928</v>
      </c>
      <c r="B39" s="622"/>
      <c r="C39" s="2660" t="e">
        <f>R39</f>
        <v>#DIV/0!</v>
      </c>
      <c r="D39" s="2660"/>
      <c r="E39" s="2660"/>
      <c r="F39" s="2660"/>
      <c r="G39" s="2660"/>
      <c r="H39" s="2660"/>
      <c r="I39" s="2660"/>
      <c r="J39" s="2660"/>
      <c r="K39" s="1612"/>
      <c r="L39" s="2144"/>
      <c r="M39" s="2145"/>
      <c r="N39" s="2145"/>
      <c r="O39" s="2145"/>
      <c r="P39" s="3361" t="str">
        <f>A39</f>
        <v>估价对象XX用房的比较价格（楼面单价，元/平方米）</v>
      </c>
      <c r="Q39" s="3362"/>
      <c r="R39" s="3474" t="e">
        <f>IF(F1="售价",ROUND(AVERAGE(R38:V38),0),ROUND(AVERAGE(R38:V38),1))</f>
        <v>#DIV/0!</v>
      </c>
      <c r="S39" s="3474"/>
      <c r="T39" s="3474"/>
      <c r="U39" s="3474"/>
      <c r="V39" s="3474"/>
      <c r="W39" s="3474"/>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7"/>
      <c r="B49" s="648"/>
      <c r="C49" s="2827">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3"/>
      <c r="C1" s="504" t="s">
        <v>792</v>
      </c>
      <c r="D1" s="849"/>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76" t="s">
        <v>798</v>
      </c>
      <c r="D4" s="3377"/>
      <c r="E4" s="3378" t="s">
        <v>799</v>
      </c>
      <c r="F4" s="3379"/>
      <c r="G4" s="3376" t="s">
        <v>800</v>
      </c>
      <c r="H4" s="3377"/>
      <c r="I4" s="3376" t="s">
        <v>801</v>
      </c>
      <c r="J4" s="3377"/>
      <c r="K4" s="514" t="s">
        <v>802</v>
      </c>
      <c r="L4" s="2133"/>
      <c r="M4" s="2134"/>
      <c r="N4" s="2134"/>
      <c r="O4" s="2134"/>
      <c r="P4" s="3380" t="s">
        <v>803</v>
      </c>
      <c r="Q4" s="3381"/>
      <c r="R4" s="3386" t="s">
        <v>799</v>
      </c>
      <c r="S4" s="3387"/>
      <c r="T4" s="3386" t="s">
        <v>800</v>
      </c>
      <c r="U4" s="3387"/>
      <c r="V4" s="3366" t="s">
        <v>801</v>
      </c>
      <c r="W4" s="3366"/>
      <c r="X4" s="1566"/>
      <c r="Y4" s="3386" t="s">
        <v>803</v>
      </c>
      <c r="Z4" s="3387"/>
      <c r="AA4" s="3373" t="s">
        <v>799</v>
      </c>
      <c r="AB4" s="3374" t="s">
        <v>800</v>
      </c>
      <c r="AC4" s="3373" t="s">
        <v>801</v>
      </c>
    </row>
    <row r="5" spans="1:29" ht="15">
      <c r="A5" s="515"/>
      <c r="B5" s="516"/>
      <c r="C5" s="3407" t="s">
        <v>2922</v>
      </c>
      <c r="D5" s="3395"/>
      <c r="E5" s="3473" t="s">
        <v>2923</v>
      </c>
      <c r="F5" s="3393"/>
      <c r="G5" s="3407" t="s">
        <v>2924</v>
      </c>
      <c r="H5" s="3395"/>
      <c r="I5" s="3407" t="s">
        <v>2925</v>
      </c>
      <c r="J5" s="3395"/>
      <c r="K5" s="514"/>
      <c r="L5" s="2133"/>
      <c r="M5" s="2134"/>
      <c r="N5" s="2134"/>
      <c r="O5" s="2134"/>
      <c r="P5" s="3382"/>
      <c r="Q5" s="3383"/>
      <c r="R5" s="3388"/>
      <c r="S5" s="3389"/>
      <c r="T5" s="3388"/>
      <c r="U5" s="3389"/>
      <c r="V5" s="3366"/>
      <c r="W5" s="3366"/>
      <c r="X5" s="1566"/>
      <c r="Y5" s="3388"/>
      <c r="Z5" s="3389"/>
      <c r="AA5" s="3374"/>
      <c r="AB5" s="3374"/>
      <c r="AC5" s="3374"/>
    </row>
    <row r="6" spans="1:29" ht="15.75" thickBot="1">
      <c r="A6" s="517"/>
      <c r="B6" s="518"/>
      <c r="C6" s="3396" t="s">
        <v>2926</v>
      </c>
      <c r="D6" s="3397"/>
      <c r="E6" s="3400" t="s">
        <v>2926</v>
      </c>
      <c r="F6" s="3401"/>
      <c r="G6" s="3396" t="s">
        <v>2926</v>
      </c>
      <c r="H6" s="3397"/>
      <c r="I6" s="3396" t="s">
        <v>2926</v>
      </c>
      <c r="J6" s="3397"/>
      <c r="K6" s="514" t="s">
        <v>528</v>
      </c>
      <c r="L6" s="2133"/>
      <c r="M6" s="2134"/>
      <c r="N6" s="2134"/>
      <c r="O6" s="2134"/>
      <c r="P6" s="3384"/>
      <c r="Q6" s="3385"/>
      <c r="R6" s="3388"/>
      <c r="S6" s="3389"/>
      <c r="T6" s="3390"/>
      <c r="U6" s="3391"/>
      <c r="V6" s="3366"/>
      <c r="W6" s="3366"/>
      <c r="X6" s="1566"/>
      <c r="Y6" s="3390"/>
      <c r="Z6" s="3391"/>
      <c r="AA6" s="3375"/>
      <c r="AB6" s="3375"/>
      <c r="AC6" s="3375"/>
    </row>
    <row r="7" spans="1:29" s="1219" customFormat="1" ht="15.75" thickBot="1">
      <c r="A7" s="2936"/>
      <c r="B7" s="2943" t="s">
        <v>529</v>
      </c>
      <c r="C7" s="519">
        <f>'数据-取费表'!B2</f>
        <v>43250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1" t="s">
        <v>530</v>
      </c>
      <c r="Q7" s="3399"/>
      <c r="R7" s="1567" t="s">
        <v>8</v>
      </c>
      <c r="S7" s="1568">
        <f t="shared" ref="S7:S14" si="0">F7</f>
        <v>0</v>
      </c>
      <c r="T7" s="1567" t="s">
        <v>8</v>
      </c>
      <c r="U7" s="1568">
        <f t="shared" ref="U7:U14" si="1">H7</f>
        <v>0</v>
      </c>
      <c r="V7" s="1567" t="s">
        <v>8</v>
      </c>
      <c r="W7" s="1568">
        <f t="shared" ref="W7:W14" si="2">J7</f>
        <v>0</v>
      </c>
      <c r="X7" s="1569"/>
      <c r="Y7" s="3371" t="s">
        <v>530</v>
      </c>
      <c r="Z7" s="3372"/>
      <c r="AA7" s="1570" t="e">
        <f>D7/F7</f>
        <v>#DIV/0!</v>
      </c>
      <c r="AB7" s="1570" t="e">
        <f>D7/H7</f>
        <v>#DIV/0!</v>
      </c>
      <c r="AC7" s="1570" t="e">
        <f>D7/J7</f>
        <v>#DIV/0!</v>
      </c>
    </row>
    <row r="8" spans="1:29" s="1219"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1" t="s">
        <v>533</v>
      </c>
      <c r="Q8" s="3372"/>
      <c r="R8" s="1567" t="s">
        <v>8</v>
      </c>
      <c r="S8" s="1568">
        <f t="shared" si="0"/>
        <v>0</v>
      </c>
      <c r="T8" s="1567" t="s">
        <v>8</v>
      </c>
      <c r="U8" s="1568">
        <f t="shared" si="1"/>
        <v>0</v>
      </c>
      <c r="V8" s="1567" t="s">
        <v>8</v>
      </c>
      <c r="W8" s="1568">
        <f t="shared" si="2"/>
        <v>0</v>
      </c>
      <c r="X8" s="1569"/>
      <c r="Y8" s="3371" t="s">
        <v>533</v>
      </c>
      <c r="Z8" s="3372"/>
      <c r="AA8" s="1570" t="e">
        <f t="shared" ref="AA8:AA34" si="3">D8/F8</f>
        <v>#DIV/0!</v>
      </c>
      <c r="AB8" s="1570" t="e">
        <f t="shared" ref="AB8:AB34" si="4">D8/H8</f>
        <v>#DIV/0!</v>
      </c>
      <c r="AC8" s="1570" t="e">
        <f t="shared" ref="AC8:AC34" si="5">D8/J8</f>
        <v>#DIV/0!</v>
      </c>
    </row>
    <row r="9" spans="1:29" s="1219" customFormat="1" ht="15">
      <c r="A9" s="2938"/>
      <c r="B9" s="2945"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4" t="s">
        <v>535</v>
      </c>
      <c r="Q9" s="1150" t="str">
        <f t="shared" ref="Q9:Q14" si="6">B9</f>
        <v>用途</v>
      </c>
      <c r="R9" s="1567" t="s">
        <v>8</v>
      </c>
      <c r="S9" s="1568">
        <f t="shared" si="0"/>
        <v>100</v>
      </c>
      <c r="T9" s="1567" t="s">
        <v>8</v>
      </c>
      <c r="U9" s="1568">
        <f t="shared" si="1"/>
        <v>100</v>
      </c>
      <c r="V9" s="1567" t="s">
        <v>8</v>
      </c>
      <c r="W9" s="1568">
        <f t="shared" si="2"/>
        <v>100</v>
      </c>
      <c r="X9" s="1569"/>
      <c r="Y9" s="3329" t="s">
        <v>536</v>
      </c>
      <c r="Z9" s="1149" t="str">
        <f t="shared" ref="Z9:Z14" si="7">Q9</f>
        <v>用途</v>
      </c>
      <c r="AA9" s="1570">
        <f t="shared" si="3"/>
        <v>1</v>
      </c>
      <c r="AB9" s="1570">
        <f t="shared" si="4"/>
        <v>1</v>
      </c>
      <c r="AC9" s="1570">
        <f t="shared" si="5"/>
        <v>1</v>
      </c>
    </row>
    <row r="10" spans="1:29" s="1337" customFormat="1" ht="27">
      <c r="A10" s="2939"/>
      <c r="B10" s="2944"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4"/>
      <c r="Q10" s="1150" t="str">
        <f t="shared" si="6"/>
        <v>土地使用年限（年）</v>
      </c>
      <c r="R10" s="1567" t="s">
        <v>8</v>
      </c>
      <c r="S10" s="1568">
        <f t="shared" si="0"/>
        <v>100</v>
      </c>
      <c r="T10" s="1567" t="s">
        <v>8</v>
      </c>
      <c r="U10" s="1568">
        <f t="shared" si="1"/>
        <v>100</v>
      </c>
      <c r="V10" s="1567" t="s">
        <v>8</v>
      </c>
      <c r="W10" s="1568">
        <f t="shared" si="2"/>
        <v>100</v>
      </c>
      <c r="X10" s="1569"/>
      <c r="Y10" s="3329"/>
      <c r="Z10" s="1149"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4"/>
      <c r="Q11" s="1150">
        <f t="shared" si="6"/>
        <v>111</v>
      </c>
      <c r="R11" s="1567" t="s">
        <v>8</v>
      </c>
      <c r="S11" s="1568">
        <f t="shared" si="0"/>
        <v>100</v>
      </c>
      <c r="T11" s="1567" t="s">
        <v>8</v>
      </c>
      <c r="U11" s="1568">
        <f t="shared" si="1"/>
        <v>100</v>
      </c>
      <c r="V11" s="1567" t="s">
        <v>8</v>
      </c>
      <c r="W11" s="1568">
        <f t="shared" si="2"/>
        <v>100</v>
      </c>
      <c r="X11" s="1569"/>
      <c r="Y11" s="3329"/>
      <c r="Z11" s="1149">
        <f t="shared" si="7"/>
        <v>111</v>
      </c>
      <c r="AA11" s="1570">
        <f t="shared" si="3"/>
        <v>1</v>
      </c>
      <c r="AB11" s="1570">
        <f t="shared" si="4"/>
        <v>1</v>
      </c>
      <c r="AC11" s="1570">
        <f t="shared" si="5"/>
        <v>1</v>
      </c>
    </row>
    <row r="12" spans="1:29" s="1219"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4"/>
      <c r="Q12" s="1150">
        <f t="shared" si="6"/>
        <v>111</v>
      </c>
      <c r="R12" s="1567" t="s">
        <v>8</v>
      </c>
      <c r="S12" s="1568">
        <f t="shared" si="0"/>
        <v>100</v>
      </c>
      <c r="T12" s="1567" t="s">
        <v>8</v>
      </c>
      <c r="U12" s="1568">
        <f t="shared" si="1"/>
        <v>100</v>
      </c>
      <c r="V12" s="1567" t="s">
        <v>8</v>
      </c>
      <c r="W12" s="1568">
        <f t="shared" si="2"/>
        <v>100</v>
      </c>
      <c r="X12" s="1569"/>
      <c r="Y12" s="3329"/>
      <c r="Z12" s="1149">
        <f t="shared" si="7"/>
        <v>111</v>
      </c>
      <c r="AA12" s="1570">
        <f>D12/F12</f>
        <v>1</v>
      </c>
      <c r="AB12" s="1570">
        <f>D12/H12</f>
        <v>1</v>
      </c>
      <c r="AC12" s="1570">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4"/>
      <c r="Q13" s="1150">
        <f t="shared" si="6"/>
        <v>111</v>
      </c>
      <c r="R13" s="1567" t="s">
        <v>8</v>
      </c>
      <c r="S13" s="1568">
        <f t="shared" si="0"/>
        <v>100</v>
      </c>
      <c r="T13" s="1567" t="s">
        <v>8</v>
      </c>
      <c r="U13" s="1568">
        <f t="shared" si="1"/>
        <v>100</v>
      </c>
      <c r="V13" s="1567" t="s">
        <v>8</v>
      </c>
      <c r="W13" s="1568">
        <f t="shared" si="2"/>
        <v>100</v>
      </c>
      <c r="X13" s="1569"/>
      <c r="Y13" s="3329"/>
      <c r="Z13" s="1149">
        <f t="shared" si="7"/>
        <v>111</v>
      </c>
      <c r="AA13" s="1570">
        <f t="shared" si="3"/>
        <v>1</v>
      </c>
      <c r="AB13" s="1570">
        <f t="shared" si="4"/>
        <v>1</v>
      </c>
      <c r="AC13" s="1570">
        <f t="shared" si="5"/>
        <v>1</v>
      </c>
    </row>
    <row r="14" spans="1:29" ht="15">
      <c r="A14" s="2934" t="s">
        <v>2755</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67" t="s">
        <v>540</v>
      </c>
      <c r="Q14" s="1571" t="str">
        <f t="shared" si="6"/>
        <v>交通便捷度</v>
      </c>
      <c r="R14" s="1572" t="s">
        <v>8</v>
      </c>
      <c r="S14" s="1573">
        <f t="shared" si="0"/>
        <v>100</v>
      </c>
      <c r="T14" s="1572" t="s">
        <v>8</v>
      </c>
      <c r="U14" s="1573">
        <f t="shared" si="1"/>
        <v>100</v>
      </c>
      <c r="V14" s="1572" t="s">
        <v>8</v>
      </c>
      <c r="W14" s="1573">
        <f t="shared" si="2"/>
        <v>100</v>
      </c>
      <c r="X14" s="1566"/>
      <c r="Y14" s="3367"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68"/>
      <c r="Q15" s="1571"/>
      <c r="R15" s="1572"/>
      <c r="S15" s="1573"/>
      <c r="T15" s="1572"/>
      <c r="U15" s="1573"/>
      <c r="V15" s="1572"/>
      <c r="W15" s="1573"/>
      <c r="X15" s="1566"/>
      <c r="Y15" s="3368"/>
      <c r="Z15" s="1574"/>
      <c r="AA15" s="1575">
        <v>1</v>
      </c>
      <c r="AB15" s="1575">
        <v>1</v>
      </c>
      <c r="AC15" s="1575">
        <v>1</v>
      </c>
    </row>
    <row r="16" spans="1:29" ht="15">
      <c r="A16" s="532"/>
      <c r="B16" s="2627" t="s">
        <v>2547</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68"/>
      <c r="Q16" s="1571" t="str">
        <f>B16</f>
        <v>公共配套设施</v>
      </c>
      <c r="R16" s="1572" t="s">
        <v>8</v>
      </c>
      <c r="S16" s="1573">
        <f>F16</f>
        <v>100</v>
      </c>
      <c r="T16" s="1572" t="s">
        <v>8</v>
      </c>
      <c r="U16" s="1573">
        <f>H16</f>
        <v>100</v>
      </c>
      <c r="V16" s="1572" t="s">
        <v>8</v>
      </c>
      <c r="W16" s="1573">
        <f>J16</f>
        <v>100</v>
      </c>
      <c r="X16" s="1566"/>
      <c r="Y16" s="336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68"/>
      <c r="Q17" s="1571"/>
      <c r="R17" s="1572"/>
      <c r="S17" s="1573"/>
      <c r="T17" s="1572"/>
      <c r="U17" s="1573"/>
      <c r="V17" s="1572"/>
      <c r="W17" s="1573"/>
      <c r="X17" s="1566"/>
      <c r="Y17" s="3368"/>
      <c r="Z17" s="1574"/>
      <c r="AA17" s="1575">
        <v>1</v>
      </c>
      <c r="AB17" s="1575">
        <v>1</v>
      </c>
      <c r="AC17" s="1575">
        <v>1</v>
      </c>
    </row>
    <row r="18" spans="1:29" ht="15">
      <c r="A18" s="532"/>
      <c r="B18" s="2615" t="s">
        <v>2559</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68"/>
      <c r="Q18" s="2603" t="str">
        <f>B18</f>
        <v>基础设施水平</v>
      </c>
      <c r="R18" s="1572" t="s">
        <v>8</v>
      </c>
      <c r="S18" s="1573">
        <f>F18</f>
        <v>100</v>
      </c>
      <c r="T18" s="1572" t="s">
        <v>8</v>
      </c>
      <c r="U18" s="1573">
        <f>H18</f>
        <v>100</v>
      </c>
      <c r="V18" s="1572" t="s">
        <v>8</v>
      </c>
      <c r="W18" s="1573">
        <f>J18</f>
        <v>100</v>
      </c>
      <c r="X18" s="2605"/>
      <c r="Y18" s="3368"/>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68"/>
      <c r="Q19" s="2603"/>
      <c r="R19" s="1572"/>
      <c r="S19" s="1573"/>
      <c r="T19" s="1572"/>
      <c r="U19" s="1573"/>
      <c r="V19" s="1572"/>
      <c r="W19" s="1573"/>
      <c r="X19" s="2605"/>
      <c r="Y19" s="3368"/>
      <c r="Z19" s="2604"/>
      <c r="AA19" s="1575">
        <v>1</v>
      </c>
      <c r="AB19" s="1575">
        <v>1</v>
      </c>
      <c r="AC19" s="1575">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68"/>
      <c r="Q20" s="1571" t="str">
        <f>B20</f>
        <v>自然及人文环境</v>
      </c>
      <c r="R20" s="1572" t="s">
        <v>8</v>
      </c>
      <c r="S20" s="1573">
        <f>F20</f>
        <v>100</v>
      </c>
      <c r="T20" s="1572" t="s">
        <v>8</v>
      </c>
      <c r="U20" s="1573">
        <f>H20</f>
        <v>100</v>
      </c>
      <c r="V20" s="1572" t="s">
        <v>8</v>
      </c>
      <c r="W20" s="1573">
        <f>J20</f>
        <v>100</v>
      </c>
      <c r="X20" s="1566"/>
      <c r="Y20" s="336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68"/>
      <c r="Q21" s="1571"/>
      <c r="R21" s="1572"/>
      <c r="S21" s="1573"/>
      <c r="T21" s="1572"/>
      <c r="U21" s="1573"/>
      <c r="V21" s="1572"/>
      <c r="W21" s="1573"/>
      <c r="X21" s="1566"/>
      <c r="Y21" s="3368"/>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68"/>
      <c r="Q22" s="1571" t="str">
        <f>B22</f>
        <v>楼层</v>
      </c>
      <c r="R22" s="1572" t="s">
        <v>8</v>
      </c>
      <c r="S22" s="1573">
        <f>F22</f>
        <v>100</v>
      </c>
      <c r="T22" s="1572" t="s">
        <v>8</v>
      </c>
      <c r="U22" s="1573">
        <f>H22</f>
        <v>100</v>
      </c>
      <c r="V22" s="1572" t="s">
        <v>8</v>
      </c>
      <c r="W22" s="1573">
        <f>J22</f>
        <v>100</v>
      </c>
      <c r="X22" s="1566"/>
      <c r="Y22" s="3368"/>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68"/>
      <c r="Q23" s="1571">
        <f>B23</f>
        <v>111</v>
      </c>
      <c r="R23" s="1572" t="s">
        <v>8</v>
      </c>
      <c r="S23" s="1573">
        <f>F23</f>
        <v>100</v>
      </c>
      <c r="T23" s="1572" t="s">
        <v>8</v>
      </c>
      <c r="U23" s="1573">
        <f>H23</f>
        <v>100</v>
      </c>
      <c r="V23" s="1572" t="s">
        <v>8</v>
      </c>
      <c r="W23" s="1573">
        <f>J23</f>
        <v>100</v>
      </c>
      <c r="X23" s="1566"/>
      <c r="Y23" s="3368"/>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68"/>
      <c r="Q24" s="1571">
        <f t="shared" ref="Q24:Q34" si="11">B24</f>
        <v>111</v>
      </c>
      <c r="R24" s="1572" t="s">
        <v>8</v>
      </c>
      <c r="S24" s="1573">
        <f>F24</f>
        <v>100</v>
      </c>
      <c r="T24" s="1572" t="s">
        <v>8</v>
      </c>
      <c r="U24" s="1573">
        <f>H24</f>
        <v>100</v>
      </c>
      <c r="V24" s="1572" t="s">
        <v>8</v>
      </c>
      <c r="W24" s="1573">
        <f>J24</f>
        <v>100</v>
      </c>
      <c r="X24" s="1566"/>
      <c r="Y24" s="3368"/>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68"/>
      <c r="Q25" s="1150">
        <f t="shared" si="11"/>
        <v>111</v>
      </c>
      <c r="R25" s="1567" t="s">
        <v>8</v>
      </c>
      <c r="S25" s="1568">
        <f>F25</f>
        <v>100</v>
      </c>
      <c r="T25" s="1567" t="s">
        <v>8</v>
      </c>
      <c r="U25" s="1568">
        <f>H25</f>
        <v>100</v>
      </c>
      <c r="V25" s="1567" t="s">
        <v>8</v>
      </c>
      <c r="W25" s="1568">
        <f>J25</f>
        <v>100</v>
      </c>
      <c r="X25" s="1569"/>
      <c r="Y25" s="3368"/>
      <c r="Z25" s="1149">
        <f>Q25</f>
        <v>111</v>
      </c>
      <c r="AA25" s="1575">
        <f>D25/F25</f>
        <v>1</v>
      </c>
      <c r="AB25" s="1575">
        <f>D25/H25</f>
        <v>1</v>
      </c>
      <c r="AC25" s="1575">
        <f>D25/J25</f>
        <v>1</v>
      </c>
    </row>
    <row r="26" spans="1:29" ht="15">
      <c r="A26" s="2931"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69"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0" t="s">
        <v>821</v>
      </c>
      <c r="Z26" s="1574" t="str">
        <f t="shared" ref="Z26:Z34" si="15">Q26</f>
        <v>公共部分装修</v>
      </c>
      <c r="AA26" s="1575">
        <f t="shared" si="3"/>
        <v>1</v>
      </c>
      <c r="AB26" s="1575">
        <f t="shared" si="4"/>
        <v>1</v>
      </c>
      <c r="AC26" s="1575">
        <f t="shared" si="5"/>
        <v>1</v>
      </c>
    </row>
    <row r="27" spans="1:29" s="1338"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70"/>
      <c r="Q27" s="1604" t="str">
        <f t="shared" si="11"/>
        <v>成新率</v>
      </c>
      <c r="R27" s="1576" t="s">
        <v>8</v>
      </c>
      <c r="S27" s="1577" t="e">
        <f t="shared" si="12"/>
        <v>#N/A</v>
      </c>
      <c r="T27" s="1576" t="s">
        <v>8</v>
      </c>
      <c r="U27" s="1577" t="e">
        <f t="shared" si="13"/>
        <v>#N/A</v>
      </c>
      <c r="V27" s="1576" t="s">
        <v>8</v>
      </c>
      <c r="W27" s="1577" t="e">
        <f t="shared" si="14"/>
        <v>#N/A</v>
      </c>
      <c r="X27" s="1578"/>
      <c r="Y27" s="3370"/>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70"/>
      <c r="Q28" s="1571" t="str">
        <f t="shared" si="11"/>
        <v>物业等级</v>
      </c>
      <c r="R28" s="1572" t="s">
        <v>8</v>
      </c>
      <c r="S28" s="1573">
        <f t="shared" si="12"/>
        <v>100</v>
      </c>
      <c r="T28" s="1572" t="s">
        <v>8</v>
      </c>
      <c r="U28" s="1573">
        <f t="shared" si="13"/>
        <v>100</v>
      </c>
      <c r="V28" s="1572" t="s">
        <v>8</v>
      </c>
      <c r="W28" s="1573">
        <f t="shared" si="14"/>
        <v>100</v>
      </c>
      <c r="X28" s="1566"/>
      <c r="Y28" s="3370"/>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70"/>
      <c r="Q29" s="1571" t="str">
        <f t="shared" si="11"/>
        <v>有无电梯</v>
      </c>
      <c r="R29" s="1572" t="s">
        <v>8</v>
      </c>
      <c r="S29" s="1573">
        <f t="shared" si="12"/>
        <v>100</v>
      </c>
      <c r="T29" s="1572" t="s">
        <v>8</v>
      </c>
      <c r="U29" s="1573">
        <f t="shared" si="13"/>
        <v>100</v>
      </c>
      <c r="V29" s="1572" t="s">
        <v>8</v>
      </c>
      <c r="W29" s="1573">
        <f t="shared" si="14"/>
        <v>100</v>
      </c>
      <c r="X29" s="1566"/>
      <c r="Y29" s="3370"/>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70"/>
      <c r="Q30" s="1571" t="str">
        <f t="shared" si="11"/>
        <v>建筑面积</v>
      </c>
      <c r="R30" s="1572" t="s">
        <v>8</v>
      </c>
      <c r="S30" s="1573" t="e">
        <f t="shared" si="12"/>
        <v>#N/A</v>
      </c>
      <c r="T30" s="1572" t="s">
        <v>8</v>
      </c>
      <c r="U30" s="1573" t="e">
        <f t="shared" si="13"/>
        <v>#N/A</v>
      </c>
      <c r="V30" s="1572" t="s">
        <v>8</v>
      </c>
      <c r="W30" s="1573" t="e">
        <f t="shared" si="14"/>
        <v>#N/A</v>
      </c>
      <c r="X30" s="1566"/>
      <c r="Y30" s="3370"/>
      <c r="Z30" s="1574" t="str">
        <f t="shared" si="15"/>
        <v>建筑面积</v>
      </c>
      <c r="AA30" s="1575" t="e">
        <f t="shared" si="3"/>
        <v>#N/A</v>
      </c>
      <c r="AB30" s="1575" t="e">
        <f t="shared" si="4"/>
        <v>#N/A</v>
      </c>
      <c r="AC30" s="1575" t="e">
        <f t="shared" si="5"/>
        <v>#N/A</v>
      </c>
    </row>
    <row r="31" spans="1:29" s="1219"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70"/>
      <c r="Q31" s="1150" t="str">
        <f t="shared" si="11"/>
        <v>是否封闭</v>
      </c>
      <c r="R31" s="1567" t="s">
        <v>8</v>
      </c>
      <c r="S31" s="1568">
        <f t="shared" si="12"/>
        <v>100</v>
      </c>
      <c r="T31" s="1567" t="s">
        <v>8</v>
      </c>
      <c r="U31" s="1568">
        <f t="shared" si="13"/>
        <v>100</v>
      </c>
      <c r="V31" s="1567" t="s">
        <v>8</v>
      </c>
      <c r="W31" s="1568">
        <f t="shared" si="14"/>
        <v>100</v>
      </c>
      <c r="X31" s="1569"/>
      <c r="Y31" s="3370"/>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70" t="s">
        <v>550</v>
      </c>
      <c r="Q32" s="1571">
        <f t="shared" si="11"/>
        <v>111</v>
      </c>
      <c r="R32" s="1572" t="s">
        <v>8</v>
      </c>
      <c r="S32" s="1573">
        <f t="shared" si="12"/>
        <v>100</v>
      </c>
      <c r="T32" s="1572" t="s">
        <v>8</v>
      </c>
      <c r="U32" s="1573">
        <f t="shared" si="13"/>
        <v>100</v>
      </c>
      <c r="V32" s="1572" t="s">
        <v>8</v>
      </c>
      <c r="W32" s="1573">
        <f t="shared" si="14"/>
        <v>100</v>
      </c>
      <c r="X32" s="1566"/>
      <c r="Y32" s="3370"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70"/>
      <c r="Q33" s="1571">
        <f t="shared" si="11"/>
        <v>111</v>
      </c>
      <c r="R33" s="1572" t="s">
        <v>8</v>
      </c>
      <c r="S33" s="1573">
        <f t="shared" si="12"/>
        <v>100</v>
      </c>
      <c r="T33" s="1572" t="s">
        <v>8</v>
      </c>
      <c r="U33" s="1573">
        <f t="shared" si="13"/>
        <v>100</v>
      </c>
      <c r="V33" s="1572" t="s">
        <v>8</v>
      </c>
      <c r="W33" s="1573">
        <f t="shared" si="14"/>
        <v>100</v>
      </c>
      <c r="X33" s="1566"/>
      <c r="Y33" s="3370"/>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70"/>
      <c r="Q34" s="1571">
        <f t="shared" si="11"/>
        <v>111</v>
      </c>
      <c r="R34" s="1572" t="s">
        <v>8</v>
      </c>
      <c r="S34" s="1573">
        <f t="shared" si="12"/>
        <v>100</v>
      </c>
      <c r="T34" s="1572" t="s">
        <v>8</v>
      </c>
      <c r="U34" s="1573">
        <f t="shared" si="13"/>
        <v>100</v>
      </c>
      <c r="V34" s="1572" t="s">
        <v>8</v>
      </c>
      <c r="W34" s="1573">
        <f t="shared" si="14"/>
        <v>100</v>
      </c>
      <c r="X34" s="1566"/>
      <c r="Y34" s="3370"/>
      <c r="Z34" s="1574">
        <f t="shared" si="15"/>
        <v>111</v>
      </c>
      <c r="AA34" s="1575">
        <f t="shared" si="3"/>
        <v>1</v>
      </c>
      <c r="AB34" s="1575">
        <f t="shared" si="4"/>
        <v>1</v>
      </c>
      <c r="AC34" s="1575">
        <f t="shared" si="5"/>
        <v>1</v>
      </c>
    </row>
    <row r="35" spans="1:29" ht="15">
      <c r="A35" s="607" t="s">
        <v>736</v>
      </c>
      <c r="B35" s="887"/>
      <c r="C35" s="2651" t="s">
        <v>1</v>
      </c>
      <c r="D35" s="2652"/>
      <c r="E35" s="2653"/>
      <c r="F35" s="2654"/>
      <c r="G35" s="2655"/>
      <c r="H35" s="2656"/>
      <c r="I35" s="2653"/>
      <c r="J35" s="2656"/>
      <c r="K35" s="1610"/>
      <c r="L35" s="2144"/>
      <c r="M35" s="2145"/>
      <c r="N35" s="2134"/>
      <c r="O35" s="2145"/>
      <c r="P35" s="3364" t="str">
        <f>A35</f>
        <v>成交单价（元/平方米）</v>
      </c>
      <c r="Q35" s="3364"/>
      <c r="R35" s="3475">
        <f>E35</f>
        <v>0</v>
      </c>
      <c r="S35" s="3475"/>
      <c r="T35" s="3475">
        <f>G35</f>
        <v>0</v>
      </c>
      <c r="U35" s="3475"/>
      <c r="V35" s="3475">
        <f>I35</f>
        <v>0</v>
      </c>
      <c r="W35" s="3475"/>
      <c r="X35" s="1558"/>
      <c r="Y35" s="1580"/>
      <c r="Z35" s="1558"/>
      <c r="AA35" s="1558"/>
      <c r="AB35" s="1558"/>
      <c r="AC35" s="1558"/>
    </row>
    <row r="36" spans="1:29" ht="15.75" thickBot="1">
      <c r="A36" s="615" t="s">
        <v>2761</v>
      </c>
      <c r="B36" s="888"/>
      <c r="C36" s="2657" t="e">
        <f>R37</f>
        <v>#DIV/0!</v>
      </c>
      <c r="D36" s="2658"/>
      <c r="E36" s="2659" t="e">
        <f>R36</f>
        <v>#DIV/0!</v>
      </c>
      <c r="F36" s="2659"/>
      <c r="G36" s="2657" t="e">
        <f>T36</f>
        <v>#DIV/0!</v>
      </c>
      <c r="H36" s="2658"/>
      <c r="I36" s="2659" t="e">
        <f>V36</f>
        <v>#DIV/0!</v>
      </c>
      <c r="J36" s="2658"/>
      <c r="K36" s="1611"/>
      <c r="L36" s="2144"/>
      <c r="M36" s="2145"/>
      <c r="N36" s="2134"/>
      <c r="O36" s="2145"/>
      <c r="P36" s="3364" t="str">
        <f>A36</f>
        <v>比较价格（元/平方米）</v>
      </c>
      <c r="Q36" s="3364"/>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58"/>
      <c r="Y36" s="1558"/>
      <c r="Z36" s="1558"/>
      <c r="AA36" s="1558"/>
      <c r="AB36" s="1558"/>
      <c r="AC36" s="1558"/>
    </row>
    <row r="37" spans="1:29" ht="15.75" thickBot="1">
      <c r="A37" s="621" t="s">
        <v>2928</v>
      </c>
      <c r="B37" s="622"/>
      <c r="C37" s="2660" t="e">
        <f>R37</f>
        <v>#DIV/0!</v>
      </c>
      <c r="D37" s="2660"/>
      <c r="E37" s="2660"/>
      <c r="F37" s="2660"/>
      <c r="G37" s="2660"/>
      <c r="H37" s="2660"/>
      <c r="I37" s="2660"/>
      <c r="J37" s="2660"/>
      <c r="K37" s="1612"/>
      <c r="L37" s="2144"/>
      <c r="M37" s="2145"/>
      <c r="N37" s="2145"/>
      <c r="O37" s="2145"/>
      <c r="P37" s="3361" t="str">
        <f>A37</f>
        <v>估价对象XX用房的比较价格（楼面单价，元/平方米）</v>
      </c>
      <c r="Q37" s="3362"/>
      <c r="R37" s="3474" t="e">
        <f>IF(F1="售价",ROUND(AVERAGE(R36:V36),0),ROUND(AVERAGE(R36:V36),1))</f>
        <v>#DIV/0!</v>
      </c>
      <c r="S37" s="3474"/>
      <c r="T37" s="3474"/>
      <c r="U37" s="3474"/>
      <c r="V37" s="3474"/>
      <c r="W37" s="3474"/>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2304</v>
      </c>
      <c r="C1" s="3484" t="s">
        <v>2305</v>
      </c>
      <c r="D1" s="3485"/>
      <c r="E1" s="3485"/>
      <c r="F1" s="3485"/>
      <c r="G1" s="3485"/>
      <c r="H1" s="3485"/>
      <c r="I1" s="3485"/>
      <c r="J1" s="3485"/>
      <c r="K1" s="3485"/>
      <c r="L1" s="3485"/>
      <c r="M1" s="3485"/>
      <c r="N1" s="3485"/>
      <c r="O1" s="3485"/>
      <c r="P1" s="3485"/>
      <c r="Q1" s="3485"/>
      <c r="R1" s="3485"/>
      <c r="S1" s="348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2921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2920</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2919</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2934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2918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2917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科雅（北京）新型装饰材料有限公司：</v>
      </c>
    </row>
    <row r="4" spans="1:4" ht="37.5">
      <c r="A4" s="1791" t="str">
        <f>"受贵公司委托，我公司对"&amp;项目基本情况!K2&amp;项目基本情况!B9&amp;"进行了预评估。"</f>
        <v>受贵公司委托，我公司对北京市顺义区北小营镇北小营村东出让国有建设用地使用权抵押价格进行了预评估。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雅（北京）新型装饰材料有限公司使用的、位于北京市顺义区北小营镇北小营村东出让国有建设用地使用权。根据《国有土地使用证》[]，估价对象（分摊）出让国有建设用地使用权面积为28344.22平方米。根据《建设工程规划许可证》[]、《出让合同》[]，估价对象规划建筑面积为13432.367平方米。</v>
      </c>
    </row>
    <row r="7" spans="1:4" ht="93.75">
      <c r="A7" s="2897" t="s">
        <v>2749</v>
      </c>
    </row>
    <row r="8" spans="1:4" ht="18.75">
      <c r="A8" s="1794" t="s">
        <v>1907</v>
      </c>
    </row>
    <row r="9" spans="1:4" ht="75">
      <c r="A9" s="1796"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2018年5月30日（评估专业人员勘察现场之日）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根据《国有土地使用证》[]，本次评估估价对象证载（地类）用途为工业工地。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本次评估设定用途即为证载用途工业工地。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根据委托估价方介绍及评估专业人员现场勘查，本次评估估价对象实际土地开发程度为红线外市政基础设施达“五通”（即通路、通电、通上水、通下水、通讯）、宗地红线内场地平整。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99"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5月30日，在规划利用条件下、设定土地开发程度为红线外“五通”、宗地内场地，设定用途为工业工地，剩余土地使用年限为的出让国有建设用地使用权价格。</v>
      </c>
    </row>
    <row r="26" spans="1:1" ht="56.2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43250</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1.5</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2039</v>
      </c>
      <c r="B1" s="3192"/>
      <c r="C1" s="3192"/>
      <c r="D1" s="3192"/>
      <c r="E1" s="3192"/>
      <c r="F1" s="3192"/>
      <c r="G1" s="3192"/>
      <c r="H1" s="3192"/>
      <c r="I1" s="3192"/>
      <c r="J1" s="3192"/>
      <c r="K1" s="3192"/>
      <c r="L1" s="3192"/>
      <c r="M1" s="3192"/>
      <c r="N1" s="3192"/>
      <c r="O1" s="3192"/>
      <c r="P1" s="3192"/>
      <c r="Q1" s="3192"/>
      <c r="R1" s="3192"/>
    </row>
    <row r="2" spans="1:18">
      <c r="A2" s="1807" t="s">
        <v>2041</v>
      </c>
      <c r="B2" s="1807"/>
      <c r="C2" s="1807"/>
      <c r="D2" s="1807"/>
      <c r="E2" s="1807"/>
      <c r="F2" s="1807"/>
      <c r="G2" s="1807"/>
      <c r="H2" s="1807"/>
      <c r="I2" s="1808"/>
      <c r="J2" s="1808"/>
      <c r="K2" s="1809" t="str">
        <f>"估价期日："&amp;TEXT(项目基本情况!D3,"yyyy年m月d日;;")</f>
        <v>估价期日：2018年5月30日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3" t="s">
        <v>2030</v>
      </c>
      <c r="B3" s="3193" t="s">
        <v>2732</v>
      </c>
      <c r="C3" s="3194" t="s">
        <v>2031</v>
      </c>
      <c r="D3" s="3193" t="s">
        <v>2736</v>
      </c>
      <c r="E3" s="3196" t="s">
        <v>2032</v>
      </c>
      <c r="F3" s="3196"/>
      <c r="G3" s="3196"/>
      <c r="H3" s="3196" t="s">
        <v>2033</v>
      </c>
      <c r="I3" s="3196"/>
      <c r="J3" s="3196"/>
      <c r="K3" s="3194" t="s">
        <v>2034</v>
      </c>
      <c r="L3" s="3194" t="s">
        <v>2035</v>
      </c>
      <c r="M3" s="3193" t="s">
        <v>2733</v>
      </c>
      <c r="N3" s="3195" t="str">
        <f>"（分摊）"&amp;项目基本情况!B16&amp;"国有建设用地使用权面积/㎡"</f>
        <v>（分摊）出让国有建设用地使用权面积/㎡</v>
      </c>
      <c r="O3" s="3193" t="s">
        <v>2064</v>
      </c>
      <c r="P3" s="3194" t="s">
        <v>2044</v>
      </c>
      <c r="Q3" s="3194" t="s">
        <v>2065</v>
      </c>
      <c r="R3" s="3194" t="s">
        <v>2036</v>
      </c>
    </row>
    <row r="4" spans="1:18" ht="36.75" customHeight="1">
      <c r="A4" s="3193"/>
      <c r="B4" s="3193"/>
      <c r="C4" s="3194"/>
      <c r="D4" s="3193"/>
      <c r="E4" s="2673" t="s">
        <v>2043</v>
      </c>
      <c r="F4" s="2673" t="s">
        <v>2745</v>
      </c>
      <c r="G4" s="2673" t="s">
        <v>2037</v>
      </c>
      <c r="H4" s="2673" t="s">
        <v>2038</v>
      </c>
      <c r="I4" s="2673" t="s">
        <v>2746</v>
      </c>
      <c r="J4" s="2673" t="s">
        <v>2037</v>
      </c>
      <c r="K4" s="3194"/>
      <c r="L4" s="3194"/>
      <c r="M4" s="3193"/>
      <c r="N4" s="3195"/>
      <c r="O4" s="3193"/>
      <c r="P4" s="3194"/>
      <c r="Q4" s="3194"/>
      <c r="R4" s="3194"/>
    </row>
    <row r="5" spans="1:18" ht="135" customHeight="1">
      <c r="A5" s="1943" t="s">
        <v>2656</v>
      </c>
      <c r="B5" s="2891" t="s">
        <v>2654</v>
      </c>
      <c r="C5" s="2672">
        <v>22</v>
      </c>
      <c r="D5" s="2671" t="s">
        <v>2655</v>
      </c>
      <c r="E5" s="1810" t="str">
        <f>项目基本情况!B12</f>
        <v>工业工地</v>
      </c>
      <c r="F5" s="2671">
        <v>258</v>
      </c>
      <c r="G5" s="1810" t="str">
        <f>项目基本情况!B13</f>
        <v>工业工地</v>
      </c>
      <c r="H5" s="2671">
        <v>1.5</v>
      </c>
      <c r="I5" s="2671">
        <v>1.5</v>
      </c>
      <c r="J5" s="2671">
        <v>1.5</v>
      </c>
      <c r="K5" s="1810" t="str">
        <f>"红线外"&amp;项目基本情况!T40&amp;"、宗地红线内"&amp;项目基本情况!B35</f>
        <v>红线外五通、宗地红线内场地平整</v>
      </c>
      <c r="L5" s="1810" t="str">
        <f>"红线外"&amp;项目基本情况!T40&amp;"、宗地红线内场地"&amp;项目基本情况!D36</f>
        <v>红线外五通、宗地红线内场地</v>
      </c>
      <c r="M5" s="1810">
        <f>IF(项目基本情况!B16="出让",项目基本情况!D20,"——")</f>
        <v>0</v>
      </c>
      <c r="N5" s="1810">
        <f>项目基本情况!C22</f>
        <v>28344.22</v>
      </c>
      <c r="O5" s="1810">
        <f>项目基本情况!C21</f>
        <v>13432.367</v>
      </c>
      <c r="P5" s="1810">
        <f ca="1">结果表!E42</f>
        <v>1091</v>
      </c>
      <c r="Q5" s="1810">
        <f ca="1">结果表!D42</f>
        <v>2303</v>
      </c>
      <c r="R5" s="1811">
        <f ca="1">结果表!C42</f>
        <v>3093</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2" t="str">
        <f>结果表!O39</f>
        <v>——</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2">
        <f ca="1">结果表!O40</f>
        <v>3093</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0" t="s">
        <v>2066</v>
      </c>
      <c r="B1" s="3200"/>
      <c r="C1" s="3200"/>
      <c r="D1" s="3200"/>
    </row>
    <row r="2" spans="1:4" ht="47.25" customHeight="1">
      <c r="A2" s="3204" t="str">
        <f>"1.权利限制："&amp;项目基本情况!L24&amp;"未设定租赁等其他他项权利。"</f>
        <v>1.权利限制：根据估价对象《国有土地使用证》复印件、，截至估价期日，估价对象已设定抵押。未设定租赁等其他他项权利。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3" t="s">
        <v>2067</v>
      </c>
      <c r="B5" s="3203"/>
      <c r="C5" s="3203"/>
      <c r="D5" s="3203"/>
    </row>
    <row r="6" spans="1:4">
      <c r="A6" s="3200" t="s">
        <v>2045</v>
      </c>
      <c r="B6" s="3200"/>
      <c r="C6" s="3200"/>
      <c r="D6" s="3200"/>
    </row>
    <row r="7" spans="1:4" ht="33" customHeight="1">
      <c r="A7" s="3200" t="s">
        <v>2576</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工业项目）作为法定优先受偿款予以扣减。</v>
      </c>
      <c r="B11" s="3202"/>
      <c r="C11" s="3202"/>
      <c r="D11" s="3202"/>
    </row>
    <row r="12" spans="1:4" ht="168" customHeight="1">
      <c r="A12" s="3203" t="s">
        <v>2069</v>
      </c>
      <c r="B12" s="3203"/>
      <c r="C12" s="3203"/>
      <c r="D12" s="3203"/>
    </row>
    <row r="13" spans="1:4">
      <c r="A13" s="3201" t="s">
        <v>2747</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2703</v>
      </c>
      <c r="B17" s="3200"/>
      <c r="C17" s="3200"/>
      <c r="D17" s="3200"/>
    </row>
    <row r="18" spans="1:4">
      <c r="A18" s="3200" t="s">
        <v>2695</v>
      </c>
      <c r="B18" s="3200"/>
      <c r="C18" s="3200"/>
      <c r="D18" s="3200"/>
    </row>
    <row r="19" spans="1:4">
      <c r="A19" s="2892" t="s">
        <v>2696</v>
      </c>
      <c r="B19" s="2892" t="s">
        <v>2697</v>
      </c>
      <c r="C19" s="2892" t="s">
        <v>2698</v>
      </c>
      <c r="D19" s="2892" t="s">
        <v>2699</v>
      </c>
    </row>
    <row r="20" spans="1:4">
      <c r="A20" s="2892" t="str">
        <f>项目基本情况!B4</f>
        <v>王鹏</v>
      </c>
      <c r="B20" s="2892">
        <f ca="1">项目基本情况!C4</f>
        <v>2002110030</v>
      </c>
      <c r="C20" s="2894"/>
      <c r="D20" s="1800" t="s">
        <v>2704</v>
      </c>
    </row>
    <row r="21" spans="1:4">
      <c r="A21" s="2892" t="str">
        <f>项目基本情况!D4</f>
        <v>郑燚</v>
      </c>
      <c r="B21" s="2892">
        <f>项目基本情况!E4</f>
        <v>2014110011</v>
      </c>
      <c r="C21" s="2894"/>
      <c r="D21" s="1800" t="s">
        <v>2705</v>
      </c>
    </row>
    <row r="23" spans="1:4">
      <c r="A23" s="3200" t="s">
        <v>2700</v>
      </c>
      <c r="B23" s="3200"/>
      <c r="C23" s="3200"/>
      <c r="D23" s="3200"/>
    </row>
    <row r="24" spans="1:4">
      <c r="A24" s="2892" t="s">
        <v>2696</v>
      </c>
      <c r="B24" s="2892" t="s">
        <v>2701</v>
      </c>
      <c r="C24" s="2892" t="s">
        <v>2698</v>
      </c>
      <c r="D24" s="2892" t="s">
        <v>2699</v>
      </c>
    </row>
    <row r="25" spans="1:4">
      <c r="A25" s="2895" t="s">
        <v>2702</v>
      </c>
      <c r="B25" s="2892" t="s">
        <v>952</v>
      </c>
      <c r="C25" s="2894"/>
      <c r="D25" s="1800" t="s">
        <v>2705</v>
      </c>
    </row>
    <row r="29" spans="1:4">
      <c r="D29" s="2893" t="s">
        <v>2040</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2" t="s">
        <v>53</v>
      </c>
      <c r="B15" s="3213" t="s">
        <v>846</v>
      </c>
      <c r="C15" s="3209"/>
    </row>
    <row r="16" spans="1:7" ht="14.25">
      <c r="A16" s="3212"/>
      <c r="B16" s="3210" t="s">
        <v>54</v>
      </c>
      <c r="C16" s="1171" t="s">
        <v>53</v>
      </c>
    </row>
    <row r="17" spans="1:3" ht="14.25">
      <c r="A17" s="3212"/>
      <c r="B17" s="3210"/>
      <c r="C17" s="1171" t="s">
        <v>55</v>
      </c>
    </row>
    <row r="18" spans="1:3" ht="14.25">
      <c r="A18" s="3212"/>
      <c r="B18" s="3210"/>
      <c r="C18" s="1171" t="s">
        <v>56</v>
      </c>
    </row>
    <row r="19" spans="1:3" ht="14.25">
      <c r="A19" s="3212"/>
      <c r="B19" s="3208" t="s">
        <v>57</v>
      </c>
      <c r="C19" s="3209"/>
    </row>
    <row r="20" spans="1:3" ht="14.25">
      <c r="A20" s="1172" t="s">
        <v>58</v>
      </c>
      <c r="B20" s="1173"/>
      <c r="C20" s="1174"/>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5" t="s">
        <v>837</v>
      </c>
    </row>
    <row r="25" spans="1:3" ht="14.25">
      <c r="A25" s="3211"/>
      <c r="B25" s="3215"/>
      <c r="C25" s="1175" t="s">
        <v>838</v>
      </c>
    </row>
    <row r="26" spans="1:3" ht="14.25">
      <c r="A26" s="3211"/>
      <c r="B26" s="3215"/>
      <c r="C26" s="1175" t="s">
        <v>839</v>
      </c>
    </row>
    <row r="27" spans="1:3" ht="14.25">
      <c r="A27" s="3211"/>
      <c r="B27" s="3215"/>
      <c r="C27" s="1175" t="s">
        <v>840</v>
      </c>
    </row>
    <row r="28" spans="1:3" ht="14.25">
      <c r="A28" s="3211"/>
      <c r="B28" s="3215"/>
      <c r="C28" s="1175" t="s">
        <v>841</v>
      </c>
    </row>
    <row r="29" spans="1:3" ht="14.25">
      <c r="A29" s="3211"/>
      <c r="B29" s="3215"/>
      <c r="C29" s="1175" t="s">
        <v>842</v>
      </c>
    </row>
    <row r="30" spans="1:3" ht="14.25">
      <c r="A30" s="3211"/>
      <c r="B30" s="3215"/>
      <c r="C30" s="1175" t="s">
        <v>843</v>
      </c>
    </row>
    <row r="31" spans="1:3" ht="14.25">
      <c r="A31" s="3211"/>
      <c r="B31" s="3215"/>
      <c r="C31" s="1175" t="s">
        <v>844</v>
      </c>
    </row>
    <row r="32" spans="1:3" ht="14.25">
      <c r="A32" s="3211"/>
      <c r="B32" s="3215"/>
      <c r="C32" s="1175" t="s">
        <v>1647</v>
      </c>
    </row>
    <row r="33" spans="1:3" ht="14.25">
      <c r="A33" s="3211"/>
      <c r="B33" s="3205" t="s">
        <v>1653</v>
      </c>
      <c r="C33" s="1175" t="s">
        <v>1648</v>
      </c>
    </row>
    <row r="34" spans="1:3" ht="14.25">
      <c r="A34" s="3211"/>
      <c r="B34" s="3206"/>
      <c r="C34" s="1180" t="s">
        <v>1649</v>
      </c>
    </row>
    <row r="35" spans="1:3" ht="14.25">
      <c r="A35" s="3211"/>
      <c r="B35" s="3206"/>
      <c r="C35" s="1181" t="s">
        <v>1650</v>
      </c>
    </row>
    <row r="36" spans="1:3" ht="14.25">
      <c r="A36" s="3211"/>
      <c r="B36" s="3206"/>
      <c r="C36" s="1181" t="s">
        <v>1651</v>
      </c>
    </row>
    <row r="37" spans="1:3" ht="14.25">
      <c r="A37" s="3211"/>
      <c r="B37" s="320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43250</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2973</v>
      </c>
      <c r="B12" s="2343">
        <v>1120110054</v>
      </c>
      <c r="C12" s="3030">
        <v>43937</v>
      </c>
      <c r="D12" s="2343" t="s">
        <v>2973</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2054</v>
      </c>
      <c r="B24" s="2345" t="s">
        <v>2054</v>
      </c>
      <c r="C24" s="3030"/>
      <c r="D24" s="3032" t="s">
        <v>2054</v>
      </c>
      <c r="E24" s="2345" t="s">
        <v>2054</v>
      </c>
      <c r="F24" s="2346"/>
    </row>
    <row r="25" spans="1:7" ht="20.25" customHeight="1">
      <c r="A25" s="3216" t="s">
        <v>1929</v>
      </c>
      <c r="B25" s="3216"/>
      <c r="C25" s="3216"/>
      <c r="D25" s="3216"/>
      <c r="E25" s="3216"/>
      <c r="F25" s="3216"/>
      <c r="G25" s="3216"/>
    </row>
    <row r="26" spans="1:7" ht="20.25" customHeight="1">
      <c r="A26" s="3217" t="s">
        <v>1930</v>
      </c>
      <c r="B26" s="3217"/>
      <c r="C26" s="3217"/>
      <c r="D26" s="3217" t="s">
        <v>1931</v>
      </c>
      <c r="E26" s="3217"/>
      <c r="F26" s="321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2938</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39" sqref="Z3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1" t="s">
        <v>2950</v>
      </c>
      <c r="C18" s="1553"/>
    </row>
    <row r="19" spans="1:3">
      <c r="A19" s="8" t="s">
        <v>120</v>
      </c>
      <c r="B19" s="3141" t="s">
        <v>2958</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雅（北京）新型装饰材料有限公司拟使用北京市顺义区北小营镇北小营村东出让国有建设用地使用权作为抵押担保物，向新韩银行北京顺义支行办理贷款手续。新韩银行北京顺义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30日，在规划利用条件下、设定土地开发程度为红线外“五通”、宗地内场地，设定用途为工业工地，剩余土地使用年限为的出让国有建设用地使用权价格。</v>
      </c>
      <c r="D53" s="1767"/>
      <c r="E53" s="1767"/>
    </row>
    <row r="54" spans="1:5">
      <c r="A54" s="321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132</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2018-05-30T08:44:55Z</dcterms:modified>
</cp:coreProperties>
</file>