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工规面积指标" sheetId="72" r:id="rId13"/>
    <sheet name="总投" sheetId="74" r:id="rId14"/>
    <sheet name="街道图" sheetId="73" r:id="rId15"/>
    <sheet name="数据-汇总表" sheetId="6" r:id="rId16"/>
    <sheet name="数据-取费表" sheetId="1" r:id="rId17"/>
    <sheet name="估价对象房地状况" sheetId="20" state="hidden" r:id="rId18"/>
    <sheet name="系统读取表" sheetId="66" r:id="rId19"/>
    <sheet name="结果表" sheetId="9" r:id="rId20"/>
    <sheet name="比较法-住宅、综合" sheetId="39"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 sheetId="76" r:id="rId41"/>
    <sheet name="不动产比较法-车位" sheetId="35" r:id="rId42"/>
    <sheet name="收益还原法" sheetId="44" state="hidden" r:id="rId43"/>
    <sheet name="不动产收益法-车位" sheetId="79" r:id="rId44"/>
    <sheet name="不动产收益法" sheetId="15" r:id="rId45"/>
    <sheet name="车位" sheetId="77" r:id="rId46"/>
    <sheet name="不动产比较法-仓储" sheetId="36" state="hidden" r:id="rId47"/>
    <sheet name="典型户型修正" sheetId="31" state="hidden" r:id="rId48"/>
    <sheet name="存贷款利率" sheetId="65" state="hidden" r:id="rId49"/>
    <sheet name="仓储" sheetId="78" r:id="rId50"/>
  </sheets>
  <externalReferences>
    <externalReference r:id="rId51"/>
    <externalReference r:id="rId52"/>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6"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6">'不动产比较法-仓储'!$A$1:$K$42,'不动产比较法-仓储'!$A$45:$M$96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43">'不动产收益法-车位'!$A$1:$F$43,'不动产收益法-车位'!$H$3:$M$29,'不动产收益法-车位'!$A$46:$F$70,'不动产收益法-车位'!$I$46:$M$60</definedName>
    <definedName name="_xlnm.Print_Area" localSheetId="35">成本逼近法!$A$1:$G$23</definedName>
    <definedName name="_xlnm.Print_Area" localSheetId="17">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9">结果表!$A$1:$I$46,结果表!$K$25:$O$44,结果表!$A$62:$I$115,结果表!$K$64:$P$81</definedName>
    <definedName name="_xlnm.Print_Area" localSheetId="22">'剩余法-待开发'!$A$1:$K$36</definedName>
    <definedName name="_xlnm.Print_Area" localSheetId="23">'剩余法-现房'!$A$1:$K$27</definedName>
    <definedName name="_xlnm.Print_Area" localSheetId="42">收益还原法!$A$1:$F$46,收益还原法!$H$3:$M$31,收益还原法!$I$47:$M$61</definedName>
    <definedName name="_xlnm.Print_Area" localSheetId="15">'数据-汇总表'!$A$1:$P$32</definedName>
    <definedName name="_xlnm.Print_Area" localSheetId="18">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Q73" i="79" l="1"/>
  <c r="Q60" i="79"/>
  <c r="D60" i="79"/>
  <c r="Q59" i="79"/>
  <c r="K59" i="79"/>
  <c r="P75" i="79" s="1"/>
  <c r="F58" i="79"/>
  <c r="Q52" i="79"/>
  <c r="J50" i="79"/>
  <c r="J51" i="79" s="1"/>
  <c r="M47" i="79"/>
  <c r="F34" i="79"/>
  <c r="F33" i="79"/>
  <c r="F60" i="79" s="1"/>
  <c r="F32" i="79"/>
  <c r="F59" i="79" s="1"/>
  <c r="F31" i="79"/>
  <c r="F28" i="79"/>
  <c r="C28" i="79"/>
  <c r="F23" i="79"/>
  <c r="D24" i="79" s="1"/>
  <c r="D23" i="79"/>
  <c r="D22" i="79"/>
  <c r="F21" i="79"/>
  <c r="M20" i="79"/>
  <c r="F20" i="79"/>
  <c r="M19" i="79"/>
  <c r="M18" i="79"/>
  <c r="F18" i="79"/>
  <c r="M17" i="79"/>
  <c r="F17" i="79"/>
  <c r="F15" i="79"/>
  <c r="G1" i="79"/>
  <c r="F6" i="79"/>
  <c r="F35" i="79"/>
  <c r="M27" i="79"/>
  <c r="M21" i="79"/>
  <c r="J15" i="79"/>
  <c r="J36" i="79"/>
  <c r="F26" i="79"/>
  <c r="C14" i="79"/>
  <c r="M23" i="79"/>
  <c r="M9" i="79"/>
  <c r="F43" i="79"/>
  <c r="F70" i="79" l="1"/>
  <c r="C15" i="79"/>
  <c r="C18" i="79"/>
  <c r="Q72" i="79"/>
  <c r="J20" i="79"/>
  <c r="F62" i="79"/>
  <c r="C34" i="79"/>
  <c r="C27" i="79"/>
  <c r="P62" i="79"/>
  <c r="L46" i="79"/>
  <c r="F61" i="79"/>
  <c r="AD13" i="3"/>
  <c r="O11" i="12"/>
  <c r="N11" i="12"/>
  <c r="N10" i="12"/>
  <c r="M35" i="72"/>
  <c r="M22" i="79"/>
  <c r="L47" i="79"/>
  <c r="F38" i="79"/>
  <c r="F8" i="79"/>
  <c r="F13" i="79"/>
  <c r="F37" i="79"/>
  <c r="M28" i="79"/>
  <c r="F40" i="79"/>
  <c r="M24" i="79"/>
  <c r="F16" i="79"/>
  <c r="F7" i="79"/>
  <c r="C17" i="79"/>
  <c r="L48" i="79"/>
  <c r="M8" i="79"/>
  <c r="F36" i="79"/>
  <c r="M6" i="79"/>
  <c r="M26" i="79"/>
  <c r="F9" i="79"/>
  <c r="F42" i="79"/>
  <c r="M29" i="79"/>
  <c r="F48" i="79" l="1"/>
  <c r="F63" i="79"/>
  <c r="L56" i="79"/>
  <c r="L57" i="79"/>
  <c r="L60" i="79"/>
  <c r="J60" i="79"/>
  <c r="Q49" i="79" s="1"/>
  <c r="J57" i="79"/>
  <c r="J55" i="79" s="1"/>
  <c r="J58" i="79" s="1"/>
  <c r="Q51" i="79" s="1"/>
  <c r="J53" i="79"/>
  <c r="J59" i="79"/>
  <c r="I54" i="79"/>
  <c r="F49" i="79"/>
  <c r="M7" i="79"/>
  <c r="J6" i="79" s="1"/>
  <c r="F67" i="79"/>
  <c r="F64" i="79"/>
  <c r="F50" i="79"/>
  <c r="C6" i="79"/>
  <c r="F65" i="79"/>
  <c r="L58" i="79"/>
  <c r="L59" i="79"/>
  <c r="C61" i="79"/>
  <c r="C39" i="9"/>
  <c r="C38" i="9"/>
  <c r="C37" i="9"/>
  <c r="K35" i="72"/>
  <c r="H20" i="72"/>
  <c r="C16" i="79"/>
  <c r="C19" i="79" l="1"/>
  <c r="J18" i="79"/>
  <c r="J19" i="79"/>
  <c r="Q61" i="79"/>
  <c r="Q74" i="79"/>
  <c r="C32" i="79"/>
  <c r="C33" i="79"/>
  <c r="Q67" i="79"/>
  <c r="Q58" i="79"/>
  <c r="Q75" i="79"/>
  <c r="Q62" i="79"/>
  <c r="F1" i="79"/>
  <c r="Q53" i="79"/>
  <c r="C48" i="79"/>
  <c r="C100" i="35"/>
  <c r="D100" i="35"/>
  <c r="I9" i="1"/>
  <c r="J9" i="1"/>
  <c r="H9" i="1"/>
  <c r="J17" i="79" l="1"/>
  <c r="C60" i="79"/>
  <c r="C31" i="79"/>
  <c r="C20" i="79"/>
  <c r="D102" i="35"/>
  <c r="E102" i="35" s="1"/>
  <c r="F102" i="35" s="1"/>
  <c r="G102" i="35" s="1"/>
  <c r="H102" i="35" s="1"/>
  <c r="I102" i="35" s="1"/>
  <c r="C26" i="79" l="1"/>
  <c r="J102" i="35"/>
  <c r="E100" i="35"/>
  <c r="F34" i="72"/>
  <c r="F33" i="72"/>
  <c r="K102" i="35" l="1"/>
  <c r="F100" i="35"/>
  <c r="B13" i="74"/>
  <c r="K19" i="9" l="1"/>
  <c r="I47" i="21" l="1"/>
  <c r="G47" i="21"/>
  <c r="E47" i="21"/>
  <c r="S8" i="77"/>
  <c r="S9" i="77"/>
  <c r="S5" i="77"/>
  <c r="S7" i="77"/>
  <c r="S6" i="77"/>
  <c r="M4" i="77"/>
  <c r="M5" i="77"/>
  <c r="G37" i="35" s="1"/>
  <c r="M6" i="77"/>
  <c r="E37" i="35" s="1"/>
  <c r="M7" i="77"/>
  <c r="M8" i="77"/>
  <c r="M9" i="77"/>
  <c r="I37" i="35" s="1"/>
  <c r="M3" i="77"/>
  <c r="L4" i="77"/>
  <c r="L5" i="77"/>
  <c r="L6" i="77"/>
  <c r="L7" i="77"/>
  <c r="L8" i="77"/>
  <c r="L9" i="77"/>
  <c r="L3" i="77"/>
  <c r="I40" i="39"/>
  <c r="I9" i="39"/>
  <c r="I8" i="39"/>
  <c r="I7" i="39"/>
  <c r="G48" i="39"/>
  <c r="G40" i="39"/>
  <c r="G9" i="39"/>
  <c r="G8" i="39"/>
  <c r="G7" i="39"/>
  <c r="E48" i="39"/>
  <c r="E40" i="39"/>
  <c r="E9" i="39"/>
  <c r="E8" i="39"/>
  <c r="E7" i="39"/>
  <c r="AD127" i="75"/>
  <c r="AD128" i="75" s="1"/>
  <c r="AD126" i="75"/>
  <c r="AD124" i="75"/>
  <c r="AD120" i="75"/>
  <c r="AD757" i="75"/>
  <c r="AD758" i="75" s="1"/>
  <c r="AD759" i="75" s="1"/>
  <c r="AD755" i="75"/>
  <c r="I48" i="39" s="1"/>
  <c r="AD751" i="75"/>
  <c r="AD750" i="75"/>
  <c r="W753" i="75" s="1"/>
  <c r="K4" i="72" l="1"/>
  <c r="D54" i="36"/>
  <c r="E54" i="36" s="1"/>
  <c r="D66" i="21"/>
  <c r="E66" i="21" s="1"/>
  <c r="F66" i="21" s="1"/>
  <c r="G66" i="21" s="1"/>
  <c r="N36" i="1" l="1"/>
  <c r="I8" i="1"/>
  <c r="J8" i="1"/>
  <c r="H8" i="1"/>
  <c r="I7" i="1"/>
  <c r="J7" i="1"/>
  <c r="H7" i="1"/>
  <c r="N50" i="72" l="1"/>
  <c r="O21" i="72"/>
  <c r="L22" i="72"/>
  <c r="E31" i="72" s="1"/>
  <c r="I30" i="72" s="1"/>
  <c r="M22" i="72"/>
  <c r="AJ13" i="3" s="1"/>
  <c r="N22" i="72"/>
  <c r="E32" i="72" s="1"/>
  <c r="M13" i="3" s="1"/>
  <c r="G22" i="6" s="1"/>
  <c r="O22" i="72"/>
  <c r="Q22" i="72"/>
  <c r="I31" i="72" s="1"/>
  <c r="F22" i="72"/>
  <c r="G22" i="72"/>
  <c r="I22" i="72"/>
  <c r="D34" i="72" s="1"/>
  <c r="J22" i="72"/>
  <c r="K19" i="72"/>
  <c r="K20" i="72"/>
  <c r="K21" i="72"/>
  <c r="D13" i="72"/>
  <c r="D14" i="72"/>
  <c r="D15" i="72"/>
  <c r="D17" i="72"/>
  <c r="D18" i="72"/>
  <c r="D19" i="72"/>
  <c r="C19" i="72" s="1"/>
  <c r="D21" i="72"/>
  <c r="C21" i="72" s="1"/>
  <c r="D12" i="72"/>
  <c r="E16" i="72"/>
  <c r="E22" i="72" s="1"/>
  <c r="D30" i="72" s="1"/>
  <c r="H22" i="72"/>
  <c r="J30" i="72" l="1"/>
  <c r="I32" i="72"/>
  <c r="C32" i="72"/>
  <c r="I13" i="3"/>
  <c r="F19" i="6" s="1"/>
  <c r="D33" i="72"/>
  <c r="C30" i="72"/>
  <c r="AL13" i="3"/>
  <c r="D35" i="72"/>
  <c r="D20" i="72"/>
  <c r="C20" i="72" s="1"/>
  <c r="D16" i="72"/>
  <c r="C31" i="72"/>
  <c r="K13" i="3"/>
  <c r="AT13" i="3"/>
  <c r="E9" i="6"/>
  <c r="AH13" i="3"/>
  <c r="E35" i="72"/>
  <c r="AF13" i="3" s="1"/>
  <c r="E33" i="72"/>
  <c r="P18" i="72"/>
  <c r="K18" i="72" s="1"/>
  <c r="C18" i="72" s="1"/>
  <c r="P17" i="72"/>
  <c r="K17" i="72" s="1"/>
  <c r="C17" i="72" s="1"/>
  <c r="P16" i="72"/>
  <c r="K16" i="72" s="1"/>
  <c r="P15" i="72"/>
  <c r="K15" i="72" s="1"/>
  <c r="C15" i="72" s="1"/>
  <c r="P14" i="72"/>
  <c r="K14" i="72" s="1"/>
  <c r="C14" i="72" s="1"/>
  <c r="P13" i="72"/>
  <c r="K13" i="72" s="1"/>
  <c r="C13" i="72" s="1"/>
  <c r="P12" i="72"/>
  <c r="E6" i="72"/>
  <c r="D5" i="72"/>
  <c r="G4" i="72"/>
  <c r="D36" i="72" l="1"/>
  <c r="J31" i="72"/>
  <c r="K31" i="72" s="1"/>
  <c r="J34" i="72"/>
  <c r="N8" i="12"/>
  <c r="K30" i="72"/>
  <c r="D22" i="72"/>
  <c r="M25" i="1" s="1"/>
  <c r="C16" i="72"/>
  <c r="B24" i="72"/>
  <c r="C33" i="72"/>
  <c r="D6" i="72"/>
  <c r="M19" i="9" s="1"/>
  <c r="L19" i="9"/>
  <c r="P22" i="72"/>
  <c r="E34" i="72" s="1"/>
  <c r="K12" i="72"/>
  <c r="C35" i="72"/>
  <c r="D37" i="72"/>
  <c r="D3" i="4"/>
  <c r="J36" i="72" l="1"/>
  <c r="AH7" i="1"/>
  <c r="L34" i="72"/>
  <c r="N9" i="12"/>
  <c r="J32" i="72"/>
  <c r="C12" i="72"/>
  <c r="C22" i="72" s="1"/>
  <c r="C23" i="72" s="1"/>
  <c r="K22" i="72"/>
  <c r="M26" i="1" s="1"/>
  <c r="O26" i="1" s="1"/>
  <c r="O25" i="1"/>
  <c r="AN13" i="3"/>
  <c r="E36" i="72"/>
  <c r="E37" i="72" s="1"/>
  <c r="C34" i="72"/>
  <c r="C36" i="72" s="1"/>
  <c r="C37" i="72" s="1"/>
  <c r="G14" i="65"/>
  <c r="F14" i="65"/>
  <c r="E14" i="65"/>
  <c r="M34" i="72" l="1"/>
  <c r="G20" i="6"/>
  <c r="L36" i="72"/>
  <c r="L35" i="72"/>
  <c r="O24" i="1"/>
  <c r="M24" i="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21" i="6" l="1"/>
  <c r="N35" i="72"/>
  <c r="O10" i="12"/>
  <c r="O9" i="12"/>
  <c r="C31" i="35"/>
  <c r="M30" i="1"/>
  <c r="M27" i="1"/>
  <c r="O27" i="1" s="1"/>
  <c r="M28" i="1"/>
  <c r="O28" i="1" s="1"/>
  <c r="N24" i="1"/>
  <c r="G15" i="65"/>
  <c r="F15" i="65"/>
  <c r="E15" i="65"/>
  <c r="G13" i="65"/>
  <c r="F13" i="65"/>
  <c r="E13" i="65"/>
  <c r="G16" i="65"/>
  <c r="F16" i="65"/>
  <c r="E16" i="65"/>
  <c r="O29" i="1" l="1"/>
  <c r="N29" i="1" s="1"/>
  <c r="N23" i="1" s="1"/>
  <c r="AB32" i="70"/>
  <c r="AA32" i="70"/>
  <c r="Z32" i="70"/>
  <c r="N32" i="70"/>
  <c r="M32" i="70"/>
  <c r="P32" i="70" s="1"/>
  <c r="L32" i="70"/>
  <c r="I32" i="70"/>
  <c r="AC7" i="70"/>
  <c r="AB7" i="70"/>
  <c r="AA7" i="70"/>
  <c r="AD7" i="70" s="1"/>
  <c r="Z7" i="70"/>
  <c r="Y7" i="70"/>
  <c r="O7" i="70"/>
  <c r="N7" i="70"/>
  <c r="M7" i="70"/>
  <c r="P7" i="70" s="1"/>
  <c r="L7" i="70"/>
  <c r="K7" i="70"/>
  <c r="I7" i="70"/>
  <c r="O30" i="1" l="1"/>
  <c r="N30" i="1" s="1"/>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AB3" i="70" l="1"/>
  <c r="V18" i="70"/>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AH11" i="59"/>
  <c r="AG11" i="59"/>
  <c r="AE11" i="59"/>
  <c r="AF11" i="59" s="1"/>
  <c r="AD11" i="59"/>
  <c r="Q11" i="59"/>
  <c r="P11" i="59"/>
  <c r="O11" i="59"/>
  <c r="N11" i="59"/>
  <c r="C41" i="68" l="1"/>
  <c r="AH12" i="59"/>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E89" i="59"/>
  <c r="E88" i="59" s="1"/>
  <c r="E87" i="59" s="1"/>
  <c r="C89" i="59"/>
  <c r="D89" i="59" s="1"/>
  <c r="B89" i="59"/>
  <c r="B88" i="59" s="1"/>
  <c r="B87" i="59" s="1"/>
  <c r="F88" i="59"/>
  <c r="F87" i="59" s="1"/>
  <c r="D86" i="59"/>
  <c r="F85" i="59"/>
  <c r="F84" i="59" s="1"/>
  <c r="F83" i="59" s="1"/>
  <c r="E85" i="59"/>
  <c r="E84" i="59" s="1"/>
  <c r="E83" i="59" s="1"/>
  <c r="C85" i="59"/>
  <c r="C84" i="59" s="1"/>
  <c r="C83" i="59" s="1"/>
  <c r="D83" i="59" s="1"/>
  <c r="D85" i="59"/>
  <c r="B85" i="59"/>
  <c r="B84" i="59" s="1"/>
  <c r="B83" i="59" s="1"/>
  <c r="D82" i="59"/>
  <c r="Q81" i="59"/>
  <c r="P81" i="59"/>
  <c r="O81" i="59"/>
  <c r="N81" i="59"/>
  <c r="F81" i="59"/>
  <c r="V81" i="59" s="1"/>
  <c r="E81" i="59"/>
  <c r="C81" i="59"/>
  <c r="T81" i="59" s="1"/>
  <c r="B81" i="59"/>
  <c r="B80" i="59" s="1"/>
  <c r="B79" i="59" s="1"/>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C73" i="59"/>
  <c r="T73" i="59" s="1"/>
  <c r="B73" i="59"/>
  <c r="B72" i="59" s="1"/>
  <c r="B71" i="59" s="1"/>
  <c r="Q72" i="59"/>
  <c r="P72" i="59"/>
  <c r="O72" i="59"/>
  <c r="N72" i="59"/>
  <c r="Q71" i="59"/>
  <c r="P71" i="59"/>
  <c r="O71" i="59"/>
  <c r="N71" i="59"/>
  <c r="Q70" i="59"/>
  <c r="P70" i="59"/>
  <c r="O70" i="59"/>
  <c r="N70" i="59"/>
  <c r="D70" i="59"/>
  <c r="F69" i="59"/>
  <c r="V69" i="59" s="1"/>
  <c r="E69" i="59"/>
  <c r="E68" i="59" s="1"/>
  <c r="P68" i="59" s="1"/>
  <c r="C69" i="59"/>
  <c r="O69" i="59" s="1"/>
  <c r="B69" i="59"/>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N35" i="59"/>
  <c r="Q34" i="59"/>
  <c r="P34" i="59"/>
  <c r="O34" i="59"/>
  <c r="C35" i="59"/>
  <c r="C36" i="59" s="1"/>
  <c r="N34" i="59"/>
  <c r="B35" i="59" s="1"/>
  <c r="D34" i="59"/>
  <c r="Q33" i="59"/>
  <c r="P33" i="59"/>
  <c r="O33" i="59"/>
  <c r="N33" i="59"/>
  <c r="Q32" i="59"/>
  <c r="P32" i="59"/>
  <c r="O32" i="59"/>
  <c r="N32" i="59"/>
  <c r="Q31" i="59"/>
  <c r="P31" i="59"/>
  <c r="O31" i="59"/>
  <c r="N31" i="59"/>
  <c r="Q30" i="59"/>
  <c r="P30" i="59"/>
  <c r="E31" i="59" s="1"/>
  <c r="E32" i="59" s="1"/>
  <c r="E33" i="59" s="1"/>
  <c r="U33" i="59" s="1"/>
  <c r="O30" i="59"/>
  <c r="N30" i="59"/>
  <c r="D30" i="59"/>
  <c r="AA27" i="59"/>
  <c r="AA40" i="59"/>
  <c r="F57" i="59"/>
  <c r="V57" i="59" s="1"/>
  <c r="D47" i="59"/>
  <c r="T69" i="59"/>
  <c r="C68" i="59"/>
  <c r="D68" i="59" s="1"/>
  <c r="P69" i="59"/>
  <c r="C76" i="59"/>
  <c r="D76" i="59" s="1"/>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H19" i="4"/>
  <c r="G19" i="4"/>
  <c r="F12" i="1" s="1"/>
  <c r="AP12" i="1" s="1"/>
  <c r="F19" i="4"/>
  <c r="E19" i="4"/>
  <c r="B2" i="52"/>
  <c r="B15" i="52" s="1"/>
  <c r="F41" i="4"/>
  <c r="J52" i="40" s="1"/>
  <c r="H42" i="46"/>
  <c r="H41" i="46"/>
  <c r="H40" i="46"/>
  <c r="H39" i="46"/>
  <c r="H38" i="46"/>
  <c r="H37" i="46"/>
  <c r="C10" i="46"/>
  <c r="C11" i="46" s="1"/>
  <c r="C9" i="46"/>
  <c r="E19" i="6"/>
  <c r="E32" i="6" s="1"/>
  <c r="E20" i="6"/>
  <c r="K7" i="1" s="1"/>
  <c r="E21" i="6"/>
  <c r="K8" i="1" s="1"/>
  <c r="E22" i="6"/>
  <c r="E23" i="6"/>
  <c r="E24" i="6"/>
  <c r="E25" i="6"/>
  <c r="K12" i="1" s="1"/>
  <c r="M12" i="1" s="1"/>
  <c r="E26" i="6"/>
  <c r="C35" i="4"/>
  <c r="E16" i="12"/>
  <c r="F14" i="12"/>
  <c r="F15" i="12"/>
  <c r="F17" i="12"/>
  <c r="E19" i="12"/>
  <c r="E21" i="12"/>
  <c r="E22" i="12"/>
  <c r="F23" i="12"/>
  <c r="F24" i="12"/>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42" i="34"/>
  <c r="AB42" i="34" s="1"/>
  <c r="J42" i="34"/>
  <c r="F42" i="34"/>
  <c r="AA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E89" i="40" s="1"/>
  <c r="F89" i="40" s="1"/>
  <c r="G89" i="40" s="1"/>
  <c r="H21" i="40"/>
  <c r="AB21" i="40" s="1"/>
  <c r="D87" i="40"/>
  <c r="E87" i="40" s="1"/>
  <c r="D85" i="40"/>
  <c r="E85" i="40" s="1"/>
  <c r="F85" i="40" s="1"/>
  <c r="G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c r="F25" i="37"/>
  <c r="AA25" i="37" s="1"/>
  <c r="Q23" i="37"/>
  <c r="Z23" i="37"/>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F25" i="36" s="1"/>
  <c r="AA25" i="36" s="1"/>
  <c r="B73" i="36"/>
  <c r="B71" i="36"/>
  <c r="D70" i="36"/>
  <c r="H22" i="36"/>
  <c r="AB22" i="36" s="1"/>
  <c r="D68" i="36"/>
  <c r="E68" i="36"/>
  <c r="F68" i="36" s="1"/>
  <c r="G68" i="36" s="1"/>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J35" i="35" s="1"/>
  <c r="AC35" i="35" s="1"/>
  <c r="B97" i="35"/>
  <c r="B77" i="35"/>
  <c r="H25" i="35" s="1"/>
  <c r="AB25" i="35" s="1"/>
  <c r="B75" i="35"/>
  <c r="J24" i="35" s="1"/>
  <c r="B73" i="35"/>
  <c r="B57" i="35"/>
  <c r="F11" i="35" s="1"/>
  <c r="S11" i="35" s="1"/>
  <c r="B61" i="35"/>
  <c r="J13" i="35" s="1"/>
  <c r="AC13" i="35" s="1"/>
  <c r="B59" i="35"/>
  <c r="H12" i="35" s="1"/>
  <c r="B131" i="34"/>
  <c r="H47" i="34" s="1"/>
  <c r="U47" i="34" s="1"/>
  <c r="B129" i="34"/>
  <c r="J46" i="34" s="1"/>
  <c r="AC46" i="34" s="1"/>
  <c r="B127" i="34"/>
  <c r="J45" i="34" s="1"/>
  <c r="W45" i="34" s="1"/>
  <c r="B99" i="34"/>
  <c r="B97" i="34"/>
  <c r="F31" i="34" s="1"/>
  <c r="S31" i="34" s="1"/>
  <c r="B95" i="34"/>
  <c r="J30" i="34" s="1"/>
  <c r="W30" i="34" s="1"/>
  <c r="B93" i="34"/>
  <c r="H29" i="34" s="1"/>
  <c r="U29" i="34" s="1"/>
  <c r="B75" i="34"/>
  <c r="B73" i="34"/>
  <c r="H13" i="34" s="1"/>
  <c r="B71" i="34"/>
  <c r="H12" i="34" s="1"/>
  <c r="U12" i="34" s="1"/>
  <c r="B130" i="33"/>
  <c r="H46" i="33" s="1"/>
  <c r="AB46" i="33" s="1"/>
  <c r="B128" i="33"/>
  <c r="H45" i="33" s="1"/>
  <c r="U45" i="33" s="1"/>
  <c r="B126" i="33"/>
  <c r="J44" i="33" s="1"/>
  <c r="AC44" i="33" s="1"/>
  <c r="B98" i="33"/>
  <c r="F31" i="33" s="1"/>
  <c r="B96" i="33"/>
  <c r="H30" i="33" s="1"/>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S39" i="34" s="1"/>
  <c r="Q38" i="34"/>
  <c r="Z38" i="34"/>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U27" i="33"/>
  <c r="D87" i="33"/>
  <c r="E87" i="33" s="1"/>
  <c r="F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H9" i="21" s="1"/>
  <c r="AB9" i="21" s="1"/>
  <c r="G18" i="20"/>
  <c r="B90" i="46" s="1"/>
  <c r="C25" i="40"/>
  <c r="G16" i="20"/>
  <c r="G15" i="20"/>
  <c r="B83" i="46" s="1"/>
  <c r="C24" i="20"/>
  <c r="B75" i="46" s="1"/>
  <c r="C21" i="20"/>
  <c r="C29" i="39" s="1"/>
  <c r="C20" i="20"/>
  <c r="C18" i="20"/>
  <c r="B73" i="46" s="1"/>
  <c r="C17" i="20"/>
  <c r="B61" i="46" s="1"/>
  <c r="C16" i="20"/>
  <c r="B50" i="46" s="1"/>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B130" i="21"/>
  <c r="B128" i="21"/>
  <c r="J45" i="21" s="1"/>
  <c r="W45" i="21" s="1"/>
  <c r="B126" i="21"/>
  <c r="H44" i="21" s="1"/>
  <c r="B98" i="21"/>
  <c r="B96" i="21"/>
  <c r="H30" i="21" s="1"/>
  <c r="U30" i="21" s="1"/>
  <c r="B94" i="21"/>
  <c r="F29" i="21" s="1"/>
  <c r="B92" i="21"/>
  <c r="F28" i="21" s="1"/>
  <c r="B90" i="21"/>
  <c r="B74" i="21"/>
  <c r="F14" i="21" s="1"/>
  <c r="B72" i="21"/>
  <c r="F13" i="21" s="1"/>
  <c r="AA13" i="21" s="1"/>
  <c r="B70" i="21"/>
  <c r="F10" i="21"/>
  <c r="AA10"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W33" i="21" s="1"/>
  <c r="H33" i="21"/>
  <c r="U33" i="21" s="1"/>
  <c r="F33" i="21"/>
  <c r="S33" i="21" s="1"/>
  <c r="J10" i="21"/>
  <c r="AC10" i="21" s="1"/>
  <c r="H26" i="21"/>
  <c r="H19" i="21"/>
  <c r="AB19" i="21" s="1"/>
  <c r="J26" i="21"/>
  <c r="W26" i="21"/>
  <c r="F26" i="21"/>
  <c r="AA26" i="21" s="1"/>
  <c r="AB41" i="21"/>
  <c r="W41" i="21"/>
  <c r="S10" i="39"/>
  <c r="F39" i="37"/>
  <c r="S39" i="37" s="1"/>
  <c r="F29" i="36"/>
  <c r="AA29" i="36"/>
  <c r="F16" i="36"/>
  <c r="AA16" i="36" s="1"/>
  <c r="U22" i="36"/>
  <c r="W22" i="36"/>
  <c r="J33" i="36"/>
  <c r="AC33" i="36" s="1"/>
  <c r="W33" i="36"/>
  <c r="U31" i="35"/>
  <c r="S31" i="35"/>
  <c r="F36" i="34"/>
  <c r="S36" i="34" s="1"/>
  <c r="S34" i="34"/>
  <c r="H39" i="33"/>
  <c r="AB39" i="33"/>
  <c r="S40" i="33"/>
  <c r="S33" i="33"/>
  <c r="W10" i="40"/>
  <c r="U11" i="40"/>
  <c r="U36" i="40"/>
  <c r="H32" i="33"/>
  <c r="AB32" i="33" s="1"/>
  <c r="J27" i="36"/>
  <c r="W27" i="36" s="1"/>
  <c r="J30" i="35"/>
  <c r="W30" i="35" s="1"/>
  <c r="F22" i="35"/>
  <c r="H10" i="35"/>
  <c r="U10" i="35" s="1"/>
  <c r="E85" i="36"/>
  <c r="F85" i="36" s="1"/>
  <c r="G85" i="36" s="1"/>
  <c r="H85" i="36" s="1"/>
  <c r="I85" i="36" s="1"/>
  <c r="J85" i="36" s="1"/>
  <c r="K85" i="36" s="1"/>
  <c r="L85" i="36" s="1"/>
  <c r="M85" i="36" s="1"/>
  <c r="J29" i="36"/>
  <c r="AC29" i="36" s="1"/>
  <c r="F12" i="36"/>
  <c r="S12" i="36"/>
  <c r="F34" i="36"/>
  <c r="H33" i="35"/>
  <c r="AB33" i="35" s="1"/>
  <c r="F35" i="37"/>
  <c r="E101" i="37"/>
  <c r="F101" i="37" s="1"/>
  <c r="G101" i="37" s="1"/>
  <c r="H101" i="37" s="1"/>
  <c r="I101" i="37" s="1"/>
  <c r="J101" i="37" s="1"/>
  <c r="K101" i="37" s="1"/>
  <c r="L101" i="37" s="1"/>
  <c r="M101" i="37" s="1"/>
  <c r="J34" i="37"/>
  <c r="W34" i="37" s="1"/>
  <c r="H43" i="34"/>
  <c r="AB43" i="34" s="1"/>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36" i="33"/>
  <c r="S36" i="33" s="1"/>
  <c r="F19" i="33"/>
  <c r="J19" i="33"/>
  <c r="S10" i="21"/>
  <c r="F125" i="21"/>
  <c r="G125" i="21" s="1"/>
  <c r="U34" i="37"/>
  <c r="S34" i="37"/>
  <c r="AA34" i="37"/>
  <c r="AB40" i="34"/>
  <c r="W36" i="34"/>
  <c r="J19" i="34"/>
  <c r="AC19" i="34" s="1"/>
  <c r="H37" i="33"/>
  <c r="AB37" i="33"/>
  <c r="S37" i="33"/>
  <c r="AC42" i="34"/>
  <c r="W42" i="34"/>
  <c r="AC38" i="34"/>
  <c r="W38" i="34"/>
  <c r="AA38" i="34"/>
  <c r="S38" i="34"/>
  <c r="J37" i="33"/>
  <c r="AC37" i="33" s="1"/>
  <c r="W37" i="33"/>
  <c r="J42" i="21"/>
  <c r="AC42" i="21" s="1"/>
  <c r="J44" i="34"/>
  <c r="AC44" i="34" s="1"/>
  <c r="F44" i="34"/>
  <c r="S44" i="34" s="1"/>
  <c r="J10" i="35"/>
  <c r="W10" i="35" s="1"/>
  <c r="AL5" i="3"/>
  <c r="BQ13" i="3"/>
  <c r="J14" i="21"/>
  <c r="W14" i="21" s="1"/>
  <c r="H14" i="21"/>
  <c r="U14" i="21" s="1"/>
  <c r="H28" i="21"/>
  <c r="J44" i="21"/>
  <c r="F44" i="21"/>
  <c r="AA44" i="21" s="1"/>
  <c r="F28" i="33"/>
  <c r="AA28" i="33" s="1"/>
  <c r="F33" i="35"/>
  <c r="S33" i="35" s="1"/>
  <c r="F30" i="35"/>
  <c r="AA30" i="35" s="1"/>
  <c r="H10" i="36"/>
  <c r="AB10" i="36" s="1"/>
  <c r="F28" i="36"/>
  <c r="S28" i="36" s="1"/>
  <c r="F27" i="36"/>
  <c r="S27" i="36" s="1"/>
  <c r="H29" i="21"/>
  <c r="J27" i="33"/>
  <c r="AC27" i="33" s="1"/>
  <c r="J29" i="33"/>
  <c r="W29" i="33" s="1"/>
  <c r="H31" i="33"/>
  <c r="U31" i="33" s="1"/>
  <c r="J45" i="33"/>
  <c r="AC45" i="33" s="1"/>
  <c r="F45" i="33"/>
  <c r="S45" i="33"/>
  <c r="H28" i="36"/>
  <c r="AB28" i="36" s="1"/>
  <c r="U28" i="36"/>
  <c r="H32" i="36"/>
  <c r="AB32" i="36" s="1"/>
  <c r="J32" i="36"/>
  <c r="W32" i="36" s="1"/>
  <c r="J11" i="36"/>
  <c r="E89" i="37"/>
  <c r="F89" i="37" s="1"/>
  <c r="G89" i="37" s="1"/>
  <c r="H89" i="37" s="1"/>
  <c r="I89" i="37" s="1"/>
  <c r="J89" i="37" s="1"/>
  <c r="K89" i="37" s="1"/>
  <c r="L89" i="37" s="1"/>
  <c r="M89" i="37" s="1"/>
  <c r="J29" i="37"/>
  <c r="AC29" i="37" s="1"/>
  <c r="F29" i="37"/>
  <c r="AA29" i="37"/>
  <c r="F105" i="37"/>
  <c r="G105" i="37" s="1"/>
  <c r="AB36" i="37"/>
  <c r="J37" i="37"/>
  <c r="AC37" i="37" s="1"/>
  <c r="H37" i="37"/>
  <c r="H40" i="37"/>
  <c r="U40" i="37" s="1"/>
  <c r="J40" i="37"/>
  <c r="AA40" i="37"/>
  <c r="H14" i="33"/>
  <c r="U14" i="33" s="1"/>
  <c r="F14" i="33"/>
  <c r="AA14" i="33" s="1"/>
  <c r="J14" i="33"/>
  <c r="F30" i="33"/>
  <c r="S30" i="33" s="1"/>
  <c r="H44" i="33"/>
  <c r="U44" i="33" s="1"/>
  <c r="F44" i="33"/>
  <c r="S44" i="33" s="1"/>
  <c r="J46" i="33"/>
  <c r="AC46" i="33" s="1"/>
  <c r="F46" i="33"/>
  <c r="F13" i="34"/>
  <c r="J29" i="34"/>
  <c r="AC29" i="34" s="1"/>
  <c r="F29" i="34"/>
  <c r="S29" i="34" s="1"/>
  <c r="J31" i="34"/>
  <c r="W31" i="34" s="1"/>
  <c r="H31" i="34"/>
  <c r="AB31" i="34" s="1"/>
  <c r="H45" i="34"/>
  <c r="U45" i="34" s="1"/>
  <c r="F45" i="34"/>
  <c r="J47" i="34"/>
  <c r="AC47" i="34" s="1"/>
  <c r="F13" i="35"/>
  <c r="S13" i="35" s="1"/>
  <c r="H13" i="35"/>
  <c r="U13" i="35" s="1"/>
  <c r="J25" i="35"/>
  <c r="AC25" i="35" s="1"/>
  <c r="F25" i="35"/>
  <c r="AA25" i="35" s="1"/>
  <c r="F35" i="35"/>
  <c r="S35" i="35" s="1"/>
  <c r="H35" i="35"/>
  <c r="U35" i="35" s="1"/>
  <c r="F28" i="37"/>
  <c r="AA28" i="37" s="1"/>
  <c r="J28" i="37"/>
  <c r="AC28" i="37" s="1"/>
  <c r="H38" i="37"/>
  <c r="AB38" i="37" s="1"/>
  <c r="J38" i="37"/>
  <c r="F38" i="37"/>
  <c r="S38" i="37" s="1"/>
  <c r="J36" i="37"/>
  <c r="AC36" i="37" s="1"/>
  <c r="U36" i="37"/>
  <c r="AB45" i="33"/>
  <c r="AB27" i="33"/>
  <c r="G529" i="3"/>
  <c r="G521" i="3"/>
  <c r="G499" i="3"/>
  <c r="G493" i="3"/>
  <c r="G485" i="3"/>
  <c r="G565" i="3"/>
  <c r="G561" i="3"/>
  <c r="G557" i="3"/>
  <c r="G16" i="3"/>
  <c r="BL559" i="3"/>
  <c r="G514" i="3"/>
  <c r="G18" i="3"/>
  <c r="BA555" i="3"/>
  <c r="BA501" i="3"/>
  <c r="BA546" i="3"/>
  <c r="G566" i="3"/>
  <c r="G560" i="3"/>
  <c r="G558" i="3"/>
  <c r="G550" i="3"/>
  <c r="AC542" i="3"/>
  <c r="G542" i="3"/>
  <c r="BQ542" i="3"/>
  <c r="BQ568" i="3"/>
  <c r="BQ566" i="3"/>
  <c r="BQ564" i="3"/>
  <c r="BQ562" i="3"/>
  <c r="BQ560" i="3"/>
  <c r="BQ558" i="3"/>
  <c r="BQ556" i="3"/>
  <c r="BL556" i="3" s="1"/>
  <c r="BQ554" i="3"/>
  <c r="BQ552" i="3"/>
  <c r="BQ550" i="3"/>
  <c r="BQ548" i="3"/>
  <c r="BQ546" i="3"/>
  <c r="BQ544" i="3"/>
  <c r="G544" i="3"/>
  <c r="G538" i="3"/>
  <c r="G530" i="3"/>
  <c r="G522" i="3"/>
  <c r="BQ540" i="3"/>
  <c r="BQ538" i="3"/>
  <c r="BQ536" i="3"/>
  <c r="BQ534" i="3"/>
  <c r="BQ532" i="3"/>
  <c r="BQ530" i="3"/>
  <c r="BQ528" i="3"/>
  <c r="BQ526" i="3"/>
  <c r="BQ524" i="3"/>
  <c r="BQ522" i="3"/>
  <c r="BQ520" i="3"/>
  <c r="BQ518" i="3"/>
  <c r="BQ516" i="3"/>
  <c r="BQ514" i="3"/>
  <c r="BQ512" i="3"/>
  <c r="BQ510" i="3"/>
  <c r="BQ508" i="3"/>
  <c r="AC506" i="3"/>
  <c r="G506" i="3" s="1"/>
  <c r="BQ506" i="3"/>
  <c r="G498" i="3"/>
  <c r="BQ504" i="3"/>
  <c r="BQ502" i="3"/>
  <c r="BQ500" i="3"/>
  <c r="BQ498" i="3"/>
  <c r="BQ496" i="3"/>
  <c r="AC494" i="3"/>
  <c r="BQ494" i="3"/>
  <c r="G492"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H17" i="37"/>
  <c r="AB17" i="37" s="1"/>
  <c r="U17" i="37"/>
  <c r="F23" i="37"/>
  <c r="S23" i="37" s="1"/>
  <c r="F79" i="37"/>
  <c r="G79"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c r="H23" i="37"/>
  <c r="AB23" i="37" s="1"/>
  <c r="J32" i="37"/>
  <c r="AC32" i="37" s="1"/>
  <c r="F36" i="37"/>
  <c r="S36" i="37" s="1"/>
  <c r="F37" i="37"/>
  <c r="AA37" i="37" s="1"/>
  <c r="H42" i="33"/>
  <c r="U42" i="33"/>
  <c r="J43" i="33"/>
  <c r="AC43" i="33" s="1"/>
  <c r="J23" i="37"/>
  <c r="W23" i="37" s="1"/>
  <c r="F17" i="37"/>
  <c r="AA17" i="37" s="1"/>
  <c r="D3" i="21"/>
  <c r="AC8" i="37"/>
  <c r="S25" i="37"/>
  <c r="AC36" i="34"/>
  <c r="F43" i="33"/>
  <c r="AA43" i="33"/>
  <c r="AA23" i="37"/>
  <c r="J37" i="21"/>
  <c r="W37" i="21" s="1"/>
  <c r="H19" i="34"/>
  <c r="AB19" i="34" s="1"/>
  <c r="J10" i="37"/>
  <c r="AC10" i="37" s="1"/>
  <c r="F36" i="35"/>
  <c r="AA36" i="35" s="1"/>
  <c r="J9" i="37"/>
  <c r="W9" i="37" s="1"/>
  <c r="H9" i="37"/>
  <c r="U9" i="37" s="1"/>
  <c r="F9" i="37"/>
  <c r="S9" i="37" s="1"/>
  <c r="F11" i="37"/>
  <c r="S11" i="37" s="1"/>
  <c r="J12" i="37"/>
  <c r="AC12" i="37" s="1"/>
  <c r="H12" i="37"/>
  <c r="AB12" i="37" s="1"/>
  <c r="F12" i="37"/>
  <c r="AA12" i="37" s="1"/>
  <c r="H15" i="37"/>
  <c r="AB15" i="37" s="1"/>
  <c r="U15" i="37"/>
  <c r="E94" i="37"/>
  <c r="F94" i="37" s="1"/>
  <c r="G94" i="37" s="1"/>
  <c r="H94" i="37" s="1"/>
  <c r="I94" i="37" s="1"/>
  <c r="J94" i="37" s="1"/>
  <c r="K94" i="37" s="1"/>
  <c r="L94" i="37" s="1"/>
  <c r="M94" i="37" s="1"/>
  <c r="F31" i="37"/>
  <c r="S31" i="37" s="1"/>
  <c r="H31" i="37"/>
  <c r="U31" i="37" s="1"/>
  <c r="J15" i="37"/>
  <c r="W15" i="37" s="1"/>
  <c r="J11" i="37"/>
  <c r="W11" i="37" s="1"/>
  <c r="F21" i="40"/>
  <c r="S21" i="40" s="1"/>
  <c r="J21" i="40"/>
  <c r="AC21" i="40"/>
  <c r="S27" i="31"/>
  <c r="G483" i="3"/>
  <c r="G507"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BL297" i="3"/>
  <c r="AZ297" i="3" s="1"/>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AA13" i="40"/>
  <c r="F77" i="40"/>
  <c r="G77" i="40" s="1"/>
  <c r="H77" i="40" s="1"/>
  <c r="I77" i="40" s="1"/>
  <c r="J77" i="40" s="1"/>
  <c r="K77" i="40" s="1"/>
  <c r="L77" i="40" s="1"/>
  <c r="M77" i="40" s="1"/>
  <c r="R16" i="4"/>
  <c r="D3" i="35"/>
  <c r="G4" i="4"/>
  <c r="AC26" i="36"/>
  <c r="W25" i="35"/>
  <c r="H11" i="37"/>
  <c r="U11" i="37" s="1"/>
  <c r="W37" i="37"/>
  <c r="AA36" i="37"/>
  <c r="S42" i="33"/>
  <c r="AC29" i="33"/>
  <c r="AA45" i="33"/>
  <c r="AB45" i="34"/>
  <c r="W44" i="33"/>
  <c r="J33" i="34"/>
  <c r="AC33" i="34" s="1"/>
  <c r="AB36" i="34"/>
  <c r="J40" i="34"/>
  <c r="W40" i="34" s="1"/>
  <c r="J35" i="34"/>
  <c r="W35" i="34" s="1"/>
  <c r="F107" i="34"/>
  <c r="G107" i="34"/>
  <c r="H107" i="34" s="1"/>
  <c r="I107" i="34" s="1"/>
  <c r="J107" i="34" s="1"/>
  <c r="K107" i="34" s="1"/>
  <c r="L107" i="34" s="1"/>
  <c r="M107" i="34" s="1"/>
  <c r="S30" i="36"/>
  <c r="H16" i="36"/>
  <c r="AB16" i="36" s="1"/>
  <c r="H35" i="37"/>
  <c r="AB35" i="37" s="1"/>
  <c r="S26" i="21"/>
  <c r="H32" i="21"/>
  <c r="U32" i="21" s="1"/>
  <c r="AB26" i="21"/>
  <c r="U26" i="21"/>
  <c r="AA33" i="21"/>
  <c r="J32" i="21"/>
  <c r="AC32" i="21" s="1"/>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C8" i="33"/>
  <c r="F10" i="33"/>
  <c r="AA10" i="33" s="1"/>
  <c r="F11" i="33"/>
  <c r="S11" i="33" s="1"/>
  <c r="J15" i="33"/>
  <c r="W15" i="33"/>
  <c r="H19" i="33"/>
  <c r="AB19" i="33" s="1"/>
  <c r="F32" i="33"/>
  <c r="AA32" i="33" s="1"/>
  <c r="J32" i="33"/>
  <c r="AC32" i="33" s="1"/>
  <c r="F35" i="33"/>
  <c r="AA35" i="33" s="1"/>
  <c r="AB39" i="34"/>
  <c r="F11" i="34"/>
  <c r="AA11" i="34" s="1"/>
  <c r="E80" i="34"/>
  <c r="F80" i="34" s="1"/>
  <c r="H17" i="34"/>
  <c r="AB17" i="34" s="1"/>
  <c r="AC27" i="34"/>
  <c r="W27" i="34"/>
  <c r="AB28" i="35"/>
  <c r="U28" i="35"/>
  <c r="J13" i="33"/>
  <c r="W13" i="33" s="1"/>
  <c r="H29" i="33"/>
  <c r="AB29" i="33" s="1"/>
  <c r="F29" i="33"/>
  <c r="AA29" i="33" s="1"/>
  <c r="J12" i="34"/>
  <c r="AC12" i="34" s="1"/>
  <c r="F12" i="34"/>
  <c r="S12" i="34" s="1"/>
  <c r="J14" i="34"/>
  <c r="F14" i="34"/>
  <c r="S14" i="34" s="1"/>
  <c r="H14" i="34"/>
  <c r="AB14" i="34"/>
  <c r="H30" i="34"/>
  <c r="AB30" i="34" s="1"/>
  <c r="F30" i="34"/>
  <c r="S30" i="34" s="1"/>
  <c r="H32" i="34"/>
  <c r="F32" i="34"/>
  <c r="AA32" i="34" s="1"/>
  <c r="J32" i="34"/>
  <c r="W32" i="34" s="1"/>
  <c r="H46" i="34"/>
  <c r="AB46" i="34" s="1"/>
  <c r="F46" i="34"/>
  <c r="AA46" i="34" s="1"/>
  <c r="H11" i="35"/>
  <c r="J11" i="35"/>
  <c r="AC11" i="35" s="1"/>
  <c r="F96" i="37"/>
  <c r="H32" i="37"/>
  <c r="F19" i="39"/>
  <c r="S19" i="39" s="1"/>
  <c r="H19" i="39"/>
  <c r="U19" i="39" s="1"/>
  <c r="J19" i="39"/>
  <c r="W19" i="39" s="1"/>
  <c r="AC40" i="37"/>
  <c r="W40" i="37"/>
  <c r="AA44" i="34"/>
  <c r="AC19" i="33"/>
  <c r="W19" i="33"/>
  <c r="U43" i="34"/>
  <c r="S35" i="37"/>
  <c r="AA35" i="37"/>
  <c r="F42" i="21"/>
  <c r="AA42" i="21" s="1"/>
  <c r="U40" i="33"/>
  <c r="AA35" i="34"/>
  <c r="S35"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S33" i="36" s="1"/>
  <c r="AA33" i="36"/>
  <c r="H27" i="36"/>
  <c r="AB27" i="36" s="1"/>
  <c r="AA31" i="36"/>
  <c r="AC25" i="37"/>
  <c r="AC26" i="37"/>
  <c r="W26" i="37"/>
  <c r="AC30" i="37"/>
  <c r="F17" i="39"/>
  <c r="AA17" i="39" s="1"/>
  <c r="H17" i="39"/>
  <c r="U17" i="39" s="1"/>
  <c r="J17" i="39"/>
  <c r="W17" i="39" s="1"/>
  <c r="F21" i="39"/>
  <c r="S21" i="39" s="1"/>
  <c r="H21" i="39"/>
  <c r="U21" i="39" s="1"/>
  <c r="J21" i="39"/>
  <c r="W21" i="39" s="1"/>
  <c r="F33" i="39"/>
  <c r="AA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F34" i="39"/>
  <c r="AA34" i="39" s="1"/>
  <c r="H34" i="39"/>
  <c r="AB34" i="39" s="1"/>
  <c r="J34" i="39"/>
  <c r="AC34" i="39" s="1"/>
  <c r="J39" i="39"/>
  <c r="J29" i="35"/>
  <c r="AC29" i="35" s="1"/>
  <c r="F29" i="35"/>
  <c r="S29" i="35" s="1"/>
  <c r="W30" i="36"/>
  <c r="AC30" i="36"/>
  <c r="F37" i="39"/>
  <c r="S37" i="39" s="1"/>
  <c r="H37" i="39"/>
  <c r="U37" i="39" s="1"/>
  <c r="J37" i="39"/>
  <c r="W37" i="39" s="1"/>
  <c r="BL568" i="3"/>
  <c r="BA568" i="3"/>
  <c r="BL567" i="3"/>
  <c r="BA567" i="3"/>
  <c r="BL566" i="3"/>
  <c r="BL565" i="3"/>
  <c r="BA564" i="3"/>
  <c r="BA563" i="3"/>
  <c r="BL554" i="3"/>
  <c r="BA535" i="3"/>
  <c r="BA519" i="3"/>
  <c r="BA506" i="3"/>
  <c r="BA495" i="3"/>
  <c r="BL490" i="3"/>
  <c r="BA483" i="3"/>
  <c r="BA481" i="3"/>
  <c r="BA18" i="3"/>
  <c r="H38" i="34"/>
  <c r="U38" i="34" s="1"/>
  <c r="H30" i="40"/>
  <c r="AB30" i="40" s="1"/>
  <c r="G99" i="40"/>
  <c r="H99" i="40" s="1"/>
  <c r="I99" i="40" s="1"/>
  <c r="J99" i="40" s="1"/>
  <c r="K99" i="40" s="1"/>
  <c r="L99" i="40" s="1"/>
  <c r="M99" i="40" s="1"/>
  <c r="J30" i="40"/>
  <c r="AC30" i="40" s="1"/>
  <c r="F38" i="40"/>
  <c r="AA38" i="40"/>
  <c r="AA36" i="34"/>
  <c r="AB33" i="21"/>
  <c r="AB10" i="21"/>
  <c r="AB8" i="21"/>
  <c r="AB8" i="33"/>
  <c r="U8" i="33"/>
  <c r="H34" i="33"/>
  <c r="U34" i="33" s="1"/>
  <c r="F34" i="33"/>
  <c r="S34" i="33" s="1"/>
  <c r="F41" i="33"/>
  <c r="AA39" i="34"/>
  <c r="E78" i="34"/>
  <c r="F78" i="34" s="1"/>
  <c r="G78" i="34" s="1"/>
  <c r="F15" i="34"/>
  <c r="AA15" i="34" s="1"/>
  <c r="AC28" i="35"/>
  <c r="W28" i="35"/>
  <c r="J20" i="35"/>
  <c r="AC20" i="35" s="1"/>
  <c r="E72" i="35"/>
  <c r="F72" i="35" s="1"/>
  <c r="G72" i="35" s="1"/>
  <c r="H22" i="35"/>
  <c r="AB22" i="35" s="1"/>
  <c r="H23" i="35"/>
  <c r="U23" i="35" s="1"/>
  <c r="F23" i="35"/>
  <c r="S23" i="35" s="1"/>
  <c r="AA23" i="35"/>
  <c r="AB36" i="35"/>
  <c r="W12" i="36"/>
  <c r="AC12" i="36"/>
  <c r="U31" i="36"/>
  <c r="S8" i="37"/>
  <c r="AA8" i="37"/>
  <c r="F14" i="39"/>
  <c r="AA14" i="39" s="1"/>
  <c r="H14" i="39"/>
  <c r="AB14" i="39" s="1"/>
  <c r="J14" i="39"/>
  <c r="AC14" i="39" s="1"/>
  <c r="F16" i="39"/>
  <c r="AA16" i="39" s="1"/>
  <c r="H16" i="39"/>
  <c r="U16" i="39" s="1"/>
  <c r="J16" i="39"/>
  <c r="AC16" i="39" s="1"/>
  <c r="E96" i="39"/>
  <c r="F96" i="39" s="1"/>
  <c r="G96" i="39" s="1"/>
  <c r="F27" i="39"/>
  <c r="AA27" i="39" s="1"/>
  <c r="H27" i="39"/>
  <c r="AB27" i="39" s="1"/>
  <c r="J27" i="39"/>
  <c r="AC27" i="39" s="1"/>
  <c r="F15" i="40"/>
  <c r="AA15" i="40" s="1"/>
  <c r="J15" i="40"/>
  <c r="H15" i="40"/>
  <c r="AB15" i="40" s="1"/>
  <c r="E91" i="40"/>
  <c r="F91" i="40" s="1"/>
  <c r="G91" i="40" s="1"/>
  <c r="H23" i="40"/>
  <c r="U23" i="40" s="1"/>
  <c r="H41" i="40"/>
  <c r="AB41" i="40" s="1"/>
  <c r="F41" i="40"/>
  <c r="S41" i="40" s="1"/>
  <c r="AA41" i="40"/>
  <c r="J41" i="40"/>
  <c r="AC41" i="40" s="1"/>
  <c r="H36" i="33"/>
  <c r="AB36" i="33" s="1"/>
  <c r="H37" i="34"/>
  <c r="AB37" i="34" s="1"/>
  <c r="F15" i="39"/>
  <c r="AA15" i="39" s="1"/>
  <c r="H25" i="39"/>
  <c r="U25" i="39" s="1"/>
  <c r="J25" i="39"/>
  <c r="AC25" i="39" s="1"/>
  <c r="F25" i="39"/>
  <c r="AA25" i="39" s="1"/>
  <c r="F45" i="39"/>
  <c r="AA45" i="39" s="1"/>
  <c r="H45" i="39"/>
  <c r="U45" i="39" s="1"/>
  <c r="J45" i="39"/>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H38" i="39"/>
  <c r="U38" i="39" s="1"/>
  <c r="J16" i="40"/>
  <c r="W16" i="40" s="1"/>
  <c r="H42" i="40"/>
  <c r="AB42" i="40" s="1"/>
  <c r="H40" i="40"/>
  <c r="U40" i="40" s="1"/>
  <c r="H34" i="40"/>
  <c r="B41" i="1"/>
  <c r="J42" i="40"/>
  <c r="AC42" i="40" s="1"/>
  <c r="J40" i="40"/>
  <c r="J34" i="40"/>
  <c r="AC34" i="40" s="1"/>
  <c r="H16" i="40"/>
  <c r="AB16" i="40" s="1"/>
  <c r="F32" i="40"/>
  <c r="AA32" i="40" s="1"/>
  <c r="F61" i="46"/>
  <c r="H61" i="46" s="1"/>
  <c r="F72" i="46"/>
  <c r="H74" i="46" s="1"/>
  <c r="J13" i="40"/>
  <c r="W13" i="40" s="1"/>
  <c r="U37" i="34"/>
  <c r="J23" i="40"/>
  <c r="AC23" i="40" s="1"/>
  <c r="F23" i="40"/>
  <c r="S23" i="40" s="1"/>
  <c r="AB16" i="39"/>
  <c r="AB23" i="35"/>
  <c r="H20" i="35"/>
  <c r="U20" i="35" s="1"/>
  <c r="F20" i="35"/>
  <c r="AA20" i="35" s="1"/>
  <c r="H15" i="34"/>
  <c r="J15" i="34"/>
  <c r="H41" i="33"/>
  <c r="U41" i="33" s="1"/>
  <c r="F30" i="40"/>
  <c r="AA30" i="40" s="1"/>
  <c r="AB37" i="39"/>
  <c r="AB33" i="36"/>
  <c r="F33" i="37"/>
  <c r="AB19" i="39"/>
  <c r="AA14" i="34"/>
  <c r="H15" i="33"/>
  <c r="AA11" i="33"/>
  <c r="H25" i="40"/>
  <c r="AB25" i="40" s="1"/>
  <c r="F93" i="40"/>
  <c r="G93" i="40" s="1"/>
  <c r="J37" i="34"/>
  <c r="AC37" i="34" s="1"/>
  <c r="J36" i="33"/>
  <c r="AB23" i="40"/>
  <c r="S16" i="39"/>
  <c r="F106" i="33"/>
  <c r="G106" i="33" s="1"/>
  <c r="H106" i="33" s="1"/>
  <c r="I106" i="33" s="1"/>
  <c r="J106" i="33" s="1"/>
  <c r="K106" i="33" s="1"/>
  <c r="L106" i="33" s="1"/>
  <c r="M106" i="33" s="1"/>
  <c r="J34" i="33"/>
  <c r="AA37" i="39"/>
  <c r="F27" i="34"/>
  <c r="S27" i="34" s="1"/>
  <c r="AA19" i="39"/>
  <c r="G96" i="37"/>
  <c r="H96" i="37" s="1"/>
  <c r="I96" i="37" s="1"/>
  <c r="J96" i="37" s="1"/>
  <c r="K96" i="37" s="1"/>
  <c r="L96" i="37" s="1"/>
  <c r="M96" i="37" s="1"/>
  <c r="F32" i="37"/>
  <c r="U11" i="35"/>
  <c r="AB11" i="35"/>
  <c r="S46" i="34"/>
  <c r="U14" i="34"/>
  <c r="G80" i="34"/>
  <c r="F17" i="34"/>
  <c r="AA17" i="34" s="1"/>
  <c r="J17" i="34"/>
  <c r="AC17" i="34" s="1"/>
  <c r="H11" i="34"/>
  <c r="J35" i="33"/>
  <c r="S32" i="33"/>
  <c r="AC15" i="33"/>
  <c r="H11" i="33"/>
  <c r="U11" i="33" s="1"/>
  <c r="H10" i="33"/>
  <c r="U10" i="33" s="1"/>
  <c r="J10" i="33"/>
  <c r="W10" i="33" s="1"/>
  <c r="J11" i="34"/>
  <c r="AC11" i="34" s="1"/>
  <c r="F25" i="40"/>
  <c r="AA25" i="40" s="1"/>
  <c r="J11" i="33"/>
  <c r="H33" i="37"/>
  <c r="B11" i="1"/>
  <c r="E11" i="1" s="1"/>
  <c r="K11" i="1"/>
  <c r="M11" i="1" s="1"/>
  <c r="B9" i="1"/>
  <c r="E9" i="1" s="1"/>
  <c r="K9" i="1"/>
  <c r="B7" i="1"/>
  <c r="E7" i="1" s="1"/>
  <c r="AP6" i="1"/>
  <c r="S23" i="36"/>
  <c r="S8" i="36"/>
  <c r="AA28" i="36"/>
  <c r="H20" i="36"/>
  <c r="U20" i="36" s="1"/>
  <c r="J20" i="36"/>
  <c r="AC20" i="36" s="1"/>
  <c r="F20" i="36"/>
  <c r="F62" i="36"/>
  <c r="G62" i="36" s="1"/>
  <c r="J14" i="36"/>
  <c r="W14" i="36" s="1"/>
  <c r="H14" i="36"/>
  <c r="F14" i="36"/>
  <c r="U27" i="36"/>
  <c r="U32" i="36"/>
  <c r="AB12" i="36"/>
  <c r="U9" i="36"/>
  <c r="AA27" i="36"/>
  <c r="S16" i="36"/>
  <c r="S29" i="36"/>
  <c r="AA13" i="35"/>
  <c r="S8" i="35"/>
  <c r="W13" i="35"/>
  <c r="AC18" i="35"/>
  <c r="W18" i="35"/>
  <c r="U18" i="35"/>
  <c r="AB18" i="35"/>
  <c r="S28" i="35"/>
  <c r="J26" i="35"/>
  <c r="W26" i="35" s="1"/>
  <c r="F26" i="35"/>
  <c r="AA26" i="35" s="1"/>
  <c r="H26" i="35"/>
  <c r="U26" i="35" s="1"/>
  <c r="AA9" i="37"/>
  <c r="S17" i="37"/>
  <c r="W28" i="37"/>
  <c r="AA31" i="37"/>
  <c r="S33" i="37"/>
  <c r="AA33" i="37"/>
  <c r="J33" i="37"/>
  <c r="H99" i="37"/>
  <c r="I99" i="37" s="1"/>
  <c r="J99" i="37" s="1"/>
  <c r="K99" i="37" s="1"/>
  <c r="L99" i="37" s="1"/>
  <c r="M99" i="37" s="1"/>
  <c r="S29" i="37"/>
  <c r="J19" i="37"/>
  <c r="AC19" i="37" s="1"/>
  <c r="G75" i="37"/>
  <c r="F19" i="37"/>
  <c r="AA19" i="37" s="1"/>
  <c r="H19" i="37"/>
  <c r="J17" i="37"/>
  <c r="W17" i="37" s="1"/>
  <c r="S15" i="37"/>
  <c r="AC21" i="37"/>
  <c r="W21" i="37"/>
  <c r="AC11" i="37"/>
  <c r="AC9" i="37"/>
  <c r="U8" i="37"/>
  <c r="AB25" i="37"/>
  <c r="AB21" i="37"/>
  <c r="U21" i="37"/>
  <c r="S37" i="37"/>
  <c r="S40" i="37"/>
  <c r="AA11" i="37"/>
  <c r="AC45" i="34"/>
  <c r="AA40" i="34"/>
  <c r="W33" i="34"/>
  <c r="S32" i="34"/>
  <c r="AB33" i="34"/>
  <c r="AA12" i="34"/>
  <c r="AC35" i="34"/>
  <c r="AA30" i="34"/>
  <c r="AA33" i="34"/>
  <c r="U44" i="34"/>
  <c r="U34" i="34"/>
  <c r="J25" i="34"/>
  <c r="W25" i="34" s="1"/>
  <c r="H25" i="34"/>
  <c r="U25" i="34" s="1"/>
  <c r="F25" i="34"/>
  <c r="J23" i="34"/>
  <c r="F86" i="34"/>
  <c r="G86" i="34" s="1"/>
  <c r="F23" i="34"/>
  <c r="AA23" i="34" s="1"/>
  <c r="H23" i="34"/>
  <c r="AC40" i="34"/>
  <c r="W44" i="34"/>
  <c r="W19" i="34"/>
  <c r="AC21" i="34"/>
  <c r="W21" i="34"/>
  <c r="AB21" i="34"/>
  <c r="U21" i="34"/>
  <c r="U27" i="34"/>
  <c r="U19" i="34"/>
  <c r="AB41" i="34"/>
  <c r="S9" i="34"/>
  <c r="U39" i="33"/>
  <c r="U37" i="33"/>
  <c r="AB41" i="33"/>
  <c r="S29" i="33"/>
  <c r="W43" i="33"/>
  <c r="U46" i="33"/>
  <c r="U35" i="33"/>
  <c r="AB34" i="33"/>
  <c r="H25" i="33"/>
  <c r="J25" i="33"/>
  <c r="W25" i="33" s="1"/>
  <c r="G87" i="33"/>
  <c r="H87" i="33" s="1"/>
  <c r="I87" i="33" s="1"/>
  <c r="J87" i="33" s="1"/>
  <c r="K87" i="33" s="1"/>
  <c r="L87" i="33" s="1"/>
  <c r="M87" i="33" s="1"/>
  <c r="F25" i="33"/>
  <c r="F85" i="33"/>
  <c r="G85" i="33" s="1"/>
  <c r="J23" i="33"/>
  <c r="AC23" i="33" s="1"/>
  <c r="F23" i="33"/>
  <c r="S23" i="33" s="1"/>
  <c r="H23" i="33"/>
  <c r="F79" i="33"/>
  <c r="G79" i="33" s="1"/>
  <c r="F17" i="33"/>
  <c r="H17" i="33"/>
  <c r="U17" i="33" s="1"/>
  <c r="J17" i="33"/>
  <c r="AC17" i="33" s="1"/>
  <c r="S14" i="33"/>
  <c r="AC21" i="33"/>
  <c r="W21" i="33"/>
  <c r="AB21" i="33"/>
  <c r="U21" i="33"/>
  <c r="AA21" i="33"/>
  <c r="S21" i="33"/>
  <c r="AA44" i="33"/>
  <c r="AA36" i="33"/>
  <c r="S44" i="21"/>
  <c r="W43" i="21"/>
  <c r="AB37" i="21"/>
  <c r="AC26" i="21"/>
  <c r="J23" i="21"/>
  <c r="W23" i="21" s="1"/>
  <c r="F23" i="21"/>
  <c r="AA23" i="21" s="1"/>
  <c r="H23" i="21"/>
  <c r="F15" i="21"/>
  <c r="S15" i="21" s="1"/>
  <c r="AC21" i="21"/>
  <c r="W21" i="21"/>
  <c r="W10" i="21"/>
  <c r="AB21" i="21"/>
  <c r="U21" i="21"/>
  <c r="W33" i="40"/>
  <c r="U15" i="40"/>
  <c r="AB13" i="40"/>
  <c r="S16" i="40"/>
  <c r="W11" i="40"/>
  <c r="AA21" i="40"/>
  <c r="U21" i="40"/>
  <c r="W25" i="40"/>
  <c r="U25" i="40"/>
  <c r="F37" i="40"/>
  <c r="J37" i="40"/>
  <c r="H37" i="40"/>
  <c r="U37" i="40" s="1"/>
  <c r="G112" i="40"/>
  <c r="H112" i="40" s="1"/>
  <c r="I112" i="40" s="1"/>
  <c r="J112" i="40" s="1"/>
  <c r="K112" i="40" s="1"/>
  <c r="L112" i="40" s="1"/>
  <c r="M112" i="40" s="1"/>
  <c r="F39" i="40"/>
  <c r="S39" i="40" s="1"/>
  <c r="S38" i="40"/>
  <c r="H39" i="40"/>
  <c r="U39" i="40" s="1"/>
  <c r="J39" i="40"/>
  <c r="W38" i="40"/>
  <c r="F29" i="40"/>
  <c r="H29" i="40"/>
  <c r="U29" i="40" s="1"/>
  <c r="J29" i="40"/>
  <c r="F97" i="40"/>
  <c r="G97" i="40" s="1"/>
  <c r="H97" i="40" s="1"/>
  <c r="I97" i="40" s="1"/>
  <c r="J97" i="40" s="1"/>
  <c r="K97" i="40" s="1"/>
  <c r="L97" i="40" s="1"/>
  <c r="M97" i="40" s="1"/>
  <c r="S30" i="40"/>
  <c r="S25" i="40"/>
  <c r="F87" i="40"/>
  <c r="G87" i="40"/>
  <c r="F19" i="40"/>
  <c r="AA19" i="40" s="1"/>
  <c r="H19" i="40"/>
  <c r="U19" i="40" s="1"/>
  <c r="J19" i="40"/>
  <c r="W19" i="40" s="1"/>
  <c r="W17" i="40"/>
  <c r="AC17" i="40"/>
  <c r="F17" i="40"/>
  <c r="AA17" i="40" s="1"/>
  <c r="H17" i="40"/>
  <c r="U17" i="40" s="1"/>
  <c r="W21" i="40"/>
  <c r="AB40" i="40"/>
  <c r="U10" i="40"/>
  <c r="U27" i="40"/>
  <c r="AB27" i="40"/>
  <c r="S11" i="39"/>
  <c r="AC19" i="39"/>
  <c r="AC21" i="39"/>
  <c r="U11" i="39"/>
  <c r="AB38" i="39"/>
  <c r="U31" i="39"/>
  <c r="AB31" i="39"/>
  <c r="S38" i="39"/>
  <c r="S22" i="31"/>
  <c r="B20" i="31" s="1"/>
  <c r="D96" i="9"/>
  <c r="A18" i="64"/>
  <c r="B74" i="63" s="1"/>
  <c r="C53" i="10"/>
  <c r="A25" i="64" s="1"/>
  <c r="A18" i="51"/>
  <c r="B14" i="63" s="1"/>
  <c r="BA16" i="3"/>
  <c r="AZ16" i="3" s="1"/>
  <c r="BA17" i="3"/>
  <c r="AZ17" i="3" s="1"/>
  <c r="G1" i="44"/>
  <c r="BP5" i="3"/>
  <c r="BR5" i="3"/>
  <c r="BL16" i="3"/>
  <c r="G28" i="12"/>
  <c r="F50" i="46"/>
  <c r="H52" i="46" s="1"/>
  <c r="C6" i="46"/>
  <c r="I5" i="48"/>
  <c r="K21" i="46"/>
  <c r="F42" i="46"/>
  <c r="D74" i="46"/>
  <c r="D87" i="46"/>
  <c r="D72" i="46"/>
  <c r="A4" i="64"/>
  <c r="A4" i="51"/>
  <c r="B6" i="63" s="1"/>
  <c r="C51" i="10"/>
  <c r="A9" i="64" s="1"/>
  <c r="H83" i="46"/>
  <c r="H87" i="46"/>
  <c r="AA12" i="36"/>
  <c r="U12" i="35"/>
  <c r="AB12" i="35"/>
  <c r="AA11" i="35"/>
  <c r="S13" i="21"/>
  <c r="C24" i="9"/>
  <c r="C25" i="9"/>
  <c r="L5" i="54"/>
  <c r="B39" i="63" s="1"/>
  <c r="K5" i="54"/>
  <c r="B38" i="63" s="1"/>
  <c r="T41" i="4"/>
  <c r="B46" i="50"/>
  <c r="B4" i="63" s="1"/>
  <c r="H89" i="46"/>
  <c r="H85" i="46"/>
  <c r="H90" i="46"/>
  <c r="H88" i="46"/>
  <c r="H86" i="46"/>
  <c r="K10" i="1"/>
  <c r="M10" i="1" s="1"/>
  <c r="S13" i="1"/>
  <c r="R13" i="1"/>
  <c r="B10" i="1"/>
  <c r="E10" i="1" s="1"/>
  <c r="B8" i="1"/>
  <c r="E8" i="1" s="1"/>
  <c r="B12" i="1"/>
  <c r="E12" i="1" s="1"/>
  <c r="F66" i="36"/>
  <c r="G66" i="36" s="1"/>
  <c r="H18" i="36"/>
  <c r="U18" i="36" s="1"/>
  <c r="U16" i="36"/>
  <c r="S25" i="36"/>
  <c r="AC27" i="36"/>
  <c r="W28" i="36"/>
  <c r="AA32" i="36"/>
  <c r="AA22" i="36"/>
  <c r="W29" i="36"/>
  <c r="W9" i="36"/>
  <c r="W8" i="36"/>
  <c r="U24" i="35"/>
  <c r="S24" i="35"/>
  <c r="W22" i="35"/>
  <c r="W35" i="37"/>
  <c r="AC15" i="37"/>
  <c r="S12" i="37"/>
  <c r="W36" i="37"/>
  <c r="AB28" i="37"/>
  <c r="S28" i="37"/>
  <c r="U38" i="37"/>
  <c r="AA31" i="34"/>
  <c r="AB35" i="34"/>
  <c r="W47" i="34"/>
  <c r="AB29" i="34"/>
  <c r="AB47" i="34"/>
  <c r="AA29" i="34"/>
  <c r="S19" i="34"/>
  <c r="S8" i="34"/>
  <c r="AC25" i="33"/>
  <c r="S43" i="33"/>
  <c r="AB42" i="33"/>
  <c r="AB14" i="33"/>
  <c r="S15" i="33"/>
  <c r="S39" i="21"/>
  <c r="W25" i="21"/>
  <c r="AA25" i="21"/>
  <c r="AC37" i="21"/>
  <c r="G95" i="40"/>
  <c r="J27" i="40"/>
  <c r="W27" i="40" s="1"/>
  <c r="W30" i="40"/>
  <c r="S34" i="40"/>
  <c r="U38" i="40"/>
  <c r="S40" i="40"/>
  <c r="S42" i="40"/>
  <c r="G104" i="39"/>
  <c r="J31" i="39"/>
  <c r="W31" i="39" s="1"/>
  <c r="S34" i="39"/>
  <c r="W42" i="39"/>
  <c r="AC37" i="39"/>
  <c r="W16" i="39"/>
  <c r="W10" i="39"/>
  <c r="W11" i="39"/>
  <c r="U42" i="39"/>
  <c r="C27" i="39"/>
  <c r="C17" i="40"/>
  <c r="C19" i="40"/>
  <c r="C19" i="39"/>
  <c r="C21" i="39"/>
  <c r="C23" i="40"/>
  <c r="B51" i="46"/>
  <c r="B54" i="46"/>
  <c r="B58" i="46"/>
  <c r="B62" i="46"/>
  <c r="B65" i="46"/>
  <c r="B69" i="46"/>
  <c r="B56" i="46"/>
  <c r="B67" i="46"/>
  <c r="AB20" i="36"/>
  <c r="U14" i="36"/>
  <c r="AB14" i="36"/>
  <c r="S19" i="37"/>
  <c r="AB19" i="37"/>
  <c r="U19" i="37"/>
  <c r="AC17" i="37"/>
  <c r="AA25" i="34"/>
  <c r="S25" i="34"/>
  <c r="AC25" i="34"/>
  <c r="U23" i="34"/>
  <c r="AB23" i="34"/>
  <c r="AC23" i="34"/>
  <c r="W23" i="34"/>
  <c r="W23" i="33"/>
  <c r="AC39" i="40"/>
  <c r="W39" i="40"/>
  <c r="AA39" i="40"/>
  <c r="AB37" i="40"/>
  <c r="AC29" i="40"/>
  <c r="W29" i="40"/>
  <c r="AC19" i="40"/>
  <c r="AB19" i="40"/>
  <c r="R22" i="31"/>
  <c r="B21" i="31" s="1"/>
  <c r="AT6" i="3"/>
  <c r="J18" i="36"/>
  <c r="AC18" i="36" s="1"/>
  <c r="L20" i="6"/>
  <c r="C45" i="9"/>
  <c r="B7" i="66" s="1"/>
  <c r="N76" i="9"/>
  <c r="C46" i="9"/>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C24" i="46"/>
  <c r="F8" i="67"/>
  <c r="N6" i="65"/>
  <c r="F11" i="67"/>
  <c r="B8" i="67"/>
  <c r="B9" i="67"/>
  <c r="E11" i="67"/>
  <c r="B10" i="67"/>
  <c r="E10" i="67"/>
  <c r="B12" i="67"/>
  <c r="N4" i="65"/>
  <c r="E8" i="67"/>
  <c r="M25" i="44"/>
  <c r="F10" i="67"/>
  <c r="B13" i="67"/>
  <c r="E14" i="67"/>
  <c r="E9" i="67"/>
  <c r="N5" i="65"/>
  <c r="E12" i="67"/>
  <c r="B11" i="67"/>
  <c r="F9" i="67"/>
  <c r="M11" i="44"/>
  <c r="N3" i="65"/>
  <c r="E13" i="67"/>
  <c r="F12" i="67"/>
  <c r="F14" i="67"/>
  <c r="N7" i="65"/>
  <c r="B14" i="67"/>
  <c r="J3" i="65"/>
  <c r="F13" i="67"/>
  <c r="S40" i="39" l="1"/>
  <c r="S29" i="21"/>
  <c r="AA29" i="21"/>
  <c r="AZ501" i="3"/>
  <c r="J28" i="34"/>
  <c r="W28" i="34" s="1"/>
  <c r="F28" i="34"/>
  <c r="S28" i="34" s="1"/>
  <c r="E66" i="35"/>
  <c r="H16" i="35"/>
  <c r="U16" i="35" s="1"/>
  <c r="AA31" i="33"/>
  <c r="S31" i="33"/>
  <c r="BA549" i="3"/>
  <c r="BL539" i="3"/>
  <c r="BL538" i="3"/>
  <c r="BL537" i="3"/>
  <c r="BA530" i="3"/>
  <c r="BA527" i="3"/>
  <c r="BL523" i="3"/>
  <c r="BA520" i="3"/>
  <c r="BL515" i="3"/>
  <c r="BA513" i="3"/>
  <c r="BL509" i="3"/>
  <c r="BL506" i="3"/>
  <c r="BL501" i="3"/>
  <c r="BL500" i="3"/>
  <c r="BA500" i="3"/>
  <c r="BA498" i="3"/>
  <c r="BL497" i="3"/>
  <c r="BL493" i="3"/>
  <c r="BL487" i="3"/>
  <c r="BL486" i="3"/>
  <c r="BL485" i="3"/>
  <c r="BA20" i="3"/>
  <c r="BA19" i="3"/>
  <c r="BL18" i="3"/>
  <c r="C56" i="59"/>
  <c r="D55" i="59"/>
  <c r="AZ352" i="3"/>
  <c r="AZ336" i="3"/>
  <c r="AZ320" i="3"/>
  <c r="AZ361" i="3"/>
  <c r="H45" i="21"/>
  <c r="U45" i="21" s="1"/>
  <c r="J29" i="21"/>
  <c r="BS5" i="3"/>
  <c r="BM5" i="3"/>
  <c r="H46" i="21"/>
  <c r="J46" i="21"/>
  <c r="BA560" i="3"/>
  <c r="BL557" i="3"/>
  <c r="U17" i="34"/>
  <c r="U41" i="40"/>
  <c r="AZ373" i="3"/>
  <c r="AZ363" i="3"/>
  <c r="AZ15" i="3"/>
  <c r="F37" i="21"/>
  <c r="AC33" i="21"/>
  <c r="BL560" i="3"/>
  <c r="AB14" i="21"/>
  <c r="H25" i="36"/>
  <c r="AA46" i="33"/>
  <c r="S46" i="33"/>
  <c r="J31" i="33"/>
  <c r="F45" i="21"/>
  <c r="AA45" i="21" s="1"/>
  <c r="J13" i="21"/>
  <c r="H28" i="33"/>
  <c r="U28" i="33" s="1"/>
  <c r="J30" i="21"/>
  <c r="W30" i="21" s="1"/>
  <c r="U29" i="36"/>
  <c r="U26" i="36"/>
  <c r="W41" i="33"/>
  <c r="J9" i="34"/>
  <c r="AC9" i="34" s="1"/>
  <c r="AC24" i="35"/>
  <c r="W24" i="35"/>
  <c r="AB39" i="40"/>
  <c r="W17" i="33"/>
  <c r="AB25" i="34"/>
  <c r="S19" i="40"/>
  <c r="AB29" i="40"/>
  <c r="AA23" i="33"/>
  <c r="S23" i="34"/>
  <c r="W19" i="37"/>
  <c r="AC14" i="36"/>
  <c r="S32" i="40"/>
  <c r="W11" i="35"/>
  <c r="AB45" i="39"/>
  <c r="AA23" i="40"/>
  <c r="U35" i="40"/>
  <c r="U36" i="33"/>
  <c r="W29" i="34"/>
  <c r="W17" i="34"/>
  <c r="AA27" i="34"/>
  <c r="AC32" i="34"/>
  <c r="W32" i="37"/>
  <c r="AB9" i="37"/>
  <c r="W11" i="34"/>
  <c r="AA34" i="33"/>
  <c r="U42" i="40"/>
  <c r="W12" i="34"/>
  <c r="AA11" i="36"/>
  <c r="U31" i="34"/>
  <c r="H13" i="33"/>
  <c r="S11" i="34"/>
  <c r="S37" i="34"/>
  <c r="AZ378" i="3"/>
  <c r="AZ358" i="3"/>
  <c r="J25" i="36"/>
  <c r="H13" i="21"/>
  <c r="U13" i="21" s="1"/>
  <c r="F46" i="21"/>
  <c r="AA46" i="21" s="1"/>
  <c r="U28" i="21"/>
  <c r="AB28" i="21"/>
  <c r="U42" i="34"/>
  <c r="H12" i="21"/>
  <c r="F12" i="21"/>
  <c r="F81" i="21"/>
  <c r="G81" i="21" s="1"/>
  <c r="F19" i="21"/>
  <c r="AA19" i="21" s="1"/>
  <c r="J12" i="35"/>
  <c r="W31" i="36"/>
  <c r="AC31" i="36"/>
  <c r="H14" i="37"/>
  <c r="J14" i="37"/>
  <c r="F9" i="1"/>
  <c r="AP9" i="1" s="1"/>
  <c r="O68" i="59"/>
  <c r="C88" i="59"/>
  <c r="U69" i="59"/>
  <c r="Q68" i="59"/>
  <c r="C48" i="59"/>
  <c r="D48" i="59" s="1"/>
  <c r="B56" i="59"/>
  <c r="B57" i="59" s="1"/>
  <c r="S57" i="59" s="1"/>
  <c r="E60" i="59"/>
  <c r="E61" i="59" s="1"/>
  <c r="U61" i="59" s="1"/>
  <c r="S73" i="59"/>
  <c r="S81" i="59"/>
  <c r="A26" i="64"/>
  <c r="H39" i="37"/>
  <c r="AB39" i="37" s="1"/>
  <c r="G571" i="3"/>
  <c r="G543" i="3"/>
  <c r="G390" i="3"/>
  <c r="BL390" i="3"/>
  <c r="BA392" i="3"/>
  <c r="G394" i="3"/>
  <c r="G402" i="3"/>
  <c r="G403" i="3"/>
  <c r="G406" i="3"/>
  <c r="G410" i="3"/>
  <c r="BA413" i="3"/>
  <c r="BL413" i="3"/>
  <c r="G424" i="3"/>
  <c r="G458" i="3"/>
  <c r="G474" i="3"/>
  <c r="BL348" i="3"/>
  <c r="AZ348" i="3" s="1"/>
  <c r="G352" i="3"/>
  <c r="G212" i="3"/>
  <c r="G216" i="3"/>
  <c r="BL231" i="3"/>
  <c r="G232" i="3"/>
  <c r="BA233" i="3"/>
  <c r="G236" i="3"/>
  <c r="G45" i="3"/>
  <c r="G49" i="3"/>
  <c r="G53" i="3"/>
  <c r="G56" i="3"/>
  <c r="G106" i="3"/>
  <c r="BA110" i="3"/>
  <c r="BL112" i="3"/>
  <c r="B57" i="46"/>
  <c r="D81" i="59"/>
  <c r="AA29" i="59"/>
  <c r="B36" i="59"/>
  <c r="B37" i="59" s="1"/>
  <c r="S37" i="59" s="1"/>
  <c r="BA428" i="3"/>
  <c r="BA466" i="3"/>
  <c r="BL468" i="3"/>
  <c r="BA318" i="3"/>
  <c r="BL332" i="3"/>
  <c r="AZ332" i="3" s="1"/>
  <c r="BA335" i="3"/>
  <c r="BL342" i="3"/>
  <c r="AZ342" i="3" s="1"/>
  <c r="BL269" i="3"/>
  <c r="BA271" i="3"/>
  <c r="BA291" i="3"/>
  <c r="BA294" i="3"/>
  <c r="BL128" i="3"/>
  <c r="BL130" i="3"/>
  <c r="AZ130" i="3" s="1"/>
  <c r="BA131" i="3"/>
  <c r="AZ131" i="3" s="1"/>
  <c r="BA183" i="3"/>
  <c r="BA187" i="3"/>
  <c r="BA23" i="3"/>
  <c r="BL25" i="3"/>
  <c r="BA29" i="3"/>
  <c r="BL30" i="3"/>
  <c r="BL31" i="3"/>
  <c r="BA33" i="3"/>
  <c r="BL34" i="3"/>
  <c r="BL35" i="3"/>
  <c r="BA36" i="3"/>
  <c r="BA96" i="3"/>
  <c r="BL96" i="3"/>
  <c r="BL97" i="3"/>
  <c r="C31" i="39"/>
  <c r="G392" i="3"/>
  <c r="G400" i="3"/>
  <c r="G404" i="3"/>
  <c r="G408" i="3"/>
  <c r="G421" i="3"/>
  <c r="BL430" i="3"/>
  <c r="G431" i="3"/>
  <c r="BA433" i="3"/>
  <c r="BL433" i="3"/>
  <c r="BA436" i="3"/>
  <c r="BL442" i="3"/>
  <c r="BA444" i="3"/>
  <c r="BL450" i="3"/>
  <c r="G464" i="3"/>
  <c r="G468" i="3"/>
  <c r="G480" i="3"/>
  <c r="G301" i="3"/>
  <c r="G341" i="3"/>
  <c r="G345" i="3"/>
  <c r="G349" i="3"/>
  <c r="G370" i="3"/>
  <c r="G210" i="3"/>
  <c r="G214" i="3"/>
  <c r="G230" i="3"/>
  <c r="G269" i="3"/>
  <c r="G281" i="3"/>
  <c r="G284" i="3"/>
  <c r="G288" i="3"/>
  <c r="G145" i="3"/>
  <c r="G149" i="3"/>
  <c r="G154" i="3"/>
  <c r="G157" i="3"/>
  <c r="BL160" i="3"/>
  <c r="G162" i="3"/>
  <c r="G46" i="3"/>
  <c r="G89" i="3"/>
  <c r="B68" i="46"/>
  <c r="Q69" i="59"/>
  <c r="D24" i="15"/>
  <c r="M9" i="1"/>
  <c r="O9" i="1" s="1"/>
  <c r="P9" i="1" s="1"/>
  <c r="M36" i="1"/>
  <c r="M35" i="1"/>
  <c r="I4" i="6"/>
  <c r="C11" i="21" s="1"/>
  <c r="U9" i="35"/>
  <c r="AC27" i="35"/>
  <c r="AB27" i="35"/>
  <c r="S27" i="35"/>
  <c r="BL550" i="3"/>
  <c r="AB17" i="33"/>
  <c r="S20" i="36"/>
  <c r="AA20" i="36"/>
  <c r="U32" i="37"/>
  <c r="AB32" i="37"/>
  <c r="U13" i="33"/>
  <c r="AB13" i="33"/>
  <c r="W42" i="33"/>
  <c r="AC38" i="37"/>
  <c r="W38" i="37"/>
  <c r="U29" i="21"/>
  <c r="AB29" i="21"/>
  <c r="AC44" i="21"/>
  <c r="W44" i="21"/>
  <c r="AB23" i="33"/>
  <c r="U23" i="33"/>
  <c r="S41" i="33"/>
  <c r="AA41" i="33"/>
  <c r="AC39" i="39"/>
  <c r="W39" i="39"/>
  <c r="W33" i="39"/>
  <c r="AC33" i="39"/>
  <c r="BL572" i="3"/>
  <c r="BL570" i="3"/>
  <c r="BH5" i="3"/>
  <c r="BD5" i="3"/>
  <c r="AA8" i="21"/>
  <c r="S8" i="21"/>
  <c r="AC39" i="21"/>
  <c r="W39" i="21"/>
  <c r="AC40" i="33"/>
  <c r="W40" i="33"/>
  <c r="AA30" i="37"/>
  <c r="S30" i="37"/>
  <c r="AC31" i="37"/>
  <c r="W31" i="37"/>
  <c r="H13" i="37"/>
  <c r="F13" i="37"/>
  <c r="J13" i="37"/>
  <c r="H27" i="37"/>
  <c r="J27" i="37"/>
  <c r="W27" i="37" s="1"/>
  <c r="H15" i="39"/>
  <c r="U15" i="39" s="1"/>
  <c r="J15" i="39"/>
  <c r="AC15" i="39" s="1"/>
  <c r="F47" i="39"/>
  <c r="H47" i="39"/>
  <c r="J47" i="39"/>
  <c r="W47" i="39" s="1"/>
  <c r="F102" i="39"/>
  <c r="H29" i="39"/>
  <c r="AB29" i="39" s="1"/>
  <c r="F39" i="39"/>
  <c r="H39" i="39"/>
  <c r="AB39" i="39" s="1"/>
  <c r="F14" i="40"/>
  <c r="H14" i="40"/>
  <c r="U14" i="40" s="1"/>
  <c r="J14" i="40"/>
  <c r="BL553" i="3"/>
  <c r="BA553" i="3"/>
  <c r="BA552" i="3"/>
  <c r="BA551" i="3"/>
  <c r="BO5" i="3"/>
  <c r="AB11" i="34"/>
  <c r="U11" i="34"/>
  <c r="W36" i="33"/>
  <c r="AC36" i="33"/>
  <c r="W38" i="39"/>
  <c r="AC38" i="39"/>
  <c r="U43" i="33"/>
  <c r="AB43" i="33"/>
  <c r="U25" i="21"/>
  <c r="AB25" i="21"/>
  <c r="BL522" i="3"/>
  <c r="BL530" i="3"/>
  <c r="AZ530" i="3" s="1"/>
  <c r="AA45" i="34"/>
  <c r="S45" i="34"/>
  <c r="AA13" i="34"/>
  <c r="S13" i="34"/>
  <c r="AC14" i="33"/>
  <c r="W14" i="33"/>
  <c r="U37" i="37"/>
  <c r="AB37" i="37"/>
  <c r="W11" i="36"/>
  <c r="AC11" i="36"/>
  <c r="S19" i="33"/>
  <c r="AA19" i="33"/>
  <c r="AA8" i="33"/>
  <c r="S8" i="33"/>
  <c r="AC39" i="33"/>
  <c r="W39" i="33"/>
  <c r="H34" i="36"/>
  <c r="J34" i="36"/>
  <c r="S37" i="40"/>
  <c r="AA37" i="40"/>
  <c r="S32" i="37"/>
  <c r="AA32" i="37"/>
  <c r="S15" i="34"/>
  <c r="AC45" i="39"/>
  <c r="W45" i="39"/>
  <c r="W15" i="40"/>
  <c r="AC15" i="40"/>
  <c r="W14" i="34"/>
  <c r="AC14" i="34"/>
  <c r="S13" i="33"/>
  <c r="AA13" i="33"/>
  <c r="W28" i="33"/>
  <c r="AC28" i="33"/>
  <c r="S22" i="35"/>
  <c r="AA22" i="35"/>
  <c r="AA12" i="21"/>
  <c r="S12" i="21"/>
  <c r="J27" i="21"/>
  <c r="H27" i="21"/>
  <c r="J31" i="21"/>
  <c r="H31" i="21"/>
  <c r="U31" i="21" s="1"/>
  <c r="F31" i="21"/>
  <c r="E77" i="21"/>
  <c r="F77" i="21" s="1"/>
  <c r="G77" i="21" s="1"/>
  <c r="J15" i="21"/>
  <c r="W15" i="21" s="1"/>
  <c r="H15" i="21"/>
  <c r="B72" i="46"/>
  <c r="C17" i="39"/>
  <c r="AA43" i="34"/>
  <c r="S43" i="34"/>
  <c r="AB25" i="33"/>
  <c r="U25" i="33"/>
  <c r="W11" i="33"/>
  <c r="AC11" i="33"/>
  <c r="U11" i="36"/>
  <c r="AC34" i="33"/>
  <c r="W34" i="33"/>
  <c r="W32" i="40"/>
  <c r="AC15" i="34"/>
  <c r="W15" i="34"/>
  <c r="F72" i="9"/>
  <c r="M20" i="44"/>
  <c r="M18" i="15"/>
  <c r="U32" i="34"/>
  <c r="AB32" i="34"/>
  <c r="BQ5" i="3"/>
  <c r="F28" i="6" s="1"/>
  <c r="AC13" i="21"/>
  <c r="W13" i="21"/>
  <c r="S34" i="36"/>
  <c r="AA34" i="36"/>
  <c r="G570" i="3"/>
  <c r="S28" i="21"/>
  <c r="AA28" i="21"/>
  <c r="U44" i="21"/>
  <c r="AB44" i="21"/>
  <c r="AC34" i="34"/>
  <c r="W34" i="34"/>
  <c r="H13" i="36"/>
  <c r="J13" i="36"/>
  <c r="W13" i="36" s="1"/>
  <c r="F13" i="36"/>
  <c r="J23" i="36"/>
  <c r="AC23" i="36" s="1"/>
  <c r="H23" i="36"/>
  <c r="BA550" i="3"/>
  <c r="BL549" i="3"/>
  <c r="AZ549" i="3" s="1"/>
  <c r="BA548" i="3"/>
  <c r="BL547" i="3"/>
  <c r="BA547" i="3"/>
  <c r="BL541" i="3"/>
  <c r="BA541" i="3"/>
  <c r="AZ541" i="3" s="1"/>
  <c r="BA539" i="3"/>
  <c r="BA538" i="3"/>
  <c r="AZ538" i="3" s="1"/>
  <c r="BA537" i="3"/>
  <c r="BL536" i="3"/>
  <c r="BA536" i="3"/>
  <c r="BA534" i="3"/>
  <c r="BL533" i="3"/>
  <c r="BA533" i="3"/>
  <c r="AZ533" i="3" s="1"/>
  <c r="BA532" i="3"/>
  <c r="BL531" i="3"/>
  <c r="BA531" i="3"/>
  <c r="BL529" i="3"/>
  <c r="BA529" i="3"/>
  <c r="BL528" i="3"/>
  <c r="BA528" i="3"/>
  <c r="BL527" i="3"/>
  <c r="AZ527" i="3" s="1"/>
  <c r="BA526" i="3"/>
  <c r="BL525" i="3"/>
  <c r="BA525" i="3"/>
  <c r="BA524" i="3"/>
  <c r="BA523" i="3"/>
  <c r="AZ523" i="3" s="1"/>
  <c r="BA522" i="3"/>
  <c r="BL521" i="3"/>
  <c r="BA521" i="3"/>
  <c r="BL520" i="3"/>
  <c r="AZ520" i="3" s="1"/>
  <c r="BL519" i="3"/>
  <c r="AZ519" i="3" s="1"/>
  <c r="BA518" i="3"/>
  <c r="BL517" i="3"/>
  <c r="BA517" i="3"/>
  <c r="BA516" i="3"/>
  <c r="BA515" i="3"/>
  <c r="AZ515" i="3" s="1"/>
  <c r="BA514" i="3"/>
  <c r="BL513" i="3"/>
  <c r="BL512" i="3"/>
  <c r="BA512" i="3"/>
  <c r="BA511" i="3"/>
  <c r="BL510" i="3"/>
  <c r="BA510" i="3"/>
  <c r="BL508" i="3"/>
  <c r="BA508" i="3"/>
  <c r="AZ508" i="3" s="1"/>
  <c r="BL507" i="3"/>
  <c r="AZ507" i="3" s="1"/>
  <c r="BA507" i="3"/>
  <c r="BL505" i="3"/>
  <c r="BA505" i="3"/>
  <c r="BA504" i="3"/>
  <c r="BL503" i="3"/>
  <c r="BA503" i="3"/>
  <c r="BL502" i="3"/>
  <c r="BA502" i="3"/>
  <c r="BL499" i="3"/>
  <c r="BA499" i="3"/>
  <c r="BL498" i="3"/>
  <c r="AZ498" i="3" s="1"/>
  <c r="BA497" i="3"/>
  <c r="AZ497" i="3" s="1"/>
  <c r="BL496" i="3"/>
  <c r="BA496" i="3"/>
  <c r="BL495" i="3"/>
  <c r="AZ495" i="3" s="1"/>
  <c r="BL494" i="3"/>
  <c r="BA494" i="3"/>
  <c r="BA493" i="3"/>
  <c r="AZ493" i="3" s="1"/>
  <c r="BA492" i="3"/>
  <c r="BL491" i="3"/>
  <c r="BA491" i="3"/>
  <c r="BA490" i="3"/>
  <c r="AZ490" i="3" s="1"/>
  <c r="BL489" i="3"/>
  <c r="BA489" i="3"/>
  <c r="BA488" i="3"/>
  <c r="BA487" i="3"/>
  <c r="BA486" i="3"/>
  <c r="BA485" i="3"/>
  <c r="AZ485" i="3" s="1"/>
  <c r="BA484" i="3"/>
  <c r="BL483" i="3"/>
  <c r="BJ5" i="3"/>
  <c r="BB5" i="3"/>
  <c r="BA482" i="3"/>
  <c r="BL481" i="3"/>
  <c r="BL19" i="3"/>
  <c r="AZ19" i="3" s="1"/>
  <c r="AZ18" i="3"/>
  <c r="BK5" i="3"/>
  <c r="AZ356" i="3"/>
  <c r="AZ345" i="3"/>
  <c r="AZ303" i="3"/>
  <c r="BL20" i="3"/>
  <c r="BL488" i="3"/>
  <c r="AZ488" i="3" s="1"/>
  <c r="BL504" i="3"/>
  <c r="BL516" i="3"/>
  <c r="BL524" i="3"/>
  <c r="BL532" i="3"/>
  <c r="G3" i="46"/>
  <c r="Z7" i="46" s="1"/>
  <c r="C13" i="39"/>
  <c r="BL571" i="3"/>
  <c r="BA571" i="3"/>
  <c r="G555" i="3"/>
  <c r="G547" i="3"/>
  <c r="BL535" i="3"/>
  <c r="G509" i="3"/>
  <c r="G504" i="3"/>
  <c r="G503" i="3"/>
  <c r="G496" i="3"/>
  <c r="G495" i="3"/>
  <c r="G482" i="3"/>
  <c r="G17" i="3"/>
  <c r="G15" i="3"/>
  <c r="W37" i="34"/>
  <c r="W23" i="40"/>
  <c r="J23" i="39"/>
  <c r="AC23" i="39" s="1"/>
  <c r="AC30" i="34"/>
  <c r="F23" i="39"/>
  <c r="AA23" i="39" s="1"/>
  <c r="W27" i="33"/>
  <c r="AB12" i="34"/>
  <c r="AC32" i="36"/>
  <c r="AB11" i="37"/>
  <c r="AZ377" i="3"/>
  <c r="AZ354" i="3"/>
  <c r="AZ343" i="3"/>
  <c r="H28" i="34"/>
  <c r="BL482" i="3"/>
  <c r="AC5" i="3"/>
  <c r="BL518" i="3"/>
  <c r="BL526" i="3"/>
  <c r="BL534" i="3"/>
  <c r="W29" i="37"/>
  <c r="W45" i="33"/>
  <c r="J33" i="35"/>
  <c r="J28" i="21"/>
  <c r="H29" i="35"/>
  <c r="AB8" i="36"/>
  <c r="W38" i="33"/>
  <c r="J12" i="21"/>
  <c r="F9" i="35"/>
  <c r="AA9" i="35" s="1"/>
  <c r="G549" i="3"/>
  <c r="BA545" i="3"/>
  <c r="BL542" i="3"/>
  <c r="BA542" i="3"/>
  <c r="BL540" i="3"/>
  <c r="BA540" i="3"/>
  <c r="G535" i="3"/>
  <c r="G528" i="3"/>
  <c r="G520" i="3"/>
  <c r="G512" i="3"/>
  <c r="G505" i="3"/>
  <c r="AA26" i="36"/>
  <c r="H23" i="39"/>
  <c r="AC13" i="33"/>
  <c r="AZ568" i="3"/>
  <c r="U25" i="35"/>
  <c r="AZ347" i="3"/>
  <c r="AZ379" i="3"/>
  <c r="AZ300" i="3"/>
  <c r="S39" i="33"/>
  <c r="AC41" i="34"/>
  <c r="BL484" i="3"/>
  <c r="BL492" i="3"/>
  <c r="AZ492" i="3" s="1"/>
  <c r="BL548" i="3"/>
  <c r="AZ560" i="3"/>
  <c r="W8" i="35"/>
  <c r="F26" i="33"/>
  <c r="W9" i="34"/>
  <c r="J19" i="21"/>
  <c r="BN5" i="3"/>
  <c r="G29" i="6" s="1"/>
  <c r="M7" i="1"/>
  <c r="O7" i="1" s="1"/>
  <c r="P7" i="1" s="1"/>
  <c r="O35" i="1"/>
  <c r="G398" i="3"/>
  <c r="BA402" i="3"/>
  <c r="BL404" i="3"/>
  <c r="BA408" i="3"/>
  <c r="BA420" i="3"/>
  <c r="BL421" i="3"/>
  <c r="G430" i="3"/>
  <c r="G443" i="3"/>
  <c r="BA443" i="3"/>
  <c r="BL446" i="3"/>
  <c r="G447" i="3"/>
  <c r="BL454" i="3"/>
  <c r="G478" i="3"/>
  <c r="BL302" i="3"/>
  <c r="AZ302" i="3" s="1"/>
  <c r="BL306" i="3"/>
  <c r="AZ306" i="3" s="1"/>
  <c r="BA321" i="3"/>
  <c r="AZ321" i="3" s="1"/>
  <c r="BA325" i="3"/>
  <c r="AZ325" i="3" s="1"/>
  <c r="T25" i="59"/>
  <c r="C24" i="59"/>
  <c r="D25" i="59"/>
  <c r="BL569" i="3"/>
  <c r="BA569" i="3"/>
  <c r="G569" i="3"/>
  <c r="BA566" i="3"/>
  <c r="BA565" i="3"/>
  <c r="BL563" i="3"/>
  <c r="BA562" i="3"/>
  <c r="G562" i="3"/>
  <c r="BL561" i="3"/>
  <c r="AZ561" i="3" s="1"/>
  <c r="BA559" i="3"/>
  <c r="AZ559" i="3" s="1"/>
  <c r="BL558" i="3"/>
  <c r="BA557" i="3"/>
  <c r="AZ557" i="3" s="1"/>
  <c r="BA556" i="3"/>
  <c r="G556" i="3"/>
  <c r="BL555" i="3"/>
  <c r="BA554" i="3"/>
  <c r="G554" i="3"/>
  <c r="G553" i="3"/>
  <c r="G552" i="3"/>
  <c r="BL551" i="3"/>
  <c r="G551" i="3"/>
  <c r="BL545" i="3"/>
  <c r="BA544" i="3"/>
  <c r="BL543" i="3"/>
  <c r="BA543" i="3"/>
  <c r="G531" i="3"/>
  <c r="G513" i="3"/>
  <c r="BL511" i="3"/>
  <c r="BA509" i="3"/>
  <c r="G500" i="3"/>
  <c r="G486" i="3"/>
  <c r="D3" i="36"/>
  <c r="F8" i="1"/>
  <c r="AP8" i="1" s="1"/>
  <c r="A11" i="55"/>
  <c r="B62" i="63" s="1"/>
  <c r="BL389" i="3"/>
  <c r="G418" i="3"/>
  <c r="BL426" i="3"/>
  <c r="G432" i="3"/>
  <c r="G438" i="3"/>
  <c r="G446" i="3"/>
  <c r="BL448" i="3"/>
  <c r="G449" i="3"/>
  <c r="G454" i="3"/>
  <c r="G455" i="3"/>
  <c r="BL455" i="3"/>
  <c r="BA457" i="3"/>
  <c r="BL457" i="3"/>
  <c r="BA460" i="3"/>
  <c r="BA315" i="3"/>
  <c r="AZ315" i="3" s="1"/>
  <c r="BA337" i="3"/>
  <c r="AZ337" i="3" s="1"/>
  <c r="BA367" i="3"/>
  <c r="AZ367" i="3" s="1"/>
  <c r="BA371" i="3"/>
  <c r="BA208" i="3"/>
  <c r="BA220" i="3"/>
  <c r="BL258" i="3"/>
  <c r="BA268" i="3"/>
  <c r="BL268" i="3"/>
  <c r="BA43" i="3"/>
  <c r="BC5" i="3"/>
  <c r="F11" i="1"/>
  <c r="AP11" i="1" s="1"/>
  <c r="F7" i="1"/>
  <c r="G7" i="1" s="1"/>
  <c r="G389" i="3"/>
  <c r="BL394" i="3"/>
  <c r="BA396" i="3"/>
  <c r="BL406" i="3"/>
  <c r="BL410" i="3"/>
  <c r="G416" i="3"/>
  <c r="G420" i="3"/>
  <c r="G426" i="3"/>
  <c r="BA432" i="3"/>
  <c r="G440" i="3"/>
  <c r="G448" i="3"/>
  <c r="G457" i="3"/>
  <c r="G466" i="3"/>
  <c r="G467" i="3"/>
  <c r="G470" i="3"/>
  <c r="G471" i="3"/>
  <c r="BA471" i="3"/>
  <c r="BA473" i="3"/>
  <c r="BL473" i="3"/>
  <c r="BA476" i="3"/>
  <c r="BA311" i="3"/>
  <c r="AZ311" i="3" s="1"/>
  <c r="BL316" i="3"/>
  <c r="AZ316" i="3" s="1"/>
  <c r="G317" i="3"/>
  <c r="BA319" i="3"/>
  <c r="BL326" i="3"/>
  <c r="AZ326" i="3" s="1"/>
  <c r="BL351" i="3"/>
  <c r="BL368" i="3"/>
  <c r="BA235" i="3"/>
  <c r="BA275" i="3"/>
  <c r="BL277" i="3"/>
  <c r="BA279" i="3"/>
  <c r="BA283" i="3"/>
  <c r="BL285" i="3"/>
  <c r="BL289" i="3"/>
  <c r="BL290" i="3"/>
  <c r="BA116" i="3"/>
  <c r="BA141" i="3"/>
  <c r="BA143" i="3"/>
  <c r="AZ143" i="3" s="1"/>
  <c r="D84" i="59"/>
  <c r="M8" i="1"/>
  <c r="O8" i="1" s="1"/>
  <c r="P8" i="1" s="1"/>
  <c r="O36" i="1"/>
  <c r="N69" i="59"/>
  <c r="S69" i="59"/>
  <c r="U73" i="59"/>
  <c r="E72" i="59"/>
  <c r="E71" i="59" s="1"/>
  <c r="U81" i="59"/>
  <c r="E80" i="59"/>
  <c r="E79" i="59" s="1"/>
  <c r="G381" i="3"/>
  <c r="BL384" i="3"/>
  <c r="G206" i="3"/>
  <c r="G211" i="3"/>
  <c r="BA216" i="3"/>
  <c r="G219" i="3"/>
  <c r="BL223" i="3"/>
  <c r="G224" i="3"/>
  <c r="G228" i="3"/>
  <c r="G234" i="3"/>
  <c r="BA239" i="3"/>
  <c r="BA253" i="3"/>
  <c r="BL255" i="3"/>
  <c r="G256" i="3"/>
  <c r="G261" i="3"/>
  <c r="BA265" i="3"/>
  <c r="G268" i="3"/>
  <c r="BL273" i="3"/>
  <c r="G283" i="3"/>
  <c r="BA287" i="3"/>
  <c r="G289" i="3"/>
  <c r="BL293" i="3"/>
  <c r="BA295" i="3"/>
  <c r="G118" i="3"/>
  <c r="BL121" i="3"/>
  <c r="G123" i="3"/>
  <c r="G143" i="3"/>
  <c r="BL152" i="3"/>
  <c r="G153" i="3"/>
  <c r="G156" i="3"/>
  <c r="G160" i="3"/>
  <c r="G161" i="3"/>
  <c r="G164" i="3"/>
  <c r="BL167" i="3"/>
  <c r="BL169" i="3"/>
  <c r="AZ169" i="3" s="1"/>
  <c r="BA170" i="3"/>
  <c r="AZ170" i="3" s="1"/>
  <c r="BL172" i="3"/>
  <c r="G173" i="3"/>
  <c r="G181" i="3"/>
  <c r="G185" i="3"/>
  <c r="G189" i="3"/>
  <c r="G193" i="3"/>
  <c r="G197" i="3"/>
  <c r="BL21" i="3"/>
  <c r="G30" i="3"/>
  <c r="G34" i="3"/>
  <c r="BA39" i="3"/>
  <c r="BL41" i="3"/>
  <c r="G42" i="3"/>
  <c r="G43" i="3"/>
  <c r="BA45" i="3"/>
  <c r="BL46" i="3"/>
  <c r="BL47" i="3"/>
  <c r="BA49" i="3"/>
  <c r="BL50" i="3"/>
  <c r="BL51" i="3"/>
  <c r="BA52" i="3"/>
  <c r="G65" i="3"/>
  <c r="G68" i="3"/>
  <c r="BA76" i="3"/>
  <c r="BL77" i="3"/>
  <c r="BL78" i="3"/>
  <c r="BA87" i="3"/>
  <c r="G93" i="3"/>
  <c r="G96" i="3"/>
  <c r="BL102" i="3"/>
  <c r="BA104" i="3"/>
  <c r="K13" i="1"/>
  <c r="M13" i="1" s="1"/>
  <c r="O13" i="1" s="1"/>
  <c r="P13" i="1" s="1"/>
  <c r="S18" i="36"/>
  <c r="X35" i="59"/>
  <c r="X36" i="59"/>
  <c r="C60" i="59"/>
  <c r="AA3" i="59"/>
  <c r="BA74" i="3"/>
  <c r="BL88" i="3"/>
  <c r="BL89" i="3"/>
  <c r="AB30" i="59"/>
  <c r="AB31" i="59"/>
  <c r="AB32" i="59"/>
  <c r="AB33" i="59"/>
  <c r="Y34" i="59"/>
  <c r="Z34" i="59" s="1"/>
  <c r="Y35" i="59"/>
  <c r="Z35" i="59" s="1"/>
  <c r="Y36" i="59"/>
  <c r="Z36" i="59" s="1"/>
  <c r="Y37" i="59"/>
  <c r="Z37" i="59" s="1"/>
  <c r="F41" i="59"/>
  <c r="V41" i="59" s="1"/>
  <c r="G367" i="3"/>
  <c r="BA369" i="3"/>
  <c r="G379" i="3"/>
  <c r="G383" i="3"/>
  <c r="BA387" i="3"/>
  <c r="G388" i="3"/>
  <c r="G208" i="3"/>
  <c r="BA212" i="3"/>
  <c r="G213" i="3"/>
  <c r="G217" i="3"/>
  <c r="BL226" i="3"/>
  <c r="G235" i="3"/>
  <c r="G241" i="3"/>
  <c r="G244" i="3"/>
  <c r="G248" i="3"/>
  <c r="BA259" i="3"/>
  <c r="BA267" i="3"/>
  <c r="G272" i="3"/>
  <c r="G277" i="3"/>
  <c r="G278" i="3"/>
  <c r="BL278" i="3"/>
  <c r="BL281" i="3"/>
  <c r="G282" i="3"/>
  <c r="BA284" i="3"/>
  <c r="BL284" i="3"/>
  <c r="G287" i="3"/>
  <c r="G113" i="3"/>
  <c r="G133" i="3"/>
  <c r="BL137" i="3"/>
  <c r="BL144" i="3"/>
  <c r="G146" i="3"/>
  <c r="BL146" i="3"/>
  <c r="AZ146" i="3" s="1"/>
  <c r="BA147" i="3"/>
  <c r="AZ147" i="3" s="1"/>
  <c r="G150" i="3"/>
  <c r="BA151" i="3"/>
  <c r="AZ151" i="3" s="1"/>
  <c r="BA156" i="3"/>
  <c r="G158" i="3"/>
  <c r="G176" i="3"/>
  <c r="G184" i="3"/>
  <c r="G191" i="3"/>
  <c r="G192" i="3"/>
  <c r="G195" i="3"/>
  <c r="G199" i="3"/>
  <c r="G200" i="3"/>
  <c r="BL202" i="3"/>
  <c r="BL203" i="3"/>
  <c r="BA204" i="3"/>
  <c r="G29" i="3"/>
  <c r="G33" i="3"/>
  <c r="G37" i="3"/>
  <c r="G40" i="3"/>
  <c r="G58" i="3"/>
  <c r="BL60" i="3"/>
  <c r="G62" i="3"/>
  <c r="G63" i="3"/>
  <c r="BA63" i="3"/>
  <c r="BA73" i="3"/>
  <c r="G85" i="3"/>
  <c r="BA100" i="3"/>
  <c r="G101" i="3"/>
  <c r="F3" i="35"/>
  <c r="D77" i="59"/>
  <c r="X39" i="59"/>
  <c r="B60" i="59"/>
  <c r="B61" i="59" s="1"/>
  <c r="S61" i="59" s="1"/>
  <c r="F72" i="59"/>
  <c r="F71" i="59" s="1"/>
  <c r="F80" i="59"/>
  <c r="F79" i="59" s="1"/>
  <c r="S36" i="35"/>
  <c r="U32" i="35"/>
  <c r="S32" i="35"/>
  <c r="AA33" i="35"/>
  <c r="S30" i="35"/>
  <c r="W20" i="35"/>
  <c r="AB20" i="35"/>
  <c r="S20" i="35"/>
  <c r="AB16" i="35"/>
  <c r="AA14" i="35"/>
  <c r="W14" i="35"/>
  <c r="S41" i="21"/>
  <c r="U43" i="21"/>
  <c r="AB40" i="21"/>
  <c r="AC40" i="21"/>
  <c r="U35" i="21"/>
  <c r="AA36" i="21"/>
  <c r="AC36" i="21"/>
  <c r="S35" i="21"/>
  <c r="AC34" i="21"/>
  <c r="W32" i="21"/>
  <c r="AA32" i="21"/>
  <c r="U19" i="21"/>
  <c r="AB45" i="21"/>
  <c r="AC23" i="21"/>
  <c r="S23" i="21"/>
  <c r="W17" i="21"/>
  <c r="AC15" i="21"/>
  <c r="AA15" i="21"/>
  <c r="J36" i="39"/>
  <c r="H36" i="39"/>
  <c r="F36" i="39"/>
  <c r="AA46" i="39"/>
  <c r="U14" i="39"/>
  <c r="W40" i="39"/>
  <c r="AB30" i="36"/>
  <c r="W29" i="35"/>
  <c r="AA29" i="35"/>
  <c r="U33" i="35"/>
  <c r="AB30" i="35"/>
  <c r="AC30" i="35"/>
  <c r="W32" i="35"/>
  <c r="AA35" i="35"/>
  <c r="AC26" i="35"/>
  <c r="S26" i="35"/>
  <c r="AB26" i="35"/>
  <c r="W42" i="21"/>
  <c r="S42" i="21"/>
  <c r="U42" i="21"/>
  <c r="AA40" i="21"/>
  <c r="U39" i="21"/>
  <c r="AC38" i="21"/>
  <c r="U38" i="21"/>
  <c r="AA38" i="21"/>
  <c r="AB36" i="21"/>
  <c r="AC35" i="21"/>
  <c r="AB34" i="21"/>
  <c r="AB32" i="21"/>
  <c r="AC45" i="21"/>
  <c r="U9" i="21"/>
  <c r="C18" i="9"/>
  <c r="D18" i="9" s="1"/>
  <c r="M44" i="9" s="1"/>
  <c r="AC46" i="39"/>
  <c r="AB46" i="39"/>
  <c r="F125" i="39"/>
  <c r="G125" i="39" s="1"/>
  <c r="H125" i="39" s="1"/>
  <c r="I125" i="39" s="1"/>
  <c r="J125" i="39" s="1"/>
  <c r="K125" i="39" s="1"/>
  <c r="L125" i="39" s="1"/>
  <c r="M125" i="39" s="1"/>
  <c r="F43" i="39"/>
  <c r="AA43" i="39" s="1"/>
  <c r="J43" i="39"/>
  <c r="AC43" i="39" s="1"/>
  <c r="AC44" i="39"/>
  <c r="AA44" i="39"/>
  <c r="AB44" i="39"/>
  <c r="S41" i="39"/>
  <c r="U41" i="39"/>
  <c r="W34" i="39"/>
  <c r="AB33" i="39"/>
  <c r="S33" i="39"/>
  <c r="U29" i="39"/>
  <c r="S27" i="39"/>
  <c r="U27" i="39"/>
  <c r="W27" i="39"/>
  <c r="S25" i="39"/>
  <c r="W25" i="39"/>
  <c r="AB25" i="39"/>
  <c r="W23" i="39"/>
  <c r="AB21" i="39"/>
  <c r="AC17" i="39"/>
  <c r="AB17" i="39"/>
  <c r="D26" i="44"/>
  <c r="D24" i="44"/>
  <c r="K1" i="12"/>
  <c r="G1" i="15"/>
  <c r="K1" i="43"/>
  <c r="K6" i="1"/>
  <c r="B6" i="1"/>
  <c r="E6" i="1" s="1"/>
  <c r="P16" i="4"/>
  <c r="AA29" i="40"/>
  <c r="S29" i="40"/>
  <c r="AC37" i="40"/>
  <c r="W37" i="40"/>
  <c r="U15" i="21"/>
  <c r="AB15" i="21"/>
  <c r="AB23" i="39"/>
  <c r="U23" i="39"/>
  <c r="U15" i="33"/>
  <c r="AB15" i="33"/>
  <c r="W40" i="40"/>
  <c r="AC40" i="40"/>
  <c r="AA14" i="21"/>
  <c r="S14" i="21"/>
  <c r="U46" i="21"/>
  <c r="AB46" i="21"/>
  <c r="AC26" i="33"/>
  <c r="W26" i="33"/>
  <c r="U30" i="33"/>
  <c r="AB30" i="33"/>
  <c r="AZ569" i="3"/>
  <c r="U23" i="21"/>
  <c r="AB23" i="21"/>
  <c r="S17" i="33"/>
  <c r="AA17" i="33"/>
  <c r="AA14" i="36"/>
  <c r="S14" i="36"/>
  <c r="AB33" i="37"/>
  <c r="U33" i="37"/>
  <c r="W27" i="21"/>
  <c r="AC27" i="21"/>
  <c r="AC31" i="21"/>
  <c r="W31" i="21"/>
  <c r="W18" i="36"/>
  <c r="W33" i="37"/>
  <c r="AC33" i="37"/>
  <c r="K33" i="9"/>
  <c r="O41" i="9"/>
  <c r="R8" i="54" s="1"/>
  <c r="B54" i="63" s="1"/>
  <c r="A17" i="64"/>
  <c r="A17" i="51"/>
  <c r="B13" i="63" s="1"/>
  <c r="AA25" i="33"/>
  <c r="S25" i="33"/>
  <c r="W35" i="33"/>
  <c r="AC35" i="33"/>
  <c r="AB15" i="34"/>
  <c r="U15" i="34"/>
  <c r="AB14" i="40"/>
  <c r="U34" i="40"/>
  <c r="AB34" i="40"/>
  <c r="W14" i="40"/>
  <c r="AC14" i="40"/>
  <c r="AZ571" i="3"/>
  <c r="U13" i="34"/>
  <c r="AB13" i="34"/>
  <c r="AZ509" i="3"/>
  <c r="AZ521" i="3"/>
  <c r="AZ563" i="3"/>
  <c r="AZ339" i="3"/>
  <c r="U12" i="37"/>
  <c r="U23" i="37"/>
  <c r="S46" i="21"/>
  <c r="J24" i="36"/>
  <c r="H24" i="36"/>
  <c r="W41" i="39"/>
  <c r="S35" i="40"/>
  <c r="U30" i="40"/>
  <c r="U17" i="21"/>
  <c r="W32" i="33"/>
  <c r="U29" i="33"/>
  <c r="U46" i="34"/>
  <c r="W41" i="40"/>
  <c r="AZ482" i="3"/>
  <c r="AZ486" i="3"/>
  <c r="G494" i="3"/>
  <c r="AZ510" i="3"/>
  <c r="AC34" i="37"/>
  <c r="AB28" i="33"/>
  <c r="S25" i="35"/>
  <c r="AA30" i="33"/>
  <c r="AA43" i="21"/>
  <c r="AZ324" i="3"/>
  <c r="AZ305" i="3"/>
  <c r="AZ338" i="3"/>
  <c r="AZ299" i="3"/>
  <c r="AB8" i="34"/>
  <c r="U39" i="37"/>
  <c r="BL544" i="3"/>
  <c r="AZ544" i="3" s="1"/>
  <c r="BL552" i="3"/>
  <c r="AZ552" i="3" s="1"/>
  <c r="BL562" i="3"/>
  <c r="AZ562" i="3" s="1"/>
  <c r="AC13" i="36"/>
  <c r="AC14" i="21"/>
  <c r="AB31" i="21"/>
  <c r="F27" i="37"/>
  <c r="AA27" i="37" s="1"/>
  <c r="F47" i="34"/>
  <c r="J13" i="34"/>
  <c r="J30" i="33"/>
  <c r="F27" i="21"/>
  <c r="H26" i="33"/>
  <c r="F30" i="21"/>
  <c r="S42" i="34"/>
  <c r="W43" i="34"/>
  <c r="AA28" i="34"/>
  <c r="AA39" i="37"/>
  <c r="C23" i="39"/>
  <c r="U38" i="33"/>
  <c r="W23" i="36"/>
  <c r="U30" i="37"/>
  <c r="F9" i="21"/>
  <c r="J9" i="21"/>
  <c r="AC31" i="35"/>
  <c r="J36" i="35"/>
  <c r="G564" i="3"/>
  <c r="G532" i="3"/>
  <c r="G527" i="3"/>
  <c r="G525" i="3"/>
  <c r="AB15" i="39"/>
  <c r="S29" i="39"/>
  <c r="AA21" i="39"/>
  <c r="S15" i="39"/>
  <c r="S45" i="39"/>
  <c r="S14" i="39"/>
  <c r="W42" i="40"/>
  <c r="S15" i="40"/>
  <c r="U33" i="40"/>
  <c r="AA17" i="21"/>
  <c r="U19" i="33"/>
  <c r="S35" i="33"/>
  <c r="AA41" i="34"/>
  <c r="U30" i="34"/>
  <c r="W46" i="34"/>
  <c r="U35" i="37"/>
  <c r="W12" i="37"/>
  <c r="AB14" i="35"/>
  <c r="U22" i="35"/>
  <c r="AC13" i="40"/>
  <c r="S17" i="39"/>
  <c r="U34" i="39"/>
  <c r="W34" i="40"/>
  <c r="U39" i="39"/>
  <c r="AB38" i="34"/>
  <c r="S23" i="39"/>
  <c r="S34" i="21"/>
  <c r="AZ481" i="3"/>
  <c r="AZ483" i="3"/>
  <c r="AZ487" i="3"/>
  <c r="AZ496" i="3"/>
  <c r="AZ500" i="3"/>
  <c r="AZ505" i="3"/>
  <c r="AZ511" i="3"/>
  <c r="AZ529" i="3"/>
  <c r="AZ535" i="3"/>
  <c r="AZ553" i="3"/>
  <c r="AZ565" i="3"/>
  <c r="AB29" i="37"/>
  <c r="S28" i="33"/>
  <c r="AC27" i="37"/>
  <c r="AB35" i="35"/>
  <c r="U32" i="33"/>
  <c r="AZ374" i="3"/>
  <c r="AZ328" i="3"/>
  <c r="AZ381" i="3"/>
  <c r="AZ331" i="3"/>
  <c r="AZ322" i="3"/>
  <c r="AB31" i="37"/>
  <c r="AB44" i="33"/>
  <c r="W23" i="35"/>
  <c r="BL514" i="3"/>
  <c r="BL546" i="3"/>
  <c r="BL564" i="3"/>
  <c r="AZ564" i="3" s="1"/>
  <c r="S19" i="21"/>
  <c r="S45" i="21"/>
  <c r="AC30" i="21"/>
  <c r="AB13" i="35"/>
  <c r="F14" i="37"/>
  <c r="F27" i="33"/>
  <c r="S27" i="33" s="1"/>
  <c r="S38" i="33"/>
  <c r="F24" i="36"/>
  <c r="W33" i="33"/>
  <c r="U33" i="33"/>
  <c r="W39" i="34"/>
  <c r="W39" i="37"/>
  <c r="G572" i="3"/>
  <c r="B99" i="46"/>
  <c r="B76" i="46"/>
  <c r="AZ512" i="3"/>
  <c r="AZ554" i="3"/>
  <c r="AZ566" i="3"/>
  <c r="AZ558" i="3"/>
  <c r="AZ551" i="3"/>
  <c r="G516"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L215" i="3"/>
  <c r="G218" i="3"/>
  <c r="BL218" i="3"/>
  <c r="G233" i="3"/>
  <c r="BL234" i="3"/>
  <c r="BA236" i="3"/>
  <c r="BL23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BA228" i="3"/>
  <c r="G548" i="3"/>
  <c r="G536" i="3"/>
  <c r="G519" i="3"/>
  <c r="G497" i="3"/>
  <c r="G12" i="1"/>
  <c r="BL393" i="3"/>
  <c r="G396" i="3"/>
  <c r="BA398" i="3"/>
  <c r="BL400" i="3"/>
  <c r="G401" i="3"/>
  <c r="BA403" i="3"/>
  <c r="BA405" i="3"/>
  <c r="BL405" i="3"/>
  <c r="BA412" i="3"/>
  <c r="BA418" i="3"/>
  <c r="BL431" i="3"/>
  <c r="G436" i="3"/>
  <c r="BA438" i="3"/>
  <c r="BL440" i="3"/>
  <c r="G441" i="3"/>
  <c r="BA447" i="3"/>
  <c r="BL449" i="3"/>
  <c r="G452" i="3"/>
  <c r="G453" i="3"/>
  <c r="BA456" i="3"/>
  <c r="G460" i="3"/>
  <c r="BA462" i="3"/>
  <c r="BL464" i="3"/>
  <c r="G465" i="3"/>
  <c r="BA467" i="3"/>
  <c r="BL469" i="3"/>
  <c r="BA472" i="3"/>
  <c r="G476" i="3"/>
  <c r="BA478" i="3"/>
  <c r="BL480" i="3"/>
  <c r="BL312" i="3"/>
  <c r="AZ312" i="3" s="1"/>
  <c r="G313" i="3"/>
  <c r="BL335" i="3"/>
  <c r="BA353" i="3"/>
  <c r="AZ353" i="3" s="1"/>
  <c r="G365" i="3"/>
  <c r="G375" i="3"/>
  <c r="BA383" i="3"/>
  <c r="AZ383" i="3" s="1"/>
  <c r="BA221" i="3"/>
  <c r="BA227" i="3"/>
  <c r="G541" i="3"/>
  <c r="G524" i="3"/>
  <c r="G511" i="3"/>
  <c r="G481" i="3"/>
  <c r="G411" i="3"/>
  <c r="BA411" i="3"/>
  <c r="BA416" i="3"/>
  <c r="G427" i="3"/>
  <c r="BA427" i="3"/>
  <c r="BA205" i="3"/>
  <c r="BL206" i="3"/>
  <c r="BA213" i="3"/>
  <c r="BL214" i="3"/>
  <c r="BA219" i="3"/>
  <c r="BA225" i="3"/>
  <c r="BA231" i="3"/>
  <c r="AZ231" i="3" s="1"/>
  <c r="G238" i="3"/>
  <c r="BL238" i="3"/>
  <c r="BA240" i="3"/>
  <c r="BL240" i="3"/>
  <c r="BA245" i="3"/>
  <c r="BL247" i="3"/>
  <c r="G250" i="3"/>
  <c r="BL250" i="3"/>
  <c r="BA257" i="3"/>
  <c r="BA260" i="3"/>
  <c r="BL260" i="3"/>
  <c r="BA263" i="3"/>
  <c r="G274" i="3"/>
  <c r="BL274" i="3"/>
  <c r="BL280" i="3"/>
  <c r="G290" i="3"/>
  <c r="BA292" i="3"/>
  <c r="BL296" i="3"/>
  <c r="BL114" i="3"/>
  <c r="AZ114" i="3" s="1"/>
  <c r="BA115" i="3"/>
  <c r="AZ115" i="3" s="1"/>
  <c r="BL117" i="3"/>
  <c r="BA125" i="3"/>
  <c r="BA127" i="3"/>
  <c r="AZ127" i="3" s="1"/>
  <c r="G130" i="3"/>
  <c r="BL133" i="3"/>
  <c r="BL136" i="3"/>
  <c r="BA140" i="3"/>
  <c r="BL149" i="3"/>
  <c r="BA159" i="3"/>
  <c r="BA164" i="3"/>
  <c r="BA166" i="3"/>
  <c r="AZ166" i="3" s="1"/>
  <c r="G169" i="3"/>
  <c r="BL175" i="3"/>
  <c r="BA186" i="3"/>
  <c r="C44" i="59"/>
  <c r="C45" i="59" s="1"/>
  <c r="D43" i="59"/>
  <c r="G220" i="3"/>
  <c r="G221" i="3"/>
  <c r="G222" i="3"/>
  <c r="BL222" i="3"/>
  <c r="G227" i="3"/>
  <c r="BL230" i="3"/>
  <c r="BA232" i="3"/>
  <c r="BL232" i="3"/>
  <c r="BA237" i="3"/>
  <c r="BL239" i="3"/>
  <c r="AZ239" i="3" s="1"/>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BA182" i="3"/>
  <c r="BL184" i="3"/>
  <c r="AZ184" i="3" s="1"/>
  <c r="G188" i="3"/>
  <c r="BL188" i="3"/>
  <c r="AZ188" i="3" s="1"/>
  <c r="BL37" i="3"/>
  <c r="BL53" i="3"/>
  <c r="BA55" i="3"/>
  <c r="BL72" i="3"/>
  <c r="BL85" i="3"/>
  <c r="C37" i="59"/>
  <c r="D36" i="59"/>
  <c r="C53" i="59"/>
  <c r="D52" i="59"/>
  <c r="D60" i="59"/>
  <c r="C61" i="59"/>
  <c r="BA241" i="3"/>
  <c r="BA244" i="3"/>
  <c r="BL244" i="3"/>
  <c r="BA247" i="3"/>
  <c r="G251" i="3"/>
  <c r="G252" i="3"/>
  <c r="BL254" i="3"/>
  <c r="BA256" i="3"/>
  <c r="BL256" i="3"/>
  <c r="BA261" i="3"/>
  <c r="BL263" i="3"/>
  <c r="G264" i="3"/>
  <c r="BL266" i="3"/>
  <c r="BL272" i="3"/>
  <c r="G275" i="3"/>
  <c r="G276" i="3"/>
  <c r="BL282" i="3"/>
  <c r="BL288" i="3"/>
  <c r="G291" i="3"/>
  <c r="G292" i="3"/>
  <c r="BA113" i="3"/>
  <c r="BA117" i="3"/>
  <c r="BA119" i="3"/>
  <c r="AZ119" i="3" s="1"/>
  <c r="BA123" i="3"/>
  <c r="AZ123" i="3" s="1"/>
  <c r="BL125" i="3"/>
  <c r="G126" i="3"/>
  <c r="G131" i="3"/>
  <c r="BA132" i="3"/>
  <c r="G135" i="3"/>
  <c r="G141" i="3"/>
  <c r="G147" i="3"/>
  <c r="BA148" i="3"/>
  <c r="G151" i="3"/>
  <c r="BL157" i="3"/>
  <c r="AZ157" i="3" s="1"/>
  <c r="BA162" i="3"/>
  <c r="AZ162" i="3" s="1"/>
  <c r="BL164" i="3"/>
  <c r="G165" i="3"/>
  <c r="G170" i="3"/>
  <c r="BA171" i="3"/>
  <c r="G174" i="3"/>
  <c r="BA176" i="3"/>
  <c r="BL178" i="3"/>
  <c r="AZ178" i="3" s="1"/>
  <c r="G179" i="3"/>
  <c r="BA180" i="3"/>
  <c r="G183" i="3"/>
  <c r="G187" i="3"/>
  <c r="BA67" i="3"/>
  <c r="G80" i="3"/>
  <c r="G110" i="3"/>
  <c r="C57" i="59"/>
  <c r="D56" i="59"/>
  <c r="D63" i="59"/>
  <c r="C64" i="59"/>
  <c r="BA191" i="3"/>
  <c r="BA195" i="3"/>
  <c r="BA199" i="3"/>
  <c r="G203" i="3"/>
  <c r="BA203" i="3"/>
  <c r="AZ203" i="3" s="1"/>
  <c r="G25" i="3"/>
  <c r="BA26" i="3"/>
  <c r="G31" i="3"/>
  <c r="BA31" i="3"/>
  <c r="AZ31" i="3" s="1"/>
  <c r="G35" i="3"/>
  <c r="BA35" i="3"/>
  <c r="AZ35" i="3" s="1"/>
  <c r="G41" i="3"/>
  <c r="BA42" i="3"/>
  <c r="G47" i="3"/>
  <c r="BA47" i="3"/>
  <c r="AZ47" i="3" s="1"/>
  <c r="G50" i="3"/>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P27" i="6"/>
  <c r="C72" i="59"/>
  <c r="X32" i="59"/>
  <c r="X33" i="59"/>
  <c r="BA194" i="3"/>
  <c r="G201" i="3"/>
  <c r="G22" i="3"/>
  <c r="G23" i="3"/>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AZ112" i="3" s="1"/>
  <c r="S21" i="21"/>
  <c r="C75" i="59"/>
  <c r="D75" i="59" s="1"/>
  <c r="C67" i="59"/>
  <c r="D73" i="59"/>
  <c r="D69" i="59"/>
  <c r="D35" i="59"/>
  <c r="D51" i="59"/>
  <c r="AB27" i="59"/>
  <c r="AA30" i="59"/>
  <c r="Y31" i="59"/>
  <c r="Z31" i="59" s="1"/>
  <c r="Y32" i="59"/>
  <c r="Z32" i="59" s="1"/>
  <c r="Y33" i="59"/>
  <c r="Z33" i="59" s="1"/>
  <c r="Y38" i="59"/>
  <c r="Z38" i="59" s="1"/>
  <c r="B76" i="59"/>
  <c r="B75" i="59" s="1"/>
  <c r="A26" i="51"/>
  <c r="B19" i="63" s="1"/>
  <c r="S25" i="59"/>
  <c r="BA190" i="3"/>
  <c r="BL192" i="3"/>
  <c r="AZ192" i="3" s="1"/>
  <c r="G196" i="3"/>
  <c r="BL196" i="3"/>
  <c r="AZ196" i="3" s="1"/>
  <c r="BA198" i="3"/>
  <c r="BL200" i="3"/>
  <c r="AZ200" i="3" s="1"/>
  <c r="G204" i="3"/>
  <c r="BA22" i="3"/>
  <c r="G28" i="3"/>
  <c r="G32" i="3"/>
  <c r="G36" i="3"/>
  <c r="BA38" i="3"/>
  <c r="G44" i="3"/>
  <c r="G48" i="3"/>
  <c r="G52" i="3"/>
  <c r="BA54" i="3"/>
  <c r="BL57" i="3"/>
  <c r="BA59" i="3"/>
  <c r="BA61" i="3"/>
  <c r="BL63" i="3"/>
  <c r="AZ63" i="3" s="1"/>
  <c r="BA64" i="3"/>
  <c r="BL66" i="3"/>
  <c r="BA69" i="3"/>
  <c r="G72" i="3"/>
  <c r="G73" i="3"/>
  <c r="G79" i="3"/>
  <c r="G84" i="3"/>
  <c r="G92" i="3"/>
  <c r="G95" i="3"/>
  <c r="BA95" i="3"/>
  <c r="BL101" i="3"/>
  <c r="BA106" i="3"/>
  <c r="BL108" i="3"/>
  <c r="G109" i="3"/>
  <c r="G111" i="3"/>
  <c r="S18" i="35"/>
  <c r="C80" i="59"/>
  <c r="AB3" i="59"/>
  <c r="F31" i="59"/>
  <c r="F32" i="59" s="1"/>
  <c r="F33" i="59" s="1"/>
  <c r="V33" i="59" s="1"/>
  <c r="AA31" i="59"/>
  <c r="AA32" i="59"/>
  <c r="AA33" i="59"/>
  <c r="X34" i="59"/>
  <c r="AB34" i="59"/>
  <c r="AB35" i="59"/>
  <c r="AB36" i="59"/>
  <c r="AB37" i="59"/>
  <c r="AB38" i="59"/>
  <c r="AB39" i="59"/>
  <c r="B48" i="59"/>
  <c r="B49" i="59" s="1"/>
  <c r="S49" i="59" s="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0" i="1"/>
  <c r="P10"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E4" i="4" s="1"/>
  <c r="B21" i="55" s="1"/>
  <c r="B72" i="63" s="1"/>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C4" i="65"/>
  <c r="B39" i="1" s="1"/>
  <c r="F8" i="15"/>
  <c r="M30" i="44"/>
  <c r="F38" i="44"/>
  <c r="M28" i="15"/>
  <c r="M26" i="15"/>
  <c r="J36" i="15"/>
  <c r="F38" i="15"/>
  <c r="J17" i="44"/>
  <c r="F9" i="44"/>
  <c r="M6" i="15"/>
  <c r="J7" i="65"/>
  <c r="M31" i="44"/>
  <c r="J4" i="65"/>
  <c r="I7" i="65"/>
  <c r="F39" i="44"/>
  <c r="M22" i="15"/>
  <c r="M8" i="15"/>
  <c r="F9" i="15"/>
  <c r="F43" i="15"/>
  <c r="F6" i="15"/>
  <c r="M23" i="15"/>
  <c r="F15" i="44"/>
  <c r="L47" i="15"/>
  <c r="M9" i="15"/>
  <c r="I4" i="65"/>
  <c r="F16" i="15"/>
  <c r="M24" i="15"/>
  <c r="M24" i="44"/>
  <c r="J6" i="65"/>
  <c r="J5" i="65"/>
  <c r="F18" i="44"/>
  <c r="I3" i="65"/>
  <c r="F36" i="15"/>
  <c r="F8" i="44"/>
  <c r="F40" i="44"/>
  <c r="F40" i="15"/>
  <c r="M26" i="44"/>
  <c r="F45" i="44"/>
  <c r="I5" i="65"/>
  <c r="F7" i="15"/>
  <c r="F13" i="15"/>
  <c r="F42" i="15"/>
  <c r="M10" i="44"/>
  <c r="M8" i="44"/>
  <c r="F28" i="44"/>
  <c r="M28" i="44"/>
  <c r="F43" i="44"/>
  <c r="J15" i="15"/>
  <c r="F11" i="44"/>
  <c r="F37" i="15"/>
  <c r="L48" i="15"/>
  <c r="L49" i="44"/>
  <c r="F26" i="15"/>
  <c r="M29" i="15"/>
  <c r="F10" i="44"/>
  <c r="L48" i="44"/>
  <c r="I6" i="65"/>
  <c r="E3" i="65"/>
  <c r="M11" i="79" l="1"/>
  <c r="J10" i="79" s="1"/>
  <c r="J5" i="79" s="1"/>
  <c r="F11" i="79"/>
  <c r="F29" i="6"/>
  <c r="F30" i="6" s="1"/>
  <c r="H16" i="1"/>
  <c r="I54" i="15"/>
  <c r="K34" i="9"/>
  <c r="AZ489" i="3"/>
  <c r="AZ536" i="3"/>
  <c r="W25" i="36"/>
  <c r="AC25" i="36"/>
  <c r="AC31" i="33"/>
  <c r="W31" i="33"/>
  <c r="W46" i="21"/>
  <c r="AC46" i="21"/>
  <c r="AC29" i="21"/>
  <c r="W29" i="21"/>
  <c r="AZ99" i="3"/>
  <c r="W14" i="37"/>
  <c r="AC14" i="37"/>
  <c r="W12" i="35"/>
  <c r="AC12" i="35"/>
  <c r="U12" i="21"/>
  <c r="AB12" i="21"/>
  <c r="AZ268" i="3"/>
  <c r="AZ548" i="3"/>
  <c r="AZ528" i="3"/>
  <c r="D88" i="59"/>
  <c r="C87" i="59"/>
  <c r="D87" i="59" s="1"/>
  <c r="U14" i="37"/>
  <c r="AB14" i="37"/>
  <c r="AB25" i="36"/>
  <c r="U25" i="36"/>
  <c r="S37" i="21"/>
  <c r="AA37" i="21"/>
  <c r="F66" i="35"/>
  <c r="G66" i="35" s="1"/>
  <c r="F16" i="35"/>
  <c r="J16" i="35"/>
  <c r="R7" i="54"/>
  <c r="B52" i="63" s="1"/>
  <c r="Q16" i="1"/>
  <c r="Q17" i="1" s="1"/>
  <c r="G30" i="6"/>
  <c r="G31" i="6" s="1"/>
  <c r="E29" i="6"/>
  <c r="S9" i="35"/>
  <c r="W15" i="39"/>
  <c r="H43" i="39"/>
  <c r="U43" i="39" s="1"/>
  <c r="L60" i="44"/>
  <c r="Q63" i="44" s="1"/>
  <c r="L59" i="44"/>
  <c r="Q62" i="44" s="1"/>
  <c r="C29" i="44"/>
  <c r="J54" i="44"/>
  <c r="F1" i="44" s="1"/>
  <c r="L57" i="44"/>
  <c r="J58" i="44"/>
  <c r="J56" i="44" s="1"/>
  <c r="J59" i="44" s="1"/>
  <c r="Q52" i="44" s="1"/>
  <c r="I55" i="44"/>
  <c r="Q73" i="44"/>
  <c r="M9" i="44"/>
  <c r="J8" i="44" s="1"/>
  <c r="J20" i="44" s="1"/>
  <c r="C8" i="44"/>
  <c r="C34" i="44" s="1"/>
  <c r="L19" i="6"/>
  <c r="L27" i="6" s="1"/>
  <c r="K15" i="1"/>
  <c r="C58" i="21"/>
  <c r="D58" i="21" s="1"/>
  <c r="E58" i="21" s="1"/>
  <c r="F58" i="21" s="1"/>
  <c r="G58" i="21" s="1"/>
  <c r="H58" i="21" s="1"/>
  <c r="I58" i="21" s="1"/>
  <c r="J58" i="21" s="1"/>
  <c r="K58" i="21" s="1"/>
  <c r="L58" i="21" s="1"/>
  <c r="M58" i="21" s="1"/>
  <c r="N58" i="21" s="1"/>
  <c r="O58" i="21" s="1"/>
  <c r="I7" i="21"/>
  <c r="G7" i="21"/>
  <c r="E7" i="21"/>
  <c r="AZ82" i="3"/>
  <c r="AZ252" i="3"/>
  <c r="C23" i="59"/>
  <c r="D24" i="59"/>
  <c r="AA26" i="33"/>
  <c r="S26" i="33"/>
  <c r="AC12" i="21"/>
  <c r="W12" i="21"/>
  <c r="AC28" i="21"/>
  <c r="W28" i="21"/>
  <c r="AZ491" i="3"/>
  <c r="AZ494" i="3"/>
  <c r="AZ547" i="3"/>
  <c r="S31" i="21"/>
  <c r="AA31" i="21"/>
  <c r="W34" i="36"/>
  <c r="AC34" i="36"/>
  <c r="AA47" i="39"/>
  <c r="S47" i="39"/>
  <c r="U27" i="37"/>
  <c r="AB27" i="37"/>
  <c r="M6" i="1"/>
  <c r="O6" i="1" s="1"/>
  <c r="P6" i="1" s="1"/>
  <c r="C15" i="12" s="1"/>
  <c r="M34" i="1"/>
  <c r="AZ545" i="3"/>
  <c r="W33" i="35"/>
  <c r="AC33" i="35"/>
  <c r="AB28" i="34"/>
  <c r="U28" i="34"/>
  <c r="H11" i="21"/>
  <c r="F11" i="21"/>
  <c r="J11" i="21"/>
  <c r="AB23" i="36"/>
  <c r="U23" i="36"/>
  <c r="AB13" i="36"/>
  <c r="U13" i="36"/>
  <c r="AB34" i="36"/>
  <c r="U34" i="36"/>
  <c r="AA14" i="40"/>
  <c r="S14" i="40"/>
  <c r="G102" i="39"/>
  <c r="J29" i="39"/>
  <c r="AC13" i="37"/>
  <c r="W13" i="37"/>
  <c r="C46" i="36"/>
  <c r="D46" i="36" s="1"/>
  <c r="E46" i="36" s="1"/>
  <c r="F46" i="36" s="1"/>
  <c r="G46" i="36" s="1"/>
  <c r="H46" i="36" s="1"/>
  <c r="I46" i="36" s="1"/>
  <c r="G7" i="36"/>
  <c r="E7" i="36"/>
  <c r="I7" i="36"/>
  <c r="AA27" i="33"/>
  <c r="AZ164" i="3"/>
  <c r="AZ260" i="3"/>
  <c r="AZ284" i="3"/>
  <c r="W19" i="21"/>
  <c r="AC19" i="21"/>
  <c r="AZ540" i="3"/>
  <c r="H13" i="39"/>
  <c r="F13" i="39"/>
  <c r="J13" i="39"/>
  <c r="AZ517" i="3"/>
  <c r="S13" i="37"/>
  <c r="AA13" i="37"/>
  <c r="C48" i="35"/>
  <c r="D48" i="35" s="1"/>
  <c r="E48" i="35" s="1"/>
  <c r="F48" i="35" s="1"/>
  <c r="G48" i="35" s="1"/>
  <c r="H48" i="35" s="1"/>
  <c r="I48" i="35" s="1"/>
  <c r="J48" i="35" s="1"/>
  <c r="K48" i="35" s="1"/>
  <c r="L48" i="35" s="1"/>
  <c r="M48" i="35" s="1"/>
  <c r="N48" i="35" s="1"/>
  <c r="O48" i="35" s="1"/>
  <c r="E7" i="35"/>
  <c r="I7" i="35"/>
  <c r="J7" i="35" s="1"/>
  <c r="G7" i="35"/>
  <c r="AB29" i="35"/>
  <c r="U29" i="35"/>
  <c r="AZ504" i="3"/>
  <c r="AZ503" i="3"/>
  <c r="AZ525" i="3"/>
  <c r="AZ531" i="3"/>
  <c r="S13" i="36"/>
  <c r="AA13" i="36"/>
  <c r="AB27" i="21"/>
  <c r="U27" i="21"/>
  <c r="AZ522" i="3"/>
  <c r="S39" i="39"/>
  <c r="AA39" i="39"/>
  <c r="AB47" i="39"/>
  <c r="U47" i="39"/>
  <c r="AB13" i="37"/>
  <c r="U13" i="37"/>
  <c r="AB36" i="39"/>
  <c r="U36" i="39"/>
  <c r="AC36" i="39"/>
  <c r="W36" i="39"/>
  <c r="M43" i="9"/>
  <c r="S43" i="39"/>
  <c r="W43" i="39"/>
  <c r="D21" i="12"/>
  <c r="C21" i="12" s="1"/>
  <c r="AP16" i="1"/>
  <c r="F22" i="11" s="1"/>
  <c r="F63" i="15"/>
  <c r="F48" i="15"/>
  <c r="F65" i="15"/>
  <c r="C27" i="15"/>
  <c r="L58" i="15"/>
  <c r="Q61" i="15" s="1"/>
  <c r="L59" i="15"/>
  <c r="Q75" i="15" s="1"/>
  <c r="J57" i="15"/>
  <c r="J55" i="15" s="1"/>
  <c r="J58" i="15" s="1"/>
  <c r="Q51" i="15" s="1"/>
  <c r="L56" i="15"/>
  <c r="J53" i="15"/>
  <c r="Q53" i="15" s="1"/>
  <c r="F67" i="15"/>
  <c r="Q72" i="15"/>
  <c r="F64" i="15"/>
  <c r="F50" i="15"/>
  <c r="F70" i="15"/>
  <c r="F31" i="15"/>
  <c r="C6" i="15"/>
  <c r="C32" i="15" s="1"/>
  <c r="M7" i="15"/>
  <c r="M17" i="15" s="1"/>
  <c r="F49" i="15"/>
  <c r="O66" i="59"/>
  <c r="D67" i="59"/>
  <c r="C71" i="59"/>
  <c r="D71" i="59" s="1"/>
  <c r="D72" i="59"/>
  <c r="D57" i="59"/>
  <c r="T57" i="59"/>
  <c r="AZ244" i="3"/>
  <c r="AZ159" i="3"/>
  <c r="AZ292" i="3"/>
  <c r="AZ236" i="3"/>
  <c r="S9" i="21"/>
  <c r="AA9" i="21"/>
  <c r="AC30" i="33"/>
  <c r="W30" i="33"/>
  <c r="AB24" i="36"/>
  <c r="U24" i="36"/>
  <c r="C65" i="59"/>
  <c r="D64" i="59"/>
  <c r="AZ263" i="3"/>
  <c r="AA14" i="37"/>
  <c r="S14" i="37"/>
  <c r="W36" i="35"/>
  <c r="AC36" i="35"/>
  <c r="S30" i="21"/>
  <c r="AA30" i="21"/>
  <c r="W13" i="34"/>
  <c r="AC13" i="34"/>
  <c r="W24" i="36"/>
  <c r="AC24" i="36"/>
  <c r="D80" i="59"/>
  <c r="C79" i="59"/>
  <c r="D79" i="59" s="1"/>
  <c r="AZ64" i="3"/>
  <c r="AZ180" i="3"/>
  <c r="AZ256" i="3"/>
  <c r="AZ247" i="3"/>
  <c r="T61" i="59"/>
  <c r="D61" i="59"/>
  <c r="AZ276" i="3"/>
  <c r="AZ264" i="3"/>
  <c r="AZ232" i="3"/>
  <c r="AZ240" i="3"/>
  <c r="AA24" i="36"/>
  <c r="S24" i="36"/>
  <c r="U26" i="33"/>
  <c r="AB26" i="33"/>
  <c r="AA47" i="34"/>
  <c r="S47" i="34"/>
  <c r="AC9" i="21"/>
  <c r="W9" i="21"/>
  <c r="AA27" i="21"/>
  <c r="S27"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E58" i="39"/>
  <c r="E10" i="6"/>
  <c r="E14" i="6"/>
  <c r="E65" i="39" s="1"/>
  <c r="E13" i="6"/>
  <c r="E59" i="40" s="1"/>
  <c r="E11" i="6"/>
  <c r="E62" i="39" s="1"/>
  <c r="E28" i="6"/>
  <c r="K14" i="1" s="1"/>
  <c r="M37" i="1" s="1"/>
  <c r="O37" i="1" s="1"/>
  <c r="G5" i="3"/>
  <c r="B3" i="3" s="1"/>
  <c r="F21" i="43"/>
  <c r="F33" i="12"/>
  <c r="C34" i="12" s="1"/>
  <c r="D33" i="12" s="1"/>
  <c r="E66" i="39"/>
  <c r="E61" i="40"/>
  <c r="H7" i="34"/>
  <c r="U7" i="34" s="1"/>
  <c r="F7" i="34"/>
  <c r="AA7" i="34" s="1"/>
  <c r="R49" i="34" s="1"/>
  <c r="J7" i="34"/>
  <c r="W7" i="34" s="1"/>
  <c r="G16" i="1"/>
  <c r="J12" i="40" s="1"/>
  <c r="F7" i="21"/>
  <c r="AA7" i="21" s="1"/>
  <c r="H7" i="21"/>
  <c r="AB7" i="21" s="1"/>
  <c r="B12" i="59"/>
  <c r="S13" i="59"/>
  <c r="H7" i="35"/>
  <c r="U7" i="35" s="1"/>
  <c r="E64" i="40"/>
  <c r="D66" i="40"/>
  <c r="AC7" i="33"/>
  <c r="V48" i="33" s="1"/>
  <c r="I48" i="33" s="1"/>
  <c r="J7" i="37"/>
  <c r="D71" i="39"/>
  <c r="E69" i="39"/>
  <c r="H7" i="33"/>
  <c r="F7" i="33"/>
  <c r="J46" i="36"/>
  <c r="F7" i="35"/>
  <c r="H7" i="37"/>
  <c r="F7" i="37"/>
  <c r="M19" i="44"/>
  <c r="F17" i="11"/>
  <c r="C17" i="11" s="1"/>
  <c r="C19" i="11" s="1"/>
  <c r="M13" i="44"/>
  <c r="J12" i="44" s="1"/>
  <c r="F11" i="15"/>
  <c r="M11" i="15"/>
  <c r="F13" i="44"/>
  <c r="C12" i="44" s="1"/>
  <c r="M32" i="46"/>
  <c r="P32" i="46"/>
  <c r="O32" i="46"/>
  <c r="N32" i="46"/>
  <c r="AE6" i="1"/>
  <c r="AE12" i="1"/>
  <c r="AE7" i="1"/>
  <c r="AE9" i="1"/>
  <c r="AE10" i="1"/>
  <c r="AE11" i="1"/>
  <c r="E2" i="65"/>
  <c r="F46" i="44"/>
  <c r="C18" i="44"/>
  <c r="C16" i="15"/>
  <c r="C52" i="79" l="1"/>
  <c r="C47" i="79" s="1"/>
  <c r="C10" i="79"/>
  <c r="C5" i="79" s="1"/>
  <c r="J24" i="79"/>
  <c r="J26" i="79"/>
  <c r="F31" i="6"/>
  <c r="W16" i="35"/>
  <c r="AC16" i="35"/>
  <c r="AA16" i="35"/>
  <c r="S16" i="35"/>
  <c r="AZ5" i="3"/>
  <c r="E3" i="6" s="1"/>
  <c r="B14" i="66" s="1"/>
  <c r="B37" i="9"/>
  <c r="E37" i="9" s="1"/>
  <c r="J7" i="44"/>
  <c r="J26" i="44" s="1"/>
  <c r="C15" i="43"/>
  <c r="B40" i="1"/>
  <c r="Q75" i="44"/>
  <c r="Q76" i="44"/>
  <c r="C7" i="44"/>
  <c r="C40" i="44" s="1"/>
  <c r="J60" i="44"/>
  <c r="J61" i="44" s="1"/>
  <c r="Q50" i="44" s="1"/>
  <c r="AB43" i="39"/>
  <c r="Q54" i="44"/>
  <c r="S11" i="21"/>
  <c r="AA11" i="21"/>
  <c r="R48" i="21" s="1"/>
  <c r="E48" i="21" s="1"/>
  <c r="AB13" i="39"/>
  <c r="U13" i="39"/>
  <c r="W11" i="21"/>
  <c r="AC11" i="21"/>
  <c r="V48" i="21" s="1"/>
  <c r="I48" i="21" s="1"/>
  <c r="I52" i="21" s="1"/>
  <c r="J52" i="21" s="1"/>
  <c r="M38" i="1"/>
  <c r="O34" i="1"/>
  <c r="O38" i="1" s="1"/>
  <c r="C22" i="59"/>
  <c r="D23" i="59"/>
  <c r="AC13" i="39"/>
  <c r="W13" i="39"/>
  <c r="AC29" i="39"/>
  <c r="W29" i="39"/>
  <c r="U11" i="21"/>
  <c r="AB11" i="21"/>
  <c r="T48" i="21" s="1"/>
  <c r="G48" i="21" s="1"/>
  <c r="G52" i="21" s="1"/>
  <c r="H52" i="21" s="1"/>
  <c r="S13" i="39"/>
  <c r="AA13" i="39"/>
  <c r="E63" i="39"/>
  <c r="B38" i="9" s="1"/>
  <c r="Q74" i="15"/>
  <c r="F1" i="15"/>
  <c r="J6" i="15"/>
  <c r="J18" i="15" s="1"/>
  <c r="F58" i="15"/>
  <c r="Q62" i="15"/>
  <c r="C48" i="15"/>
  <c r="W7" i="21"/>
  <c r="T65" i="59"/>
  <c r="D65" i="59"/>
  <c r="S7" i="34"/>
  <c r="N66" i="59"/>
  <c r="N67" i="59"/>
  <c r="F12" i="59"/>
  <c r="F11" i="59" s="1"/>
  <c r="V13" i="59"/>
  <c r="C33" i="59"/>
  <c r="D32" i="59"/>
  <c r="E20" i="59"/>
  <c r="E19" i="59" s="1"/>
  <c r="E18" i="59" s="1"/>
  <c r="E17" i="59" s="1"/>
  <c r="U21" i="59"/>
  <c r="C41" i="59"/>
  <c r="D40" i="59"/>
  <c r="AB7" i="34"/>
  <c r="T49" i="34" s="1"/>
  <c r="G49" i="34" s="1"/>
  <c r="G53" i="34" s="1"/>
  <c r="H53" i="34" s="1"/>
  <c r="D46" i="9"/>
  <c r="AC7" i="34"/>
  <c r="V49" i="34" s="1"/>
  <c r="I49" i="34" s="1"/>
  <c r="J10" i="15"/>
  <c r="AG8" i="1"/>
  <c r="AG9" i="1"/>
  <c r="AG11" i="1"/>
  <c r="AG12" i="1"/>
  <c r="AG10" i="1"/>
  <c r="AG7" i="1"/>
  <c r="AG6" i="1"/>
  <c r="D5" i="46"/>
  <c r="C5" i="46"/>
  <c r="C33" i="46"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C22" i="11" s="1"/>
  <c r="C23" i="11" s="1"/>
  <c r="B2" i="11" s="1"/>
  <c r="AE8" i="1"/>
  <c r="F41" i="79"/>
  <c r="F41" i="15"/>
  <c r="M29" i="44"/>
  <c r="M27" i="15"/>
  <c r="F68" i="79" l="1"/>
  <c r="L36" i="46"/>
  <c r="L37" i="46" s="1"/>
  <c r="F24" i="79"/>
  <c r="C38" i="79"/>
  <c r="J29" i="79"/>
  <c r="C59" i="79"/>
  <c r="C58" i="79" s="1"/>
  <c r="C65" i="79"/>
  <c r="D16" i="12"/>
  <c r="D19" i="12" s="1"/>
  <c r="C19" i="12" s="1"/>
  <c r="E6" i="6"/>
  <c r="D13" i="11" s="1"/>
  <c r="C13" i="11" s="1"/>
  <c r="C21" i="4"/>
  <c r="O5" i="54" s="1"/>
  <c r="B45" i="63" s="1"/>
  <c r="D16" i="43"/>
  <c r="C16" i="43" s="1"/>
  <c r="F68" i="15"/>
  <c r="B1" i="66"/>
  <c r="C7" i="66" s="1"/>
  <c r="E38" i="9"/>
  <c r="G35" i="9" s="1"/>
  <c r="B39" i="9"/>
  <c r="E39" i="9" s="1"/>
  <c r="Q36" i="46"/>
  <c r="C21" i="59"/>
  <c r="D22" i="59"/>
  <c r="N38" i="1"/>
  <c r="G53" i="21"/>
  <c r="H53" i="21" s="1"/>
  <c r="R49" i="21"/>
  <c r="D22" i="12"/>
  <c r="C22" i="12" s="1"/>
  <c r="C20" i="12" s="1"/>
  <c r="J5" i="15"/>
  <c r="J24" i="15" s="1"/>
  <c r="C47" i="15"/>
  <c r="C65" i="15" s="1"/>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O36" i="46" l="1"/>
  <c r="C16" i="12"/>
  <c r="M36" i="46"/>
  <c r="P36" i="46"/>
  <c r="N36" i="46"/>
  <c r="C24" i="79"/>
  <c r="C23" i="79"/>
  <c r="C43" i="9"/>
  <c r="K47" i="9" s="1"/>
  <c r="A14" i="55" s="1"/>
  <c r="B65" i="63" s="1"/>
  <c r="B5" i="11"/>
  <c r="C14" i="66"/>
  <c r="D21" i="59"/>
  <c r="C20" i="59"/>
  <c r="T21" i="59"/>
  <c r="B2" i="21"/>
  <c r="C10" i="12" s="1"/>
  <c r="C8" i="12"/>
  <c r="K27" i="6"/>
  <c r="E40" i="46"/>
  <c r="M21" i="6"/>
  <c r="I21" i="6" s="1"/>
  <c r="S21" i="6" s="1"/>
  <c r="C59" i="15"/>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29" i="79" l="1"/>
  <c r="C36" i="79" s="1"/>
  <c r="C56" i="79"/>
  <c r="C63" i="79" s="1"/>
  <c r="Q50" i="79"/>
  <c r="C13" i="79"/>
  <c r="J14" i="79"/>
  <c r="H23" i="6"/>
  <c r="R23" i="6" s="1"/>
  <c r="R10" i="1" s="1"/>
  <c r="H22" i="6"/>
  <c r="R22" i="6" s="1"/>
  <c r="M27" i="6"/>
  <c r="B2" i="66"/>
  <c r="D7" i="66" s="1"/>
  <c r="D20" i="59"/>
  <c r="C19" i="59"/>
  <c r="H24" i="6"/>
  <c r="R24" i="6" s="1"/>
  <c r="R11" i="1" s="1"/>
  <c r="D30" i="6"/>
  <c r="H25" i="6"/>
  <c r="R25" i="6" s="1"/>
  <c r="R12" i="1" s="1"/>
  <c r="S16" i="1"/>
  <c r="T11" i="1" s="1"/>
  <c r="C31" i="46"/>
  <c r="C30" i="46"/>
  <c r="B2" i="46" s="1"/>
  <c r="D4" i="46" s="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3" i="44"/>
  <c r="F37" i="44"/>
  <c r="M21" i="15"/>
  <c r="F35" i="15"/>
  <c r="C37" i="79" l="1"/>
  <c r="J35" i="79"/>
  <c r="Q71" i="79"/>
  <c r="C55" i="79"/>
  <c r="C64" i="79" s="1"/>
  <c r="C57" i="79" s="1"/>
  <c r="C66" i="79" s="1"/>
  <c r="C67" i="79" s="1"/>
  <c r="J22" i="79"/>
  <c r="J13" i="79"/>
  <c r="J23" i="79" s="1"/>
  <c r="C30" i="79"/>
  <c r="C39" i="79" s="1"/>
  <c r="D31" i="6"/>
  <c r="I6" i="6" s="1"/>
  <c r="R9" i="1"/>
  <c r="R16" i="1" s="1"/>
  <c r="C18" i="59"/>
  <c r="D19" i="59"/>
  <c r="T12" i="1"/>
  <c r="T13" i="1"/>
  <c r="T10" i="1"/>
  <c r="T7" i="1"/>
  <c r="T8" i="1"/>
  <c r="T9" i="1"/>
  <c r="T6" i="1"/>
  <c r="B3" i="46"/>
  <c r="B4" i="46"/>
  <c r="C36" i="44"/>
  <c r="J20" i="15"/>
  <c r="C34" i="15"/>
  <c r="R27" i="6"/>
  <c r="H27" i="6"/>
  <c r="E7" i="59"/>
  <c r="B7" i="59"/>
  <c r="F6" i="59"/>
  <c r="I5" i="6"/>
  <c r="J22" i="44"/>
  <c r="F62" i="15"/>
  <c r="C61" i="15" s="1"/>
  <c r="C18" i="43"/>
  <c r="C18" i="12"/>
  <c r="C23" i="12" s="1"/>
  <c r="O46" i="36"/>
  <c r="J7" i="36" s="1"/>
  <c r="F7" i="36"/>
  <c r="H7" i="36"/>
  <c r="J64" i="40"/>
  <c r="I66" i="40"/>
  <c r="J69" i="39"/>
  <c r="I71" i="39"/>
  <c r="B3" i="67"/>
  <c r="B4" i="67"/>
  <c r="C16" i="44"/>
  <c r="C14" i="15"/>
  <c r="J16" i="79" l="1"/>
  <c r="J25" i="79" s="1"/>
  <c r="C70" i="79"/>
  <c r="J39" i="79"/>
  <c r="J40" i="79" s="1"/>
  <c r="Q70" i="79"/>
  <c r="Q69" i="79" s="1"/>
  <c r="C40" i="79"/>
  <c r="C46" i="79" s="1"/>
  <c r="C18" i="15"/>
  <c r="C15" i="15"/>
  <c r="C17" i="59"/>
  <c r="D18" i="59"/>
  <c r="C17" i="44"/>
  <c r="C20" i="44"/>
  <c r="T16" i="1"/>
  <c r="F5" i="59"/>
  <c r="V5" i="59" s="1"/>
  <c r="B6" i="59"/>
  <c r="E6" i="59"/>
  <c r="C19" i="43"/>
  <c r="K69" i="39"/>
  <c r="J71" i="39"/>
  <c r="U7" i="36"/>
  <c r="AB7" i="36"/>
  <c r="T36" i="36" s="1"/>
  <c r="G36" i="36" s="1"/>
  <c r="AC7" i="36"/>
  <c r="V36" i="36" s="1"/>
  <c r="I36" i="36" s="1"/>
  <c r="W7" i="36"/>
  <c r="J66" i="40"/>
  <c r="K64" i="40"/>
  <c r="S7" i="36"/>
  <c r="AA7" i="36"/>
  <c r="R36" i="36" s="1"/>
  <c r="L51" i="79"/>
  <c r="Q68" i="79" l="1"/>
  <c r="Q66" i="79"/>
  <c r="Q76" i="79" s="1"/>
  <c r="Q57" i="79"/>
  <c r="Q63" i="79" s="1"/>
  <c r="C43" i="79"/>
  <c r="Q48" i="79"/>
  <c r="Q54" i="79" s="1"/>
  <c r="B2" i="79"/>
  <c r="B3" i="79" s="1"/>
  <c r="J42" i="79"/>
  <c r="J43" i="79" s="1"/>
  <c r="C19" i="15"/>
  <c r="C20" i="15" s="1"/>
  <c r="C26" i="15" s="1"/>
  <c r="C16" i="59"/>
  <c r="T17" i="59"/>
  <c r="D17" i="59"/>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21" i="9"/>
  <c r="C19"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B2" i="35"/>
  <c r="D10" i="12" l="1"/>
  <c r="B3" i="35"/>
  <c r="D8" i="12" l="1"/>
  <c r="P11" i="12" l="1"/>
  <c r="P9" i="12"/>
  <c r="C6" i="12" l="1"/>
  <c r="P10" i="12"/>
  <c r="C29" i="12" l="1"/>
  <c r="C24" i="12"/>
  <c r="C35" i="12" l="1"/>
  <c r="C33" i="12" s="1"/>
  <c r="C28" i="12"/>
  <c r="C26" i="12" s="1"/>
  <c r="C31" i="12" s="1"/>
  <c r="C30" i="12" s="1"/>
  <c r="C36" i="12" l="1"/>
  <c r="B2" i="12" s="1"/>
  <c r="B4" i="12" s="1"/>
  <c r="D19" i="9"/>
  <c r="D21" i="9"/>
  <c r="B5" i="12" l="1"/>
  <c r="B3" i="12"/>
  <c r="D22" i="9"/>
  <c r="L44" i="9"/>
  <c r="G19" i="9"/>
  <c r="G21" i="9"/>
  <c r="D20" i="9"/>
  <c r="N43" i="9" l="1"/>
  <c r="K22" i="9"/>
  <c r="C32" i="9"/>
  <c r="C33" i="9" s="1"/>
  <c r="G22" i="9"/>
  <c r="G20" i="9"/>
  <c r="O43" i="9" l="1"/>
  <c r="C35" i="9"/>
  <c r="F42" i="9" s="1"/>
  <c r="C42" i="9"/>
  <c r="R5" i="54" s="1"/>
  <c r="B48" i="63" s="1"/>
  <c r="C34" i="9"/>
  <c r="E42" i="9" s="1"/>
  <c r="P5" i="54" s="1"/>
  <c r="B46" i="63" s="1"/>
  <c r="O38" i="9"/>
  <c r="K25" i="9" s="1"/>
  <c r="N38" i="9"/>
  <c r="K28" i="9" s="1"/>
  <c r="D42" i="9"/>
  <c r="Q5" i="54" s="1"/>
  <c r="B47" i="63" s="1"/>
  <c r="K26" i="9"/>
  <c r="D63" i="9" l="1"/>
  <c r="D71" i="9" s="1"/>
  <c r="D66" i="9" s="1"/>
  <c r="N72" i="9" s="1"/>
  <c r="D14" i="66"/>
  <c r="F14" i="66" s="1"/>
  <c r="C44" i="9"/>
  <c r="N69" i="9" s="1"/>
  <c r="N68" i="9"/>
  <c r="M38" i="9"/>
  <c r="K27" i="9" s="1"/>
  <c r="E14" i="66"/>
  <c r="C96" i="9"/>
  <c r="C91" i="9" s="1"/>
  <c r="D44" i="9" l="1"/>
  <c r="F44" i="9"/>
  <c r="G14" i="66"/>
  <c r="B6" i="66" s="1"/>
  <c r="D6" i="66" s="1"/>
  <c r="D73" i="9"/>
  <c r="N73" i="9" s="1"/>
  <c r="C111" i="9"/>
  <c r="C104" i="9" s="1"/>
  <c r="D70" i="9"/>
  <c r="C103" i="9"/>
  <c r="C82" i="9"/>
  <c r="C81" i="9" s="1"/>
  <c r="C85" i="9" s="1"/>
  <c r="C86" i="9" s="1"/>
  <c r="D72" i="9" s="1"/>
  <c r="O39" i="9"/>
  <c r="R6" i="54" s="1"/>
  <c r="B50" i="63" s="1"/>
  <c r="C90" i="9"/>
  <c r="C97" i="9" s="1"/>
  <c r="B5" i="66"/>
  <c r="C5" i="66" s="1"/>
  <c r="E44" i="9"/>
  <c r="K29" i="9"/>
  <c r="K30" i="9" s="1"/>
  <c r="M83" i="9"/>
  <c r="N83" i="9" s="1"/>
  <c r="M87" i="9"/>
  <c r="N87" i="9" s="1"/>
  <c r="M86" i="9"/>
  <c r="N86" i="9" s="1"/>
  <c r="M84" i="9"/>
  <c r="N84" i="9" s="1"/>
  <c r="M85" i="9"/>
  <c r="N85" i="9" s="1"/>
  <c r="M88" i="9"/>
  <c r="N88" i="9" s="1"/>
  <c r="C6" i="66" l="1"/>
  <c r="C113" i="9"/>
  <c r="C115" i="9" s="1"/>
  <c r="D76" i="9" s="1"/>
  <c r="D74" i="9" s="1"/>
  <c r="N74" i="9" s="1"/>
  <c r="O77" i="9" s="1"/>
  <c r="D5" i="66"/>
  <c r="N89" i="9"/>
  <c r="O89" i="9" s="1"/>
  <c r="C98" i="9"/>
  <c r="E98" i="9" s="1"/>
  <c r="E99" i="9" s="1"/>
  <c r="C114" i="9" l="1"/>
  <c r="E114" i="9" s="1"/>
  <c r="E115" i="9" s="1"/>
  <c r="O79" i="9"/>
  <c r="Q77" i="9"/>
  <c r="O78" i="9"/>
  <c r="C99" i="9"/>
  <c r="I14" i="66" l="1"/>
  <c r="B8" i="66" s="1"/>
  <c r="O81" i="9"/>
  <c r="O80"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<sst xmlns="http://schemas.openxmlformats.org/spreadsheetml/2006/main" count="8596" uniqueCount="3740">
  <si>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</si>
  <si>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</si>
  <si>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</si>
  <si>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</si>
  <si>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</si>
  <si>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</si>
  <si>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</si>
  <si>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</si>
  <si>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</si>
  <si>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</si>
  <si>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</si>
  <si>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</si>
  <si>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</si>
  <si>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</si>
  <si>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</si>
  <si>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</si>
  <si>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</si>
  <si>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</si>
  <si>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</si>
  <si>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</si>
  <si>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</si>
  <si>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</si>
  <si>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</si>
  <si>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</si>
  <si>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</si>
  <si>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</si>
  <si>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</si>
  <si>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</si>
  <si>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</si>
  <si>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</si>
  <si>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</si>
  <si>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</si>
  <si>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</si>
  <si>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</si>
  <si>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</si>
  <si>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</si>
  <si>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</si>
  <si>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</si>
  <si>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</si>
  <si>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</si>
  <si>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</si>
  <si>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</si>
  <si>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</si>
  <si>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</si>
  <si>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</si>
  <si>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</si>
  <si>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</si>
  <si>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</si>
  <si>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</si>
  <si>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</si>
  <si>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</si>
  <si>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</si>
  <si>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</si>
  <si>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</si>
  <si>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</si>
  <si>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</si>
  <si>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</si>
  <si>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</si>
  <si>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</si>
  <si>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</si>
  <si>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</si>
  <si>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</si>
  <si>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</si>
  <si>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</si>
  <si>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</si>
  <si>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</si>
  <si>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</si>
  <si>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</si>
  <si>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</si>
  <si>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</si>
  <si>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</si>
  <si>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</si>
  <si>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</si>
  <si>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</si>
  <si>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</si>
  <si>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</si>
  <si>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</si>
  <si>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</si>
  <si>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</si>
  <si>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</si>
  <si>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</si>
  <si>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</si>
  <si>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</si>
  <si>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</si>
  <si>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</si>
  <si>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</si>
  <si>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</si>
  <si>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</si>
  <si>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</si>
  <si>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</si>
  <si>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</si>
  <si>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</si>
  <si>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</si>
  <si>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</si>
  <si>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</si>
  <si>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</si>
  <si>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</si>
  <si>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</si>
  <si>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</si>
  <si>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</si>
  <si>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</si>
  <si>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</si>
  <si>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</si>
  <si>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</si>
  <si>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</si>
  <si>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</si>
  <si>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</si>
  <si>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</si>
  <si>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</si>
  <si>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</si>
  <si>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</si>
  <si>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</si>
  <si>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</si>
  <si>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</si>
  <si>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</si>
  <si>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</si>
  <si>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</si>
  <si>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</si>
  <si>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</si>
  <si>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</si>
  <si>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</si>
  <si>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</si>
  <si>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</si>
  <si>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</si>
  <si>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</si>
  <si>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</si>
  <si>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</si>
  <si>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</si>
  <si>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</si>
  <si>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</si>
  <si>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</si>
  <si>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</si>
  <si>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</si>
  <si>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</si>
  <si>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</si>
  <si>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</si>
  <si>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</si>
  <si>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</si>
  <si>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</si>
  <si>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</si>
  <si>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</si>
  <si>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</si>
  <si>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</si>
  <si>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</si>
  <si>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</si>
  <si>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</si>
  <si>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</si>
  <si>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</si>
  <si>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</si>
  <si>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</si>
  <si>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</si>
  <si>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</si>
  <si>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</si>
  <si>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</si>
  <si>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</si>
  <si>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</si>
  <si>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</si>
  <si>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</si>
  <si>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</si>
  <si>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</si>
  <si>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</si>
  <si>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</si>
  <si>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</si>
  <si>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</si>
  <si>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</si>
  <si>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</si>
  <si>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</si>
  <si>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</si>
  <si>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</si>
  <si>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</si>
  <si>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</si>
  <si>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</si>
  <si>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</si>
  <si>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</si>
  <si>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</si>
  <si>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</si>
  <si>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</si>
  <si>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</si>
  <si>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</si>
  <si>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</si>
  <si>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</si>
  <si>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</si>
  <si>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</si>
  <si>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</si>
  <si>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</si>
  <si>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</si>
  <si>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</si>
  <si>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</si>
  <si>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</si>
  <si>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</si>
  <si>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</si>
  <si>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</si>
  <si>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</si>
  <si>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</si>
  <si>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</si>
  <si>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</si>
  <si>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</si>
  <si>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</si>
  <si>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</si>
  <si>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</si>
  <si>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</si>
  <si>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</si>
  <si>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</si>
  <si>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</si>
  <si>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</si>
  <si>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</si>
  <si>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</si>
  <si>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</si>
  <si>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</si>
  <si>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</si>
  <si>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</si>
  <si>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</si>
  <si>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</si>
  <si>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</si>
  <si>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</si>
  <si>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</si>
  <si>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</si>
  <si>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</si>
  <si>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</si>
  <si>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</si>
  <si>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</si>
  <si>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</si>
  <si>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</si>
  <si>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</si>
  <si>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</si>
  <si>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</si>
  <si>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</si>
  <si>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</si>
  <si>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</si>
  <si>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</si>
  <si>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</si>
  <si>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</si>
  <si>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</si>
  <si>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</si>
  <si>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</si>
  <si>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</si>
  <si>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</si>
  <si>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</si>
  <si>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</si>
  <si>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</si>
  <si>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</si>
  <si>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</si>
  <si>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</si>
  <si>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</si>
  <si>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</si>
  <si>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</si>
  <si>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</si>
  <si>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</si>
  <si>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</si>
  <si>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</si>
  <si>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</si>
  <si>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</si>
  <si>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</si>
  <si>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</si>
  <si>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</si>
  <si>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</si>
  <si>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</si>
  <si>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</si>
  <si>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</si>
  <si>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</si>
  <si>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</si>
  <si>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</si>
  <si>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</si>
  <si>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</si>
  <si>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</si>
  <si>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</si>
  <si>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</si>
  <si>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</si>
  <si>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</si>
  <si>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</si>
  <si>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</si>
  <si>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</si>
  <si>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</si>
  <si>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</si>
  <si>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</si>
  <si>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</si>
  <si>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</si>
  <si>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</si>
  <si>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</si>
  <si>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</si>
  <si>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</si>
  <si>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</si>
  <si>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</si>
  <si>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</si>
  <si>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</si>
  <si>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</si>
  <si>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</si>
  <si>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</si>
  <si>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</si>
  <si>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</si>
  <si>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</si>
  <si>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</si>
  <si>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</si>
  <si>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</si>
  <si>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</si>
  <si>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</si>
  <si>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</si>
  <si>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</si>
  <si>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</si>
  <si>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</si>
  <si>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</si>
  <si>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</si>
  <si>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</si>
  <si>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</si>
  <si>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</si>
  <si>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</si>
  <si>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</si>
  <si>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</si>
  <si>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</si>
  <si>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</si>
  <si>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</si>
  <si>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</si>
  <si>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</si>
  <si>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</si>
  <si>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</si>
  <si>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</si>
  <si>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</si>
  <si>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</si>
  <si>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</si>
  <si>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</si>
  <si>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</si>
  <si>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</si>
  <si>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</si>
  <si>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</si>
  <si>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</si>
  <si>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</si>
  <si>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</si>
  <si>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</si>
  <si>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</si>
  <si>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</si>
  <si>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</si>
  <si>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</si>
  <si>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</si>
  <si>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</si>
  <si>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</si>
  <si>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</si>
  <si>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</si>
  <si>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</si>
  <si>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</si>
  <si>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</si>
  <si>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</si>
  <si>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</si>
  <si>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</si>
  <si>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</si>
  <si>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</si>
  <si>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</si>
  <si>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</si>
  <si>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</si>
  <si>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</si>
  <si>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</si>
  <si>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</si>
  <si>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</si>
  <si>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</si>
  <si>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</si>
  <si>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</si>
  <si>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</si>
  <si>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</si>
  <si>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</si>
  <si>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</si>
  <si>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</si>
  <si>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</si>
  <si>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</si>
  <si>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</si>
  <si>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</si>
  <si>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</si>
  <si>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</si>
  <si>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</si>
  <si>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</si>
  <si>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</si>
  <si>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</si>
  <si>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</si>
  <si>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</si>
  <si>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</si>
  <si>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</si>
  <si>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</si>
  <si>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</si>
  <si>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</si>
  <si>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</si>
  <si>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</si>
  <si>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</si>
  <si>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</si>
  <si>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</si>
  <si>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</si>
  <si>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</si>
  <si>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</si>
  <si>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</si>
  <si>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</si>
  <si>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</si>
  <si>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</si>
  <si>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</si>
  <si>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</si>
  <si>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</si>
  <si>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</si>
  <si>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</si>
  <si>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</si>
  <si>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</si>
  <si>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</si>
  <si>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</si>
  <si>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</si>
  <si>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</si>
  <si>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</si>
  <si>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</si>
  <si>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</si>
  <si>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</si>
  <si>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</si>
  <si>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</si>
  <si>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</si>
  <si>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</si>
  <si>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</si>
  <si>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</si>
  <si>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</si>
  <si>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</si>
  <si>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</si>
  <si>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</si>
  <si>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</si>
  <si>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</si>
  <si>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</si>
  <si>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</si>
  <si>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</si>
  <si>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</si>
  <si>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</si>
  <si>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</si>
  <si>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</si>
  <si>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</si>
  <si>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</si>
  <si>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</si>
  <si>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</si>
  <si>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</si>
  <si>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</si>
  <si>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</si>
  <si>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</si>
  <si>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</si>
  <si>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</si>
  <si>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</si>
  <si>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</si>
  <si>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</si>
  <si>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</si>
  <si>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</si>
  <si>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</si>
  <si>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</si>
  <si>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</si>
  <si>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</si>
  <si>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</si>
  <si>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</si>
  <si>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</si>
  <si>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</si>
  <si>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</si>
  <si>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</si>
  <si>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</si>
  <si>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</si>
  <si>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</si>
  <si>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</si>
  <si>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</si>
  <si>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</si>
  <si>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</si>
  <si>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</si>
  <si>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</si>
  <si>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</si>
  <si>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</si>
  <si>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</si>
  <si>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</si>
  <si>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</si>
  <si>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</si>
  <si>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</si>
  <si>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</si>
  <si>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</si>
  <si>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</si>
  <si>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</si>
  <si>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</si>
  <si>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</si>
  <si>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</si>
  <si>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</si>
  <si>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</si>
  <si>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</si>
  <si>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</si>
  <si>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</si>
  <si>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</si>
  <si>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</si>
  <si>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</si>
  <si>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</si>
  <si>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</si>
  <si>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</si>
  <si>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</si>
  <si>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</si>
  <si>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</si>
  <si>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</si>
  <si>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</si>
  <si>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</si>
  <si>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</si>
  <si>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</si>
  <si>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</si>
  <si>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</si>
  <si>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</si>
  <si>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</si>
  <si>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</si>
  <si>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</si>
  <si>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</si>
  <si>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</si>
  <si>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</si>
  <si>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</si>
  <si>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</si>
  <si>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</si>
  <si>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</si>
  <si>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</si>
  <si>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</si>
  <si>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</si>
  <si>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</si>
  <si>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</si>
  <si>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</si>
  <si>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</si>
  <si>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</si>
  <si>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</si>
  <si>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</si>
  <si>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</si>
  <si>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</si>
  <si>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</si>
  <si>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</si>
  <si>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</si>
  <si>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</si>
  <si>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</si>
  <si>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</si>
  <si>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</si>
  <si>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</si>
  <si>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</si>
  <si>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</si>
  <si>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</si>
  <si>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</si>
  <si>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</si>
  <si>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</si>
  <si>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</si>
  <si>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</si>
  <si>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</si>
  <si>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</si>
  <si>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</si>
  <si>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</si>
  <si>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</si>
  <si>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</si>
  <si>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</si>
  <si>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</si>
  <si>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</si>
  <si>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</si>
  <si>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</si>
  <si>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</si>
  <si>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</si>
  <si>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</si>
  <si>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</si>
  <si>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</si>
  <si>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</si>
  <si>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</si>
  <si>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</si>
  <si>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</si>
  <si>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</si>
  <si>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</si>
  <si>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</si>
  <si>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</si>
  <si>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</si>
  <si>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</si>
  <si>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</si>
  <si>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</si>
  <si>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</si>
  <si>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</si>
  <si>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</si>
  <si>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</si>
  <si>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</si>
  <si>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</si>
  <si>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</si>
  <si>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</si>
  <si>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</si>
  <si>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</si>
  <si>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</si>
  <si>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</si>
  <si>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</si>
  <si>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</si>
  <si>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</si>
  <si>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</si>
  <si>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</si>
  <si>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</si>
  <si>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</si>
  <si>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</si>
  <si>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</si>
  <si>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</si>
  <si>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</si>
  <si>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</si>
  <si>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</si>
  <si>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</si>
  <si>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</si>
  <si>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</si>
  <si>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</si>
  <si>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</si>
  <si>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</si>
  <si>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</si>
  <si>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</si>
  <si>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</si>
  <si>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</si>
  <si>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</si>
  <si>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</si>
  <si>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</si>
  <si>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</si>
  <si>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</si>
  <si>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</si>
  <si>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</si>
  <si>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</si>
  <si>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</si>
  <si>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</si>
  <si>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</si>
  <si>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</si>
  <si>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</si>
  <si>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</si>
  <si>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</si>
  <si>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</si>
  <si>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</si>
  <si>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</si>
  <si>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</si>
  <si>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</si>
  <si>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</si>
  <si>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</si>
  <si>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</si>
  <si>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</si>
  <si>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</si>
  <si>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</si>
  <si>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</si>
  <si>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</si>
  <si>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</si>
  <si>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</si>
  <si>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</si>
  <si>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</si>
  <si>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</si>
  <si>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</si>
  <si>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</si>
  <si>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</si>
  <si>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</si>
  <si>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</si>
  <si>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</si>
  <si>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</si>
  <si>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</si>
  <si>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</si>
  <si>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</si>
  <si>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</si>
  <si>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</si>
  <si>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</si>
  <si>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</si>
  <si>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</si>
  <si>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</si>
  <si>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</si>
  <si>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</si>
  <si>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</si>
  <si>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</si>
  <si>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</si>
  <si>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</si>
  <si>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</si>
  <si>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</si>
  <si>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</si>
  <si>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</si>
  <si>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</si>
  <si>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</si>
  <si>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</si>
  <si>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</si>
  <si>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</si>
  <si>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</si>
  <si>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</si>
  <si>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</si>
  <si>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</si>
  <si>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</si>
  <si>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</si>
  <si>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</si>
  <si>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</si>
  <si>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</si>
  <si>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</si>
  <si>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</si>
  <si>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</si>
  <si>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</si>
  <si>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</si>
  <si>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</si>
  <si>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</si>
  <si>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</si>
  <si>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</si>
  <si>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</si>
  <si>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</si>
  <si>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</si>
  <si>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</si>
  <si>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</si>
  <si>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</si>
  <si>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</si>
  <si>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</si>
  <si>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</si>
  <si>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</si>
  <si>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</si>
  <si>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</si>
  <si>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</si>
  <si>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</si>
  <si>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</si>
  <si>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</si>
  <si>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</si>
  <si>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</si>
  <si>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</si>
  <si>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</si>
  <si>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</si>
  <si>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</si>
  <si>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</si>
  <si>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</si>
  <si>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</si>
  <si>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</si>
  <si>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</si>
  <si>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</si>
  <si>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</si>
  <si>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</si>
  <si>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</si>
  <si>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</si>
  <si>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</si>
  <si>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</si>
  <si>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</si>
  <si>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</si>
  <si>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</si>
  <si>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</si>
  <si>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</si>
  <si>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</si>
  <si>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</si>
  <si>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</si>
  <si>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</si>
  <si>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</si>
  <si>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</si>
  <si>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</si>
  <si>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</si>
  <si>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</si>
  <si>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</si>
  <si>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</si>
  <si>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</si>
  <si>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</si>
  <si>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</si>
  <si>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</si>
  <si>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</si>
  <si>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</si>
  <si>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</si>
  <si>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</si>
  <si>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</si>
  <si>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</si>
  <si>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</si>
  <si>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</si>
  <si>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</si>
  <si>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</si>
  <si>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</si>
  <si>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</si>
  <si>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</si>
  <si>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</si>
  <si>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</si>
  <si>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</si>
  <si>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</si>
  <si>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</si>
  <si>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</si>
  <si>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</si>
  <si>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</si>
  <si>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</si>
  <si>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</si>
  <si>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</si>
  <si>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</si>
  <si>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</si>
  <si>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</si>
  <si>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</si>
  <si>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</si>
  <si>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</si>
  <si>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</si>
  <si>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</si>
  <si>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</si>
  <si>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</si>
  <si>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</si>
  <si>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</si>
  <si>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</si>
  <si>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</si>
  <si>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</si>
  <si>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</si>
  <si>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</si>
  <si>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</si>
  <si>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</si>
  <si>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</si>
  <si>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</si>
  <si>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</si>
  <si>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</si>
  <si>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</si>
  <si>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</si>
  <si>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</si>
  <si>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</si>
  <si>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</si>
  <si>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</si>
  <si>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</si>
  <si>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</si>
  <si>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</si>
  <si>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</si>
  <si>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</si>
  <si>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</si>
  <si>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</si>
  <si>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</si>
  <si>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</si>
  <si>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</si>
  <si>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</si>
  <si>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</si>
  <si>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</si>
  <si>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</si>
  <si>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</si>
  <si>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</si>
  <si>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</si>
  <si>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</si>
  <si>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</si>
  <si>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</si>
  <si>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</si>
  <si>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</si>
  <si>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</si>
  <si>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</si>
  <si>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</si>
  <si>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</si>
  <si>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</si>
  <si>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</si>
  <si>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</si>
  <si>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</si>
  <si>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</si>
  <si>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</si>
  <si>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</si>
  <si>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</si>
  <si>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</si>
  <si>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</si>
  <si>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</si>
  <si>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</si>
  <si>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</si>
  <si>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</si>
  <si>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</si>
  <si>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</si>
  <si>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</si>
  <si>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</si>
  <si>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</si>
  <si>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</si>
  <si>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</si>
  <si>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</si>
  <si>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</si>
  <si>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</si>
  <si>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</si>
  <si>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</si>
  <si>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</si>
  <si>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</si>
  <si>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</si>
  <si>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</si>
  <si>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</si>
  <si>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</si>
  <si>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</si>
  <si>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</si>
  <si>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</si>
  <si>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</si>
  <si>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</si>
  <si>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</si>
  <si>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</si>
  <si>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</si>
  <si>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</si>
  <si>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</si>
  <si>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</si>
  <si>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</si>
  <si>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</si>
  <si>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</si>
  <si>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</si>
  <si>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</si>
  <si>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</si>
  <si>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</si>
  <si>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</si>
  <si>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</si>
  <si>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</si>
  <si>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</si>
  <si>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</si>
  <si>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</si>
  <si>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</si>
  <si>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</si>
  <si>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</si>
  <si>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</si>
  <si>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</si>
  <si>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</si>
  <si>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</si>
  <si>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</si>
  <si>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</si>
  <si>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</si>
  <si>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</si>
  <si>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</si>
  <si>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</si>
  <si>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</si>
  <si>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</si>
  <si>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</si>
  <si>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</si>
  <si>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</si>
  <si>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</si>
  <si>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</si>
  <si>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</si>
  <si>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</si>
  <si>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</si>
  <si>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</si>
  <si>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</si>
  <si>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</si>
  <si>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</si>
  <si>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</si>
  <si>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</si>
  <si>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</si>
  <si>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</si>
  <si>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</si>
  <si>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</si>
  <si>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</si>
  <si>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</si>
  <si>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</si>
  <si>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</si>
  <si>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</si>
  <si>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</si>
  <si>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</si>
  <si>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</si>
  <si>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</si>
  <si>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</si>
  <si>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</si>
  <si>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</si>
  <si>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</si>
  <si>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</si>
  <si>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</si>
  <si>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</si>
  <si>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</si>
  <si>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</si>
  <si>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</si>
  <si>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</si>
  <si>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</si>
  <si>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</si>
  <si>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</si>
  <si>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</si>
  <si>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</si>
  <si>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</si>
  <si>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</si>
  <si>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</si>
  <si>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</si>
  <si>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</si>
  <si>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</si>
  <si>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</si>
  <si>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</si>
  <si>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</si>
  <si>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</si>
  <si>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</si>
  <si>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</si>
  <si>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</si>
  <si>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</si>
  <si>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</si>
  <si>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</si>
  <si>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</si>
  <si>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</si>
  <si>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</si>
  <si>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</si>
  <si>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</si>
  <si>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</si>
  <si>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</si>
  <si>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</si>
  <si>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</si>
  <si>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</si>
  <si>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</si>
  <si>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</si>
  <si>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</si>
  <si>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</si>
  <si>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</si>
  <si>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</si>
  <si>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</si>
  <si>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</si>
  <si>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</si>
  <si>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</si>
  <si>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</si>
  <si>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</si>
  <si>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</si>
  <si>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</si>
  <si>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</si>
  <si>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</si>
  <si>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</si>
  <si>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</si>
  <si>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</si>
  <si>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</si>
  <si>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</si>
  <si>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</si>
  <si>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</si>
  <si>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</si>
  <si>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</si>
  <si>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</si>
  <si>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</si>
  <si>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</si>
  <si>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</si>
  <si>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</si>
  <si>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</si>
  <si>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</si>
  <si>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</si>
  <si>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</si>
  <si>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</si>
  <si>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</si>
  <si>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</si>
  <si>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</si>
  <si>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</si>
  <si>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</si>
  <si>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</si>
  <si>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</si>
  <si>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</si>
  <si>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</si>
  <si>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</si>
  <si>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</si>
  <si>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</si>
  <si>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</si>
  <si>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</si>
  <si>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</si>
  <si>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</si>
  <si>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</si>
  <si>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</si>
  <si>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</si>
  <si>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</si>
  <si>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</si>
  <si>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</si>
  <si>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</si>
  <si>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</si>
  <si>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</si>
  <si>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</si>
  <si>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</si>
  <si>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</si>
  <si>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</si>
  <si>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</si>
  <si>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</si>
  <si>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</si>
  <si>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</si>
  <si>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</si>
  <si>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</si>
  <si>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</si>
  <si>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</si>
  <si>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</si>
  <si>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</si>
  <si>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</si>
  <si>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</si>
  <si>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</si>
  <si>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</si>
  <si>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</si>
  <si>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</si>
  <si>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</si>
  <si>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</si>
  <si>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</si>
  <si>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</si>
  <si>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</si>
  <si>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</si>
  <si>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</si>
  <si>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</si>
  <si>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</si>
  <si>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</si>
  <si>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</si>
  <si>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</si>
  <si>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</si>
  <si>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</si>
  <si>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</si>
  <si>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</si>
  <si>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</si>
  <si>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</si>
  <si>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</si>
  <si>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</si>
  <si>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</si>
  <si>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</si>
  <si>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</si>
  <si>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</si>
  <si>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</si>
  <si>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</si>
  <si>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</si>
  <si>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</si>
  <si>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</si>
  <si>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</si>
  <si>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</si>
  <si>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</si>
  <si>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</si>
  <si>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</si>
  <si>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</si>
  <si>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</si>
  <si>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</si>
  <si>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</si>
  <si>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</si>
  <si>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</si>
  <si>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</si>
  <si>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</si>
  <si>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</si>
  <si>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</si>
  <si>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</si>
  <si>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</si>
  <si>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</si>
  <si>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</si>
  <si>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</si>
  <si>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</si>
  <si>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</si>
  <si>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</si>
  <si>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</si>
  <si>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</si>
  <si>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</si>
  <si>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</si>
  <si>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</si>
  <si>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</si>
  <si>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</si>
  <si>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</si>
  <si>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</si>
  <si>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</si>
  <si>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</si>
  <si>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</si>
  <si>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</si>
  <si>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</si>
  <si>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</si>
  <si>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</si>
  <si>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</si>
  <si>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</si>
  <si>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</si>
  <si>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</si>
  <si>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</si>
  <si>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</si>
  <si>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</si>
  <si>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</si>
  <si>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</si>
  <si>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</si>
  <si>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</si>
  <si>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</si>
  <si>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</si>
  <si>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</si>
  <si>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</si>
  <si>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</si>
  <si>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</si>
  <si>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</si>
  <si>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</si>
  <si>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</si>
  <si>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</si>
  <si>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</si>
  <si>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</si>
  <si>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</si>
  <si>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</si>
  <si>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</si>
  <si>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</si>
  <si>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</si>
  <si>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</si>
  <si>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</si>
  <si>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</si>
  <si>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</si>
  <si>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</si>
  <si>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</si>
  <si>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</si>
  <si>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</si>
  <si>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</si>
  <si>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</si>
  <si>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</si>
  <si>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</si>
  <si>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</si>
  <si>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</si>
  <si>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</si>
  <si>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</si>
  <si>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</si>
  <si>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</si>
  <si>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</si>
  <si>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</si>
  <si>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</si>
  <si>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</si>
  <si>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</si>
  <si>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</si>
  <si>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</si>
  <si>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</si>
  <si>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</si>
  <si>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</si>
  <si>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</si>
  <si>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</si>
  <si>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</si>
  <si>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</si>
  <si>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</si>
  <si>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</si>
  <si>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</si>
  <si>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</si>
  <si>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</si>
  <si>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</si>
  <si>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</si>
  <si>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</si>
  <si>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</si>
  <si>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</si>
  <si>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</si>
  <si>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</si>
  <si>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</si>
  <si>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</si>
  <si>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</si>
  <si>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</si>
  <si>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</si>
  <si>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</si>
  <si>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</si>
  <si>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</si>
  <si>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</si>
  <si>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</si>
  <si>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</si>
  <si>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</si>
  <si>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</si>
  <si>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</si>
  <si>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</si>
  <si>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</si>
  <si>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</si>
  <si>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</si>
  <si>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</si>
  <si>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</si>
  <si>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</si>
  <si>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</si>
  <si>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</si>
  <si>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</si>
  <si>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</si>
  <si>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</si>
  <si>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</si>
  <si>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</si>
  <si>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</si>
  <si>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</si>
  <si>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</si>
  <si>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</si>
  <si>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</si>
  <si>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</si>
  <si>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</si>
  <si>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</si>
  <si>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</si>
  <si>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</si>
  <si>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</si>
  <si>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</si>
  <si>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</si>
  <si>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</si>
  <si>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</si>
  <si>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</si>
  <si>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</si>
  <si>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</si>
  <si>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</si>
  <si>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</si>
  <si>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</si>
  <si>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</si>
  <si>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</si>
  <si>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</si>
  <si>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</si>
  <si>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</si>
  <si>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</si>
  <si>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</si>
  <si>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</si>
  <si>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</si>
  <si>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</si>
  <si>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</si>
  <si>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</si>
  <si>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</si>
  <si>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</si>
  <si>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</si>
  <si>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</si>
  <si>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</si>
  <si>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</si>
  <si>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</si>
  <si>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</si>
  <si>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</si>
  <si>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</si>
  <si>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</si>
  <si>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</si>
  <si>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</si>
  <si>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</si>
  <si>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</si>
  <si>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</si>
  <si>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</si>
  <si>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</si>
  <si>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</si>
  <si>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</si>
  <si>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</si>
  <si>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</si>
  <si>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</si>
  <si>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</si>
  <si>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</si>
  <si>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</si>
  <si>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</si>
  <si>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</si>
  <si>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</si>
  <si>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</si>
  <si>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</si>
  <si>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</si>
  <si>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</si>
  <si>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</si>
  <si>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</si>
  <si>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</si>
  <si>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</si>
  <si>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</si>
  <si>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</si>
  <si>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</si>
  <si>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</si>
  <si>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</si>
  <si>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</si>
  <si>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</si>
  <si>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</si>
  <si>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</si>
  <si>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</si>
  <si>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</si>
  <si>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</si>
  <si>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</si>
  <si>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</si>
  <si>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</si>
  <si>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</si>
  <si>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</si>
  <si>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</si>
  <si>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</si>
  <si>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</si>
  <si>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</si>
  <si>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</si>
  <si>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</si>
  <si>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</si>
  <si>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</si>
  <si>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</si>
  <si>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</si>
  <si>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</si>
  <si>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</si>
  <si>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</si>
  <si>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</si>
  <si>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</si>
  <si>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</si>
  <si>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</si>
  <si>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</si>
  <si>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</si>
  <si>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</si>
  <si>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</si>
  <si>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</si>
  <si>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</si>
  <si>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</si>
  <si>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</si>
  <si>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</si>
  <si>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</si>
  <si>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</si>
  <si>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</si>
  <si>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</si>
  <si>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</si>
  <si>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</si>
  <si>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</si>
  <si>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</si>
  <si>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</si>
  <si>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</si>
  <si>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</si>
  <si>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</si>
  <si>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</si>
  <si>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</si>
  <si>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</si>
  <si>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</si>
  <si>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</si>
  <si>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</si>
  <si>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</si>
  <si>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</si>
  <si>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</si>
  <si>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</si>
  <si>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</si>
  <si>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</si>
  <si>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</si>
  <si>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</si>
  <si>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</si>
  <si>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</si>
  <si>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</si>
  <si>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</si>
  <si>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</si>
  <si>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</si>
  <si>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</si>
  <si>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</si>
  <si>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</si>
  <si>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</si>
  <si>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</si>
  <si>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</si>
  <si>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</si>
  <si>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</si>
  <si>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</si>
  <si>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</si>
  <si>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</si>
  <si>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</si>
  <si>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</si>
  <si>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</si>
  <si>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</si>
  <si>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</si>
  <si>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</si>
  <si>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</si>
  <si>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</si>
  <si>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</si>
  <si>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</si>
  <si>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</si>
  <si>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</si>
  <si>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</si>
  <si>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</si>
  <si>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</si>
  <si>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</si>
  <si>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</si>
  <si>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</si>
  <si>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</si>
  <si>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</si>
  <si>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</si>
  <si>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</si>
  <si>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</si>
  <si>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</si>
  <si>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</si>
  <si>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</si>
  <si>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</si>
  <si>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</si>
  <si>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</si>
  <si>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</si>
  <si>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</si>
  <si>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</si>
  <si>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</si>
  <si>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</si>
  <si>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</si>
  <si>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</si>
  <si>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</si>
  <si>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</si>
  <si>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</si>
  <si>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</si>
  <si>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</si>
  <si>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</si>
  <si>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</si>
  <si>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</si>
  <si>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</si>
  <si>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</si>
  <si>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</si>
  <si>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</si>
  <si>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</si>
  <si>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</si>
  <si>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</si>
  <si>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</si>
  <si>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</si>
  <si>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</si>
  <si>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</si>
  <si>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</si>
  <si>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</si>
  <si>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</si>
  <si>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</si>
  <si>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</si>
  <si>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</si>
  <si>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</si>
  <si>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</si>
  <si>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</si>
  <si>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</si>
  <si>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</si>
  <si>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</si>
  <si>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</si>
  <si>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</si>
  <si>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</si>
  <si>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</si>
  <si>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</si>
  <si>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</si>
  <si>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</si>
  <si>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</si>
  <si>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</si>
  <si>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</si>
  <si>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</si>
  <si>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</si>
  <si>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</si>
  <si>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</si>
  <si>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</si>
  <si>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</si>
  <si>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</si>
  <si>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</si>
  <si>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</si>
  <si>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</si>
  <si>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</si>
  <si>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</si>
  <si>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</si>
  <si>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</si>
  <si>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</si>
  <si>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</si>
  <si>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</si>
  <si>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</si>
  <si>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</si>
  <si>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</si>
  <si>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</si>
  <si>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</si>
  <si>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</si>
  <si>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</si>
  <si>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</si>
  <si>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</si>
  <si>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</si>
  <si>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</si>
  <si>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</si>
  <si>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</si>
  <si>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</si>
  <si>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</si>
  <si>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</si>
  <si>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</si>
  <si>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</si>
  <si>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</si>
  <si>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</si>
  <si>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</si>
  <si>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</si>
  <si>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</si>
  <si>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</si>
  <si>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</si>
  <si>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</si>
  <si>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</si>
  <si>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</si>
  <si>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</si>
  <si>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</si>
  <si>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</si>
  <si>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</si>
  <si>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</si>
  <si>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</si>
  <si>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</si>
  <si>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</si>
  <si>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</si>
  <si>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</si>
  <si>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</si>
  <si>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</si>
  <si>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</si>
  <si>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</si>
  <si>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</si>
  <si>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</si>
  <si>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</si>
  <si>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</si>
  <si>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</si>
  <si>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</si>
  <si>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</si>
  <si>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</si>
  <si>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</si>
  <si>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</si>
  <si>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</si>
  <si>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</si>
  <si>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</si>
  <si>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</si>
  <si>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</si>
  <si>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</si>
  <si>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</si>
  <si>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</si>
  <si>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</si>
  <si>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</si>
  <si>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</si>
  <si>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</si>
  <si>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</si>
  <si>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</si>
  <si>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</si>
  <si>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</si>
  <si>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</si>
  <si>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</si>
  <si>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</si>
  <si>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</si>
  <si>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</si>
  <si>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</si>
  <si>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</si>
  <si>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</si>
  <si>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</si>
  <si>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</si>
  <si>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</si>
  <si>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</si>
  <si>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</si>
  <si>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</si>
  <si>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</si>
  <si>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</si>
  <si>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</si>
  <si>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</si>
  <si>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</si>
  <si>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</si>
  <si>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</si>
  <si>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</si>
  <si>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</si>
  <si>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</si>
  <si>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</si>
  <si>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</si>
  <si>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</si>
  <si>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</si>
  <si>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</si>
  <si>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</si>
  <si>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</si>
  <si>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</si>
  <si>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</si>
  <si>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</si>
  <si>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</si>
  <si>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</si>
  <si>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</si>
  <si>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</si>
  <si>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</si>
  <si>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</si>
  <si>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</si>
  <si>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</si>
  <si>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</si>
  <si>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</si>
  <si>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</si>
  <si>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</si>
  <si>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</si>
  <si>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</si>
  <si>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</si>
  <si>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</si>
  <si>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</si>
  <si>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</si>
  <si>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</si>
  <si>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</si>
  <si>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</si>
  <si>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</si>
  <si>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</si>
  <si>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</si>
  <si>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</si>
  <si>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</si>
  <si>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</si>
  <si>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</si>
  <si>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</si>
  <si>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</si>
  <si>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</si>
  <si>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</si>
  <si>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</si>
  <si>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</si>
  <si>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</si>
  <si>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</si>
  <si>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</si>
  <si>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</si>
  <si>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</si>
  <si>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</si>
  <si>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</si>
  <si>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</si>
  <si>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</si>
  <si>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</si>
  <si>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</si>
  <si>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</si>
  <si>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</si>
  <si>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</si>
  <si>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</si>
  <si>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</si>
  <si>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</si>
  <si>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</si>
  <si>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</si>
  <si>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</si>
  <si>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</si>
  <si>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</si>
  <si>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</si>
  <si>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</si>
  <si>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</si>
  <si>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</si>
  <si>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</si>
  <si>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</si>
  <si>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</si>
  <si>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</si>
  <si>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</si>
  <si>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</si>
  <si>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</si>
  <si>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</si>
  <si>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</si>
  <si>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</si>
  <si>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</si>
  <si>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</si>
  <si>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</si>
  <si>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</si>
  <si>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</si>
  <si>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</si>
  <si>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</si>
  <si>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</si>
  <si>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</si>
  <si>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</si>
  <si>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</si>
  <si>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</si>
  <si>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</si>
  <si>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</si>
  <si>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</si>
  <si>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</si>
  <si>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</si>
  <si>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</si>
  <si>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</si>
  <si>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</si>
  <si>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</si>
  <si>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</si>
  <si>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</si>
  <si>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</si>
  <si>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</si>
  <si>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</si>
  <si>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</si>
  <si>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</si>
  <si>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</si>
  <si>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</si>
  <si>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</si>
  <si>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</si>
  <si>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</si>
  <si>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</si>
  <si>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</si>
  <si>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</si>
  <si>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</si>
  <si>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</si>
  <si>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</si>
  <si>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</si>
  <si>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</si>
  <si>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</si>
  <si>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</si>
  <si>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</si>
  <si>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</si>
  <si>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</si>
  <si>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</si>
  <si>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</si>
  <si>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</si>
  <si>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</si>
  <si>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</si>
  <si>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</si>
  <si>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</si>
  <si>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</si>
  <si>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</si>
  <si>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</si>
  <si>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</si>
  <si>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</si>
  <si>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</si>
  <si>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</si>
  <si>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</si>
  <si>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</si>
  <si>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</si>
  <si>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</si>
  <si>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</si>
  <si>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</si>
  <si>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</si>
  <si>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</si>
  <si>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</si>
  <si>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</si>
  <si>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</si>
  <si>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</si>
  <si>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</si>
  <si>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</si>
  <si>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</si>
  <si>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</si>
  <si>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</si>
  <si>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</si>
  <si>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</si>
  <si>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</si>
  <si>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</si>
  <si>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</si>
  <si>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</si>
  <si>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</si>
  <si>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</si>
  <si>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</si>
  <si>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</si>
  <si>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</si>
  <si>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</si>
  <si>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</si>
  <si>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</si>
  <si>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</si>
  <si>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</si>
  <si>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</si>
  <si>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</si>
  <si>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</si>
  <si>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</si>
  <si>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</si>
  <si>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</si>
  <si>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</si>
  <si>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</si>
  <si>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</si>
  <si>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</si>
  <si>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</si>
  <si>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</si>
  <si>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</si>
  <si>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</si>
  <si>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</si>
  <si>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</si>
  <si>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</si>
  <si>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</si>
  <si>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</si>
  <si>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</si>
  <si>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</si>
  <si>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</si>
  <si>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</si>
  <si>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</si>
  <si>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</si>
  <si>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</si>
  <si>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</si>
  <si>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</si>
  <si>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</si>
  <si>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</si>
  <si>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</si>
  <si>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</si>
  <si>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</si>
  <si>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</si>
  <si>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</si>
  <si>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</si>
  <si>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</si>
  <si>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</si>
  <si>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</si>
  <si>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</si>
  <si>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</si>
  <si>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</si>
  <si>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</si>
  <si>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</si>
  <si>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</si>
  <si>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</si>
  <si>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</si>
  <si>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</si>
  <si>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</si>
  <si>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</si>
  <si>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</si>
  <si>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</si>
  <si>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</si>
  <si>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</si>
  <si>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</si>
  <si>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</si>
  <si>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</si>
  <si>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</si>
  <si>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</si>
  <si>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</si>
  <si>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</si>
  <si>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</si>
  <si>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</si>
  <si>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</si>
  <si>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</si>
  <si>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</si>
  <si>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</si>
  <si>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</si>
  <si>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</si>
  <si>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</si>
  <si>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</si>
  <si>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</si>
  <si>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</si>
  <si>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</si>
  <si>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</si>
  <si>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</si>
  <si>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</si>
  <si>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</si>
  <si>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</si>
  <si>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</si>
  <si>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</si>
  <si>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</si>
  <si>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</si>
  <si>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</si>
  <si>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</si>
  <si>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</si>
  <si>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</si>
  <si>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</si>
  <si>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</si>
  <si>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</si>
  <si>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</si>
  <si>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</si>
  <si>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</si>
  <si>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</si>
  <si>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</si>
  <si>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</si>
  <si>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</si>
  <si>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</si>
  <si>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</si>
  <si>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</si>
  <si>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</si>
  <si>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</si>
  <si>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</si>
  <si>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</si>
  <si>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</si>
  <si>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</si>
  <si>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</si>
  <si>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</si>
  <si>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</si>
  <si>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</si>
  <si>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</si>
  <si>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</si>
  <si>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</si>
  <si>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</si>
  <si>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</si>
  <si>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</si>
  <si>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</si>
  <si>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</si>
  <si>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</si>
  <si>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</si>
  <si>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</si>
  <si>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</si>
  <si>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</si>
  <si>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</si>
  <si>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</si>
  <si>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</si>
  <si>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</si>
  <si>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</si>
  <si>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</si>
  <si>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</si>
  <si>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</si>
  <si>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</si>
  <si>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</si>
  <si>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</si>
  <si>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</si>
  <si>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</si>
  <si>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</si>
  <si>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</si>
  <si>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</si>
  <si>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</si>
  <si>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</si>
  <si>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</si>
  <si>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</si>
  <si>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</si>
  <si>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</si>
  <si>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</si>
  <si>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</si>
  <si>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</si>
  <si>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</si>
  <si>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</si>
  <si>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</si>
  <si>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</si>
  <si>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</si>
  <si>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</si>
  <si>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</si>
  <si>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</si>
  <si>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</si>
  <si>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</si>
  <si>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</si>
  <si>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</si>
  <si>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</si>
  <si>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</si>
  <si>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</si>
  <si>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</si>
  <si>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</si>
  <si>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</si>
  <si>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</si>
  <si>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</si>
  <si>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</si>
  <si>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</si>
  <si>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</si>
  <si>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</si>
  <si>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</si>
  <si>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</si>
  <si>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</si>
  <si>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</si>
  <si>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</si>
  <si>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</si>
  <si>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</si>
  <si>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</si>
  <si>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</si>
  <si>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</si>
  <si>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</si>
  <si>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</si>
  <si>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</si>
  <si>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</si>
  <si>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</si>
  <si>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</si>
  <si>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</si>
  <si>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</si>
  <si>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</si>
  <si>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</si>
  <si>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</si>
  <si>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</si>
  <si>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</si>
  <si>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</si>
  <si>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</si>
  <si>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</si>
  <si>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</si>
  <si>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</si>
  <si>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</si>
  <si>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</si>
  <si>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</si>
  <si>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</si>
  <si>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</si>
  <si>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</si>
  <si>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</si>
  <si>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</si>
  <si>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</si>
  <si>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</si>
  <si>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</si>
  <si>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</si>
  <si>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</si>
  <si>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</si>
  <si>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</si>
  <si>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</si>
  <si>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</si>
  <si>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</si>
  <si>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</si>
  <si>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</si>
  <si>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</si>
  <si>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</si>
  <si>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</si>
  <si>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</si>
  <si>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</si>
  <si>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</si>
  <si>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</si>
  <si>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</si>
  <si>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</si>
  <si>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</si>
  <si>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</si>
  <si>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</si>
  <si>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</si>
  <si>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</si>
  <si>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</si>
  <si>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</si>
  <si>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</si>
  <si>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</si>
  <si>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</si>
  <si>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</si>
  <si>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</si>
  <si>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</si>
  <si>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</si>
  <si>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</si>
  <si>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</si>
  <si>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</si>
  <si>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</si>
  <si>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</si>
  <si>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</si>
  <si>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</si>
  <si>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</si>
  <si>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</si>
  <si>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</si>
  <si>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</si>
  <si>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</si>
  <si>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</si>
  <si>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</si>
  <si>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</si>
  <si>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</si>
  <si>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</si>
  <si>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</si>
  <si>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</si>
  <si>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</si>
  <si>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</si>
  <si>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</si>
  <si>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</si>
  <si>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</si>
  <si>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</si>
  <si>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</si>
  <si>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</si>
  <si>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</si>
  <si>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</si>
  <si>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</si>
  <si>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</si>
  <si>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</si>
  <si>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</si>
  <si>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</si>
  <si>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</si>
  <si>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</si>
  <si>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</si>
  <si>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</si>
  <si>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</si>
  <si>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</si>
  <si>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</si>
  <si>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</si>
  <si>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</si>
  <si>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</si>
  <si>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</si>
  <si>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</si>
  <si>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</si>
  <si>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</si>
  <si>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</si>
  <si>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</si>
  <si>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</si>
  <si>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</si>
  <si>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</si>
  <si>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</si>
  <si>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</si>
  <si>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</si>
  <si>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</si>
  <si>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</si>
  <si>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</si>
  <si>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</si>
  <si>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</si>
  <si>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</si>
  <si>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</si>
  <si>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</si>
  <si>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</si>
  <si>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</si>
  <si>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</si>
  <si>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</si>
  <si>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</si>
  <si>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</si>
  <si>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</si>
  <si>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</si>
  <si>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</si>
  <si>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</si>
  <si>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</si>
  <si>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</si>
  <si>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</si>
  <si>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</si>
  <si>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</si>
  <si>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</si>
  <si>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</si>
  <si>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</si>
  <si>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</si>
  <si>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</si>
  <si>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</si>
  <si>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</si>
  <si>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</si>
  <si>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</si>
  <si>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</si>
  <si>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</si>
  <si>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</si>
  <si>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</si>
  <si>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</si>
  <si>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</si>
  <si>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</si>
  <si>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</si>
  <si>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</si>
  <si>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</si>
  <si>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</si>
  <si>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</si>
  <si>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</si>
  <si>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</si>
  <si>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</si>
  <si>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</si>
  <si>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</si>
  <si>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</si>
  <si>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</si>
  <si>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</si>
  <si>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</si>
  <si>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</si>
  <si>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</si>
  <si>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</si>
  <si>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</si>
  <si>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</si>
  <si>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</si>
  <si>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</si>
  <si>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</si>
  <si>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</si>
  <si>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</si>
  <si>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</si>
  <si>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</si>
  <si>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</si>
  <si>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</si>
  <si>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</si>
  <si>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</si>
  <si>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</si>
  <si>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</si>
  <si>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</si>
  <si>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</si>
  <si>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</si>
  <si>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</si>
  <si>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</si>
  <si>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</si>
  <si>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</si>
  <si>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</si>
  <si>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</si>
  <si>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</si>
  <si>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</si>
  <si>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</si>
  <si>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</si>
  <si>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</si>
  <si>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</si>
  <si>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</si>
  <si>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</si>
  <si>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</si>
  <si>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</si>
  <si>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</si>
  <si>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</si>
  <si>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</si>
  <si>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</si>
  <si>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</si>
  <si>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</si>
  <si>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</si>
  <si>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</si>
  <si>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</si>
  <si>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</si>
  <si>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</si>
  <si>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</si>
  <si>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</si>
  <si>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</si>
  <si>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</si>
  <si>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</si>
  <si>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</si>
  <si>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</si>
  <si>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</si>
  <si>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</si>
  <si>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</si>
  <si>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</si>
  <si>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</si>
  <si>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</si>
  <si>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</si>
  <si>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</si>
  <si>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</si>
  <si>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</si>
  <si>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</si>
  <si>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</si>
  <si>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</si>
  <si>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</si>
  <si>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</si>
  <si>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</si>
  <si>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</si>
  <si>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</si>
  <si>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</si>
  <si>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</si>
  <si>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</si>
  <si>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</si>
  <si>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</si>
  <si>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</si>
  <si>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</si>
  <si>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</si>
  <si>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</si>
  <si>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</si>
  <si>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</si>
  <si>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</si>
  <si>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</si>
  <si>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</si>
  <si>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</si>
  <si>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</si>
  <si>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</si>
  <si>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</si>
  <si>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</si>
  <si>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</si>
  <si>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</si>
  <si>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</si>
  <si>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</si>
  <si>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</si>
  <si>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</si>
  <si>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</si>
  <si>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</si>
  <si>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</si>
  <si>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</si>
  <si>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</si>
  <si>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</si>
  <si>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</si>
  <si>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</si>
  <si>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</si>
  <si>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</si>
  <si>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</si>
  <si>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</si>
  <si>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</si>
  <si>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</si>
  <si>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</si>
  <si>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</si>
  <si>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</si>
  <si>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</si>
  <si>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</si>
  <si>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</si>
  <si>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</si>
  <si>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</si>
  <si>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</si>
  <si>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</si>
  <si>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</si>
  <si>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</si>
  <si>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</si>
  <si>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</si>
  <si>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</si>
  <si>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</si>
  <si>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</si>
  <si>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</si>
  <si>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</si>
  <si>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</si>
  <si>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</si>
  <si>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</si>
  <si>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</si>
  <si>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</si>
  <si>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</si>
  <si>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</si>
  <si>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</si>
  <si>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</si>
  <si>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</si>
  <si>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</si>
  <si>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</si>
  <si>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</si>
  <si>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</si>
  <si>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</si>
  <si>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</si>
  <si>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</si>
  <si>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</si>
  <si>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</si>
  <si>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</si>
  <si>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</si>
  <si>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</si>
  <si>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</si>
  <si>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</si>
  <si>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</si>
  <si>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</si>
  <si>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</si>
  <si>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</si>
  <si>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</si>
  <si>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</si>
  <si>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</si>
  <si>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</si>
  <si>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</si>
  <si>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</si>
  <si>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</si>
  <si>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</si>
  <si>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</si>
  <si>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</si>
  <si>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</si>
  <si>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</si>
  <si>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</si>
  <si>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</si>
  <si>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</si>
  <si>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</si>
  <si>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</si>
  <si>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</si>
  <si>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</si>
  <si>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</si>
  <si>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</si>
  <si>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</si>
  <si>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</si>
  <si>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</si>
  <si>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</si>
  <si>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</si>
  <si>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</si>
  <si>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</si>
  <si>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</si>
  <si>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</si>
  <si>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</si>
  <si>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</si>
  <si>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</si>
  <si>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</si>
  <si>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</si>
  <si>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</si>
  <si>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</si>
  <si>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</si>
  <si>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</si>
  <si>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</si>
  <si>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</si>
  <si>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</si>
  <si>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</si>
  <si>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</si>
  <si>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</si>
  <si>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</si>
  <si>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</si>
  <si>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</si>
  <si>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</si>
  <si>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</si>
  <si>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</si>
  <si>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</si>
  <si>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</si>
  <si>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</si>
  <si>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</si>
  <si>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</si>
  <si>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</si>
  <si>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</si>
  <si>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</si>
  <si>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</si>
  <si>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</si>
  <si>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</si>
  <si>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</si>
  <si>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</si>
  <si>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</si>
  <si>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</si>
  <si>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</si>
  <si>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</si>
  <si>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</si>
  <si>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</si>
  <si>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</si>
  <si>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</si>
  <si>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</si>
  <si>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</si>
  <si>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</si>
  <si>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</si>
  <si>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</si>
  <si>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</si>
  <si>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</si>
  <si>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</si>
  <si>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</si>
  <si>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</si>
  <si>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</si>
  <si>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</si>
  <si>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</si>
  <si>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</si>
  <si>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</si>
  <si>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</si>
  <si>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</si>
  <si>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</si>
  <si>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</si>
  <si>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</si>
  <si>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</si>
  <si>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</si>
  <si>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</si>
  <si>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</si>
  <si>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</si>
  <si>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</si>
  <si>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</si>
  <si>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</si>
  <si>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</si>
  <si>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</si>
  <si>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</si>
  <si>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</si>
  <si>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</si>
  <si>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</si>
  <si>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</si>
  <si>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</si>
  <si>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</si>
  <si>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</si>
  <si>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</si>
  <si>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</si>
  <si>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</si>
  <si>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</si>
  <si>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</si>
  <si>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</si>
  <si>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</si>
  <si>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</si>
  <si>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</si>
  <si>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</si>
  <si>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</si>
  <si>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</si>
  <si>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</si>
  <si>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</si>
  <si>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</si>
  <si>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</si>
  <si>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</si>
  <si>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</si>
  <si>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</si>
  <si>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</si>
  <si>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</si>
  <si>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</si>
  <si>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</si>
  <si>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</si>
  <si>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</si>
  <si>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</si>
  <si>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</si>
  <si>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</si>
  <si>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</si>
  <si>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</si>
  <si>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</si>
  <si>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</si>
  <si>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</si>
  <si>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</si>
  <si>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</si>
  <si>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</si>
  <si>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</si>
  <si>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</si>
  <si>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</si>
  <si>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</si>
  <si>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</si>
  <si>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</si>
  <si>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</si>
  <si>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</si>
  <si>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</si>
  <si>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</si>
  <si>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</si>
  <si>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</si>
  <si>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</si>
  <si>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</si>
  <si>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</si>
  <si>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</si>
  <si>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</si>
  <si>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</si>
  <si>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</si>
  <si>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</si>
  <si>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</si>
  <si>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</si>
  <si>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</si>
  <si>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</si>
  <si>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</si>
  <si>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</si>
  <si>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</si>
  <si>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</si>
  <si>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</si>
  <si>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</si>
  <si>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</si>
  <si>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</si>
  <si>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</si>
  <si>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</si>
  <si>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</si>
  <si>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</si>
  <si>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</si>
  <si>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</si>
  <si>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</si>
  <si>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</si>
  <si>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</si>
  <si>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</si>
  <si>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</si>
  <si>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</si>
  <si>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</si>
  <si>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</si>
  <si>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</si>
  <si>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</si>
  <si>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</si>
  <si>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</si>
  <si>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</si>
  <si>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</si>
  <si>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</si>
  <si>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</si>
  <si>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</si>
  <si>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</si>
  <si>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</si>
  <si>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</si>
  <si>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</si>
  <si>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</si>
  <si>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</si>
  <si>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</si>
  <si>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</si>
  <si>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</si>
  <si>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</si>
  <si>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</si>
  <si>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</si>
  <si>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</si>
  <si>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</si>
  <si>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</si>
  <si>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</si>
  <si>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</si>
  <si>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</si>
  <si>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</si>
  <si>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</si>
  <si>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</si>
  <si>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</si>
  <si>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</si>
  <si>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</si>
  <si>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</si>
  <si>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</si>
  <si>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</si>
  <si>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</si>
  <si>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</si>
  <si>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</si>
  <si>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</si>
  <si>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</si>
  <si>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</si>
  <si>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</si>
  <si>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</si>
  <si>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</si>
  <si>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</si>
  <si>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</si>
  <si>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</si>
  <si>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</si>
  <si>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</si>
  <si>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</si>
  <si>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</si>
  <si>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</si>
  <si>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</si>
  <si>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</si>
  <si>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</si>
  <si>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</si>
  <si>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</si>
  <si>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</si>
  <si>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</si>
  <si>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</si>
  <si>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</si>
  <si>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</si>
  <si>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</si>
  <si>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</si>
  <si>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</si>
  <si>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</si>
  <si>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</si>
  <si>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</si>
  <si>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</si>
  <si>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</si>
  <si>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</si>
  <si>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</si>
  <si>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</si>
  <si>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</si>
  <si>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</si>
  <si>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</si>
  <si>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</si>
  <si>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</si>
  <si>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</si>
  <si>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</si>
  <si>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</si>
  <si>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</si>
  <si>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</si>
  <si>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</si>
  <si>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</si>
  <si>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</si>
  <si>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</si>
  <si>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</si>
  <si>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</si>
  <si>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</si>
  <si>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</si>
  <si>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</si>
  <si>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</si>
  <si>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</si>
  <si>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</si>
  <si>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</si>
  <si>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</si>
  <si>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</si>
  <si>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</si>
  <si>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</si>
  <si>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</si>
  <si>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</si>
  <si>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</si>
  <si>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</si>
  <si>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</si>
  <si>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</si>
  <si>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</si>
  <si>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</si>
  <si>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</si>
  <si>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</si>
  <si>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</si>
  <si>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</si>
  <si>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</si>
  <si>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</si>
  <si>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</si>
  <si>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</si>
  <si>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</si>
  <si>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</si>
  <si>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</si>
  <si>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</si>
  <si>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</si>
  <si>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</si>
  <si>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</si>
  <si>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</si>
  <si>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</si>
  <si>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</si>
  <si>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</si>
  <si>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</si>
  <si>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</si>
  <si>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</si>
  <si>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</si>
  <si>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</si>
  <si>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</si>
  <si>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</si>
  <si>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</si>
  <si>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</si>
  <si>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</si>
  <si>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</si>
  <si>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</si>
  <si>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</si>
  <si>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</si>
  <si>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</si>
  <si>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</si>
  <si>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</si>
  <si>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</si>
  <si>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</si>
  <si>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</si>
  <si>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</si>
  <si>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</si>
  <si>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</si>
  <si>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</si>
  <si>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</si>
  <si>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</si>
  <si>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</si>
  <si>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</si>
  <si>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</si>
  <si>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</si>
  <si>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</si>
  <si>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</si>
  <si>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</si>
  <si>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</si>
  <si>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</si>
  <si>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</si>
  <si>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</si>
  <si>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</si>
  <si>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</si>
  <si>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</si>
  <si>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</si>
  <si>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</si>
  <si>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</si>
  <si>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</si>
  <si>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</si>
  <si>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</si>
  <si>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</si>
  <si>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</si>
  <si>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</si>
  <si>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</si>
  <si>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</si>
  <si>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</si>
  <si>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</si>
  <si>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</si>
  <si>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</si>
  <si>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</si>
  <si>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</si>
  <si>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</si>
  <si>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</si>
  <si>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</si>
  <si>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</si>
  <si>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</si>
  <si>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</si>
  <si>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</si>
  <si>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</si>
  <si>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</si>
  <si>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</si>
  <si>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</si>
  <si>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</si>
  <si>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</si>
  <si>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</si>
  <si>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</si>
  <si>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</si>
  <si>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</si>
  <si>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</si>
  <si>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</si>
  <si>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</si>
  <si>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</si>
  <si>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</si>
  <si>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</si>
  <si>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</si>
  <si>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</si>
  <si>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</si>
  <si>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</si>
  <si>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</si>
  <si>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</si>
  <si>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</si>
  <si>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</si>
  <si>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</si>
  <si>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</si>
  <si>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</si>
  <si>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</si>
  <si>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</si>
  <si>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</si>
  <si>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</si>
  <si>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</si>
  <si>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</si>
  <si>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</si>
  <si>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</si>
  <si>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</si>
  <si>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</si>
  <si>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</si>
  <si>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</si>
  <si>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</si>
  <si>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</si>
  <si>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</si>
  <si>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</si>
  <si>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</si>
  <si>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</si>
  <si>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</si>
  <si>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</si>
  <si>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</si>
  <si>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</si>
  <si>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</si>
  <si>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</si>
  <si>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</si>
  <si>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</si>
  <si>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</si>
  <si>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</si>
  <si>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</si>
  <si>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</si>
  <si>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</si>
  <si>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</si>
  <si>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</si>
  <si>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</si>
  <si>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</si>
  <si>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</si>
  <si>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</si>
  <si>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</si>
  <si>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</si>
  <si>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</si>
  <si>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</si>
  <si>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</si>
  <si>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</si>
  <si>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</si>
  <si>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</si>
  <si>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</si>
  <si>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</si>
  <si>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</si>
  <si>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</si>
  <si>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</si>
  <si>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</si>
  <si>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</si>
  <si>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</si>
  <si>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</si>
  <si>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</si>
  <si>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</si>
  <si>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</si>
  <si>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</si>
  <si>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</si>
  <si>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</si>
  <si>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</si>
  <si>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</si>
  <si>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</si>
  <si>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</si>
  <si>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</si>
  <si>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</si>
  <si>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</si>
  <si>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</si>
  <si>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</si>
  <si>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</si>
  <si>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</si>
  <si>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</si>
  <si>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</si>
  <si>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</si>
  <si>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</si>
  <si>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</si>
  <si>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</si>
  <si>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</si>
  <si>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</si>
  <si>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</si>
  <si>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</si>
  <si>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</si>
  <si>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</si>
  <si>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</si>
  <si>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</si>
  <si>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</si>
  <si>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</si>
  <si>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</si>
  <si>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</si>
  <si>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</si>
  <si>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</si>
  <si>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</si>
  <si>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</si>
  <si>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</si>
  <si>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</si>
  <si>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</si>
  <si>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</si>
  <si>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</si>
  <si>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</si>
  <si>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</si>
  <si>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</si>
  <si>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</si>
  <si>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</si>
  <si>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</si>
  <si>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</si>
  <si>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</si>
  <si>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</si>
  <si>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</si>
  <si>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</si>
  <si>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</si>
  <si>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</si>
  <si>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</si>
  <si>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</si>
  <si>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</si>
  <si>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</si>
  <si>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</si>
  <si>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</si>
  <si>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</si>
  <si>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</si>
  <si>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</si>
  <si>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</si>
  <si>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</si>
  <si>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</si>
  <si>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</si>
  <si>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</si>
  <si>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</si>
  <si>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</si>
  <si>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</si>
  <si>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</si>
  <si>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</si>
  <si>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</si>
  <si>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</si>
  <si>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</si>
  <si>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</si>
  <si>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</si>
  <si>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</si>
  <si>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</si>
  <si>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</si>
  <si>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</si>
  <si>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</si>
  <si>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</si>
  <si>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</si>
  <si>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</si>
  <si>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</si>
  <si>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</si>
  <si>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</si>
  <si>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</si>
  <si>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</si>
  <si>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</si>
  <si>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</si>
  <si>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</si>
  <si>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</si>
  <si>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</si>
  <si>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</si>
  <si>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</si>
  <si>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</si>
  <si>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</si>
  <si>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</si>
  <si>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</si>
  <si>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</si>
  <si>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</si>
  <si>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</si>
  <si>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</si>
  <si>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</si>
  <si>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</si>
  <si>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</si>
  <si>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</si>
  <si>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</si>
  <si>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</si>
  <si>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</si>
  <si>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</si>
  <si>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</si>
  <si>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</si>
  <si>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</si>
  <si>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</si>
  <si>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</si>
  <si>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</si>
  <si>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</si>
  <si>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</si>
  <si>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</si>
  <si>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</si>
  <si>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</si>
  <si>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</si>
  <si>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</si>
  <si>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</si>
  <si>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</si>
  <si>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</si>
  <si>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</si>
  <si>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</si>
  <si>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</si>
  <si>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</si>
  <si>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</si>
  <si>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</si>
  <si>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</si>
  <si>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</si>
  <si>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</si>
  <si>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</si>
  <si>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</si>
  <si>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</si>
  <si>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</si>
  <si>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</si>
  <si>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</si>
  <si>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</si>
  <si>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</si>
  <si>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</si>
  <si>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</si>
  <si>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</si>
  <si>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</si>
  <si>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</si>
  <si>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</si>
  <si>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</si>
  <si>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</si>
  <si>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</si>
  <si>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</si>
  <si>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</si>
  <si>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</si>
  <si>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</si>
  <si>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</si>
  <si>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</si>
  <si>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</si>
  <si>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</si>
  <si>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</si>
  <si>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</si>
  <si>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</si>
  <si>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</si>
  <si>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</si>
  <si>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</si>
  <si>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</si>
  <si>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</si>
  <si>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</si>
  <si>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</si>
  <si>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</si>
  <si>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</si>
  <si>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</si>
  <si>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</si>
  <si>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</si>
  <si>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</si>
  <si>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</si>
  <si>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</si>
  <si>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</si>
  <si>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</si>
  <si>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</si>
  <si>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</si>
  <si>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</si>
  <si>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</si>
  <si>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</si>
  <si>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</si>
  <si>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</si>
  <si>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</si>
  <si>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</si>
  <si>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</si>
  <si>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</si>
  <si>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</si>
  <si>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</si>
  <si>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</si>
  <si>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</si>
  <si>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</si>
  <si>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</si>
  <si>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</si>
  <si>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</si>
  <si>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</si>
  <si>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</si>
  <si>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</si>
  <si>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</si>
  <si>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</si>
  <si>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</si>
  <si>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</si>
  <si>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</si>
  <si>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</si>
  <si>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</si>
  <si>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</si>
  <si>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</si>
  <si>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</si>
  <si>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</si>
  <si>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</si>
  <si>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</si>
  <si>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</si>
  <si>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</si>
  <si>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</si>
  <si>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</si>
  <si>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</si>
  <si>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</si>
  <si>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</si>
  <si>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</si>
  <si>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</si>
  <si>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</si>
  <si>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</si>
  <si>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</si>
  <si>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</si>
  <si>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</si>
  <si>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</si>
  <si>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</si>
  <si>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</si>
  <si>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</si>
  <si>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</si>
  <si>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</si>
  <si>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</si>
  <si>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</si>
  <si>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</si>
  <si>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</si>
  <si>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</si>
  <si>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</si>
  <si>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</si>
  <si>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</si>
  <si>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</si>
  <si>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</si>
  <si>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</si>
  <si>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</si>
  <si>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</si>
  <si>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</si>
  <si>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</si>
  <si>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</si>
  <si>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</si>
  <si>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</si>
  <si>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</si>
  <si>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</si>
  <si>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</si>
  <si>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</si>
  <si>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</si>
  <si>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</si>
  <si>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</si>
  <si>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</si>
  <si>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</si>
  <si>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</si>
  <si>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</si>
  <si>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</si>
  <si>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</si>
  <si>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</si>
  <si>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</si>
  <si>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</si>
  <si>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</si>
  <si>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</si>
  <si>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</si>
  <si>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</si>
  <si>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</si>
  <si>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</si>
  <si>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</si>
  <si>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</si>
  <si>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</si>
  <si>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</si>
  <si>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</si>
  <si>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</si>
  <si>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</si>
  <si>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</si>
  <si>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</si>
  <si>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</si>
  <si>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</si>
  <si>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</si>
  <si>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</si>
  <si>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</si>
  <si>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</si>
  <si>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</si>
  <si>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</si>
  <si>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</si>
  <si>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</si>
  <si>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</si>
  <si>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</si>
  <si>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</si>
  <si>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</si>
  <si>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</si>
  <si>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</si>
  <si>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</si>
  <si>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</si>
  <si>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</si>
  <si>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</si>
  <si>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</si>
  <si>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</si>
  <si>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</si>
  <si>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</si>
  <si>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</si>
  <si>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</si>
  <si>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</si>
  <si>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</si>
  <si>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</si>
  <si>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</si>
  <si>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</si>
  <si>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</si>
  <si>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</si>
  <si>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</si>
  <si>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</si>
  <si>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</si>
  <si>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</si>
  <si>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</si>
  <si>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</si>
  <si>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</si>
  <si>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</si>
  <si>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</si>
  <si>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</si>
  <si>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</si>
  <si>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</si>
  <si>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</si>
  <si>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</si>
  <si>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</si>
  <si>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</si>
  <si>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</si>
  <si>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</si>
  <si>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</si>
  <si>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</si>
  <si>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</si>
  <si>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</si>
  <si>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</si>
  <si>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</si>
  <si>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</si>
  <si>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</si>
  <si>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</si>
  <si>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</si>
  <si>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</si>
  <si>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</si>
  <si>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</si>
  <si>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</si>
  <si>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</si>
  <si>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</si>
  <si>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</si>
  <si>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</si>
  <si>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</si>
  <si>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</si>
  <si>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</si>
  <si>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</si>
  <si>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</si>
  <si>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</si>
  <si>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</si>
  <si>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</si>
  <si>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</si>
  <si>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</si>
  <si>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</si>
  <si>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</si>
  <si>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</si>
  <si>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</si>
  <si>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</si>
  <si>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</si>
  <si>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</si>
  <si>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</si>
  <si>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</si>
  <si>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</si>
  <si>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</si>
  <si>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</si>
  <si>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</si>
  <si>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</si>
  <si>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</si>
  <si>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</si>
  <si>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</si>
  <si>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</si>
  <si>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</si>
  <si>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</si>
  <si>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</si>
  <si>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</si>
  <si>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</si>
  <si>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</si>
  <si>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</si>
  <si>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</si>
  <si>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</si>
  <si>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</si>
  <si>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</si>
  <si>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</si>
  <si>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</si>
  <si>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</si>
  <si>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</si>
  <si>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</si>
  <si>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</si>
  <si>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</si>
  <si>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</si>
  <si>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</si>
  <si>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</si>
  <si>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</si>
  <si>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</si>
  <si>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</si>
  <si>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</si>
  <si>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</si>
  <si>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</si>
  <si>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</si>
  <si>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</si>
  <si>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</si>
  <si>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</si>
  <si>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</si>
  <si>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</si>
  <si>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</si>
  <si>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</si>
  <si>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</si>
  <si>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</si>
  <si>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</si>
  <si>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</si>
  <si>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</si>
  <si>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</si>
  <si>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</si>
  <si>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</si>
  <si>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</si>
  <si>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</si>
  <si>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</si>
  <si>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</si>
  <si>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</si>
  <si>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</si>
  <si>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</si>
  <si>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</si>
  <si>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</si>
  <si>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</si>
  <si>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</si>
  <si>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</si>
  <si>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</si>
  <si>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</si>
  <si>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</si>
  <si>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</si>
  <si>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</si>
  <si>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</si>
  <si>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</si>
  <si>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</si>
  <si>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</si>
  <si>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</si>
  <si>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</si>
  <si>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</si>
  <si>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</si>
  <si>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</si>
  <si>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</si>
  <si>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</si>
  <si>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</si>
  <si>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</si>
  <si>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</si>
  <si>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</si>
  <si>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</si>
  <si>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</si>
  <si>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</si>
  <si>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</si>
  <si>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</si>
  <si>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</si>
  <si>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</si>
  <si>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</si>
  <si>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</si>
  <si>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</si>
  <si>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</si>
  <si>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</si>
  <si>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</si>
  <si>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</si>
  <si>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</si>
  <si>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</si>
  <si>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</si>
  <si>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</si>
  <si>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</si>
  <si>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</si>
  <si>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</si>
  <si>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</si>
  <si>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</si>
  <si>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</si>
  <si>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</si>
  <si>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</si>
  <si>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</si>
  <si>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</si>
  <si>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</si>
  <si>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</si>
  <si>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</si>
  <si>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</si>
  <si>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</si>
  <si>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</si>
  <si>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</si>
  <si>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</si>
  <si>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</si>
  <si>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</si>
  <si>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</si>
  <si>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</si>
  <si>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</si>
  <si>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</si>
  <si>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</si>
  <si>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</si>
  <si>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</si>
  <si>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</si>
  <si>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</si>
  <si>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</si>
  <si>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</si>
  <si>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</si>
  <si>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</si>
  <si>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</si>
  <si>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</si>
  <si>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</si>
  <si>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</si>
  <si>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</si>
  <si>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</si>
  <si>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</si>
  <si>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</si>
  <si>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</si>
  <si>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</si>
  <si>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</si>
  <si>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</si>
  <si>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</si>
  <si>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</si>
  <si>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</si>
  <si>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</si>
  <si>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</si>
  <si>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</si>
  <si>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</si>
  <si>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</si>
  <si>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</si>
  <si>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</si>
  <si>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</si>
  <si>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</si>
  <si>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</si>
  <si>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</si>
  <si>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</si>
  <si>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</si>
  <si>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</si>
  <si>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</si>
  <si>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</si>
  <si>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</si>
  <si>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</si>
  <si>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</si>
  <si>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</si>
  <si>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</si>
  <si>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</si>
  <si>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</si>
  <si>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</si>
  <si>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</si>
  <si>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</si>
  <si>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</si>
  <si>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</si>
  <si>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</si>
  <si>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</si>
  <si>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</si>
  <si>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</si>
  <si>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</si>
  <si>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</si>
  <si>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</si>
  <si>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</si>
  <si>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</si>
  <si>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</si>
  <si>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</si>
  <si>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</si>
  <si>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</si>
  <si>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</si>
  <si>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</si>
  <si>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</si>
  <si>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</si>
  <si>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</si>
  <si>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</si>
  <si>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</si>
  <si>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</si>
  <si>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</si>
  <si>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</si>
  <si>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</si>
  <si>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</si>
  <si>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</si>
  <si>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</si>
  <si>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吴薇</t>
  </si>
  <si>
    <t>赵雯</t>
  </si>
  <si>
    <t>抵押</t>
  </si>
  <si>
    <t>抵押价格</t>
  </si>
  <si>
    <t>企业</t>
  </si>
  <si>
    <t>居住项目</t>
  </si>
  <si>
    <t>无</t>
  </si>
  <si>
    <t>否</t>
  </si>
  <si>
    <t>场地平整</t>
  </si>
  <si>
    <t>是</t>
  </si>
  <si>
    <t>地上</t>
  </si>
  <si>
    <t>平层住宅</t>
  </si>
  <si>
    <t>地下</t>
  </si>
  <si>
    <t>出让合同</t>
    <phoneticPr fontId="224" type="noConversion"/>
  </si>
  <si>
    <t>土地面积</t>
    <phoneticPr fontId="224" type="noConversion"/>
  </si>
  <si>
    <t>已缴纳</t>
    <phoneticPr fontId="224" type="noConversion"/>
  </si>
  <si>
    <t>未缴纳</t>
    <phoneticPr fontId="224" type="noConversion"/>
  </si>
  <si>
    <t>地价款（万元）</t>
    <phoneticPr fontId="224" type="noConversion"/>
  </si>
  <si>
    <t>总建面</t>
    <phoneticPr fontId="224" type="noConversion"/>
  </si>
  <si>
    <t>附件4建面</t>
    <phoneticPr fontId="224" type="noConversion"/>
  </si>
  <si>
    <t>住宅</t>
    <phoneticPr fontId="224" type="noConversion"/>
  </si>
  <si>
    <t>地上社区级综合文化室（不出让）</t>
    <phoneticPr fontId="224" type="noConversion"/>
  </si>
  <si>
    <t>合计</t>
    <phoneticPr fontId="224" type="noConversion"/>
  </si>
  <si>
    <t>契税及印花税</t>
    <phoneticPr fontId="224" type="noConversion"/>
  </si>
  <si>
    <t>总建筑面积</t>
    <phoneticPr fontId="224" type="noConversion"/>
  </si>
  <si>
    <t>地上建筑面积</t>
    <phoneticPr fontId="224" type="noConversion"/>
  </si>
  <si>
    <t>地下建筑面积</t>
    <phoneticPr fontId="224" type="noConversion"/>
  </si>
  <si>
    <t>配套</t>
    <phoneticPr fontId="224" type="noConversion"/>
  </si>
  <si>
    <t>1#住宅楼</t>
    <phoneticPr fontId="224" type="noConversion"/>
  </si>
  <si>
    <t>2#住宅楼</t>
  </si>
  <si>
    <t>3#住宅楼</t>
  </si>
  <si>
    <t>4#住宅楼</t>
  </si>
  <si>
    <t>5#住宅楼</t>
  </si>
  <si>
    <t>6#住宅楼</t>
  </si>
  <si>
    <t>7#住宅楼</t>
  </si>
  <si>
    <t>8#配套楼</t>
    <phoneticPr fontId="224" type="noConversion"/>
  </si>
  <si>
    <t>预装式配电室</t>
    <phoneticPr fontId="224" type="noConversion"/>
  </si>
  <si>
    <r>
      <t>C</t>
    </r>
    <r>
      <rPr>
        <sz val="11"/>
        <color theme="1"/>
        <rFont val="宋体"/>
        <family val="3"/>
        <charset val="134"/>
        <scheme val="minor"/>
      </rPr>
      <t>K1#地下车库</t>
    </r>
    <phoneticPr fontId="224" type="noConversion"/>
  </si>
  <si>
    <t>层数</t>
    <phoneticPr fontId="224" type="noConversion"/>
  </si>
  <si>
    <t>楼号</t>
    <phoneticPr fontId="224" type="noConversion"/>
  </si>
  <si>
    <t>小计</t>
    <phoneticPr fontId="224" type="noConversion"/>
  </si>
  <si>
    <t>地上</t>
    <phoneticPr fontId="224" type="noConversion"/>
  </si>
  <si>
    <t>地下</t>
    <phoneticPr fontId="224" type="noConversion"/>
  </si>
  <si>
    <t>物业用房</t>
    <phoneticPr fontId="224" type="noConversion"/>
  </si>
  <si>
    <t>小型商服</t>
    <phoneticPr fontId="224" type="noConversion"/>
  </si>
  <si>
    <t>设备及其他</t>
    <phoneticPr fontId="224" type="noConversion"/>
  </si>
  <si>
    <t>人防</t>
    <phoneticPr fontId="224" type="noConversion"/>
  </si>
  <si>
    <t>地下车库</t>
    <phoneticPr fontId="224" type="noConversion"/>
  </si>
  <si>
    <t>储藏间</t>
    <phoneticPr fontId="224" type="noConversion"/>
  </si>
  <si>
    <t>公共服务配套</t>
    <phoneticPr fontId="224" type="noConversion"/>
  </si>
  <si>
    <t>延庆区南辛堡村、民主村、百眼泉村棚户区改造项目YQ00-0309-0017地块R2二类居住用地</t>
    <phoneticPr fontId="6" type="noConversion"/>
  </si>
  <si>
    <t>不含人防合计</t>
    <phoneticPr fontId="224" type="noConversion"/>
  </si>
  <si>
    <t>经营性用途</t>
    <phoneticPr fontId="224" type="noConversion"/>
  </si>
  <si>
    <t>类别</t>
    <phoneticPr fontId="224" type="noConversion"/>
  </si>
  <si>
    <t>拟建类型</t>
    <phoneticPr fontId="224" type="noConversion"/>
  </si>
  <si>
    <t>洋房住宅</t>
    <phoneticPr fontId="224" type="noConversion"/>
  </si>
  <si>
    <t>规划建筑面积</t>
    <phoneticPr fontId="224" type="noConversion"/>
  </si>
  <si>
    <t>容积率</t>
    <phoneticPr fontId="224" type="noConversion"/>
  </si>
  <si>
    <t>地下车库</t>
  </si>
  <si>
    <t>地下车库</t>
    <phoneticPr fontId="224" type="noConversion"/>
  </si>
  <si>
    <t>地下仓储</t>
  </si>
  <si>
    <t>地下仓储</t>
    <phoneticPr fontId="224" type="noConversion"/>
  </si>
  <si>
    <t>住宅-洋房</t>
  </si>
  <si>
    <t>住宅-洋房</t>
    <phoneticPr fontId="7" type="noConversion"/>
  </si>
  <si>
    <t>地下仓储</t>
    <phoneticPr fontId="7" type="noConversion"/>
  </si>
  <si>
    <t>百泉街道</t>
    <phoneticPr fontId="3" type="noConversion"/>
  </si>
  <si>
    <t>http://www.bjyq.gov.cn/yanqing/zwgk/gfxwj/qzfbmwj/yq23207430/</t>
    <phoneticPr fontId="224" type="noConversion"/>
  </si>
  <si>
    <t>合计</t>
    <phoneticPr fontId="3" type="noConversion"/>
  </si>
  <si>
    <t>项目全部</t>
    <phoneticPr fontId="3" type="noConversion"/>
  </si>
  <si>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</si>
  <si>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</si>
  <si>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</si>
  <si>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</si>
  <si>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</si>
  <si>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</si>
  <si>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</si>
  <si>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</si>
  <si>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</si>
  <si>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</si>
  <si>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估价对象</t>
    <phoneticPr fontId="3" type="noConversion"/>
  </si>
  <si>
    <t>用途</t>
    <phoneticPr fontId="3" type="noConversion"/>
  </si>
  <si>
    <t>建面</t>
    <phoneticPr fontId="3" type="noConversion"/>
  </si>
  <si>
    <t>单方</t>
    <phoneticPr fontId="3" type="noConversion"/>
  </si>
  <si>
    <t>合计</t>
    <phoneticPr fontId="3" type="noConversion"/>
  </si>
  <si>
    <t>地上住宅</t>
    <phoneticPr fontId="3" type="noConversion"/>
  </si>
  <si>
    <t>室外工程</t>
    <phoneticPr fontId="3" type="noConversion"/>
  </si>
  <si>
    <t>地下车库</t>
    <phoneticPr fontId="3" type="noConversion"/>
  </si>
  <si>
    <t>地下仓储</t>
    <phoneticPr fontId="3" type="noConversion"/>
  </si>
  <si>
    <t>设备及其他</t>
    <phoneticPr fontId="3" type="noConversion"/>
  </si>
  <si>
    <r>
      <t>8</t>
    </r>
    <r>
      <rPr>
        <sz val="10"/>
        <color indexed="8"/>
        <rFont val="宋体"/>
        <family val="3"/>
        <charset val="134"/>
      </rPr>
      <t>层</t>
    </r>
    <phoneticPr fontId="3" type="noConversion"/>
  </si>
  <si>
    <r>
      <t>1</t>
    </r>
    <r>
      <rPr>
        <sz val="10"/>
        <color indexed="8"/>
        <rFont val="宋体"/>
        <family val="3"/>
        <charset val="134"/>
      </rPr>
      <t>层</t>
    </r>
    <phoneticPr fontId="3" type="noConversion"/>
  </si>
  <si>
    <t>较好</t>
  </si>
  <si>
    <t>一般</t>
  </si>
  <si>
    <t>七通</t>
  </si>
  <si>
    <t>楼面地价</t>
  </si>
  <si>
    <t>住宅</t>
    <phoneticPr fontId="26" type="noConversion"/>
  </si>
  <si>
    <t>楼面单价</t>
    <phoneticPr fontId="224" type="noConversion"/>
  </si>
  <si>
    <t>较差</t>
  </si>
  <si>
    <t>十级</t>
    <phoneticPr fontId="26" type="noConversion"/>
  </si>
  <si>
    <t>九级</t>
    <phoneticPr fontId="26"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</si>
  <si>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</si>
  <si>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</si>
  <si>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</si>
  <si>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</si>
  <si>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</si>
  <si>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</si>
  <si>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26" type="noConversion"/>
  </si>
  <si>
    <t>较规则</t>
  </si>
  <si>
    <t>五通</t>
  </si>
  <si>
    <t>四通</t>
  </si>
  <si>
    <t>六通</t>
  </si>
  <si>
    <t>期房，小高层，大平层，2024年均价26159元，2021年11月开盘</t>
  </si>
  <si>
    <t>估价对象成交楼面价</t>
    <phoneticPr fontId="26" type="noConversion"/>
  </si>
  <si>
    <t>比较法-住宅、综合</t>
  </si>
  <si>
    <t>剩余法-待开发</t>
  </si>
  <si>
    <t>情况3</t>
  </si>
  <si>
    <t>正常</t>
  </si>
  <si>
    <t>自行开发建设</t>
  </si>
  <si>
    <t>非个人房产</t>
  </si>
  <si>
    <t>仅含出让金</t>
  </si>
  <si>
    <t>土地费用</t>
    <phoneticPr fontId="224" type="noConversion"/>
  </si>
  <si>
    <t>所得税</t>
    <phoneticPr fontId="224" type="noConversion"/>
  </si>
  <si>
    <t>地价款</t>
    <phoneticPr fontId="224" type="noConversion"/>
  </si>
  <si>
    <t>北京住总山澜阙府</t>
    <phoneticPr fontId="3" type="noConversion"/>
  </si>
  <si>
    <t>售价</t>
  </si>
  <si>
    <t>住宅</t>
    <phoneticPr fontId="21"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</si>
  <si>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</si>
  <si>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</si>
  <si>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</si>
  <si>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</si>
  <si>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</si>
  <si>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</si>
  <si>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</si>
  <si>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</si>
  <si>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</si>
  <si>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</si>
  <si>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</si>
  <si>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</si>
  <si>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</si>
  <si>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</si>
  <si>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</si>
  <si>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</si>
  <si>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</si>
  <si>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21" type="noConversion"/>
  </si>
  <si>
    <t>平层</t>
  </si>
  <si>
    <t>平层</t>
    <phoneticPr fontId="21" type="noConversion"/>
  </si>
  <si>
    <t>地下车库</t>
    <phoneticPr fontId="27" type="noConversion"/>
  </si>
  <si>
    <t>开盘至今整体销售去化情况</t>
    <phoneticPr fontId="3" type="noConversion"/>
  </si>
  <si>
    <t>元/车位</t>
  </si>
  <si>
    <t>无</t>
    <phoneticPr fontId="3" type="noConversion"/>
  </si>
  <si>
    <r>
      <t>1</t>
    </r>
    <r>
      <rPr>
        <sz val="11"/>
        <rFont val="宋体"/>
        <family val="3"/>
        <charset val="134"/>
      </rPr>
      <t>：</t>
    </r>
    <r>
      <rPr>
        <sz val="11"/>
        <rFont val="Arial"/>
        <family val="2"/>
      </rPr>
      <t>0.91</t>
    </r>
    <phoneticPr fontId="3" type="noConversion"/>
  </si>
  <si>
    <r>
      <t>1</t>
    </r>
    <r>
      <rPr>
        <sz val="11"/>
        <rFont val="宋体"/>
        <family val="3"/>
        <charset val="134"/>
      </rPr>
      <t>：</t>
    </r>
    <r>
      <rPr>
        <sz val="11"/>
        <rFont val="Arial"/>
        <family val="2"/>
      </rPr>
      <t>1.2</t>
    </r>
    <phoneticPr fontId="3" type="noConversion"/>
  </si>
  <si>
    <t>平面车位</t>
    <phoneticPr fontId="3" type="noConversion"/>
  </si>
  <si>
    <t>专业</t>
  </si>
  <si>
    <t>专业</t>
    <phoneticPr fontId="27" type="noConversion"/>
  </si>
  <si>
    <t>普通</t>
    <phoneticPr fontId="27" type="noConversion"/>
  </si>
  <si>
    <t>商品房</t>
    <phoneticPr fontId="3" type="noConversion"/>
  </si>
  <si>
    <t>共有产权房</t>
    <phoneticPr fontId="3" type="noConversion"/>
  </si>
  <si>
    <t>是</t>
    <phoneticPr fontId="27" type="noConversion"/>
  </si>
  <si>
    <t>否</t>
    <phoneticPr fontId="27" type="noConversion"/>
  </si>
  <si>
    <t>地下仓储</t>
    <phoneticPr fontId="27" type="noConversion"/>
  </si>
  <si>
    <t>地块名称</t>
  </si>
  <si>
    <t>城市</t>
  </si>
  <si>
    <t>区县</t>
  </si>
  <si>
    <t>板块</t>
  </si>
  <si>
    <t>地块编号</t>
  </si>
  <si>
    <t>建设用地面积(㎡)</t>
  </si>
  <si>
    <t>规划建筑面积(㎡)</t>
  </si>
  <si>
    <t>用地性质</t>
  </si>
  <si>
    <t>详细规划</t>
  </si>
  <si>
    <t>出让年限(年)</t>
  </si>
  <si>
    <t>商业比例(%)</t>
  </si>
  <si>
    <t>出让方式</t>
  </si>
  <si>
    <t>集中供地</t>
  </si>
  <si>
    <t>成交特殊政策</t>
  </si>
  <si>
    <t>成交时间</t>
  </si>
  <si>
    <t>交易状态</t>
  </si>
  <si>
    <t>开工进度</t>
  </si>
  <si>
    <t>受让单位</t>
  </si>
  <si>
    <t>成交价(万元)</t>
  </si>
  <si>
    <t>成交土地单价(元/㎡)</t>
  </si>
  <si>
    <t>成交每亩价(万元/亩)</t>
  </si>
  <si>
    <t>成交楼面价(元/㎡)</t>
  </si>
  <si>
    <t>成交楼面价(除保障房)(元/㎡)</t>
  </si>
  <si>
    <t>溢价率(%)</t>
  </si>
  <si>
    <t>限地价(万元)</t>
  </si>
  <si>
    <t>政府指导价(元/㎡)</t>
  </si>
  <si>
    <t>限售价(元/㎡)</t>
  </si>
  <si>
    <t>房地价差(元/㎡)</t>
  </si>
  <si>
    <t>基准地价</t>
  </si>
  <si>
    <t>项目名称</t>
  </si>
  <si>
    <t>北京市延庆区南辛堡村、民主村、百眼泉村棚户区改造项目YQ00-0309-0017地块R2二类居住用地</t>
  </si>
  <si>
    <t>延庆区</t>
  </si>
  <si>
    <t>延庆镇</t>
  </si>
  <si>
    <t>京土储挂(延)[2024]037号</t>
  </si>
  <si>
    <t>住宅用地</t>
  </si>
  <si>
    <t>R2二类居住用地</t>
  </si>
  <si>
    <t>70年</t>
  </si>
  <si>
    <t>1.60</t>
  </si>
  <si>
    <t/>
  </si>
  <si>
    <t>挂牌</t>
  </si>
  <si>
    <t>限地价</t>
  </si>
  <si>
    <t>2024-10-15</t>
  </si>
  <si>
    <t>已成交</t>
  </si>
  <si>
    <t>已开工</t>
  </si>
  <si>
    <t>北京住总房地产开发有限责任公司</t>
  </si>
  <si>
    <t>5540元/㎡(九级住宅用途2021-01-01)</t>
  </si>
  <si>
    <t>北京市怀柔区雁栖镇03-01、03-02、03-03、03-04、03-05、03-06地块F1住宅混合公建用地、F3其他类多功能用地(怀柔雁栖小镇C区土地一级开发项目)</t>
  </si>
  <si>
    <t>怀柔区</t>
  </si>
  <si>
    <t>雁栖</t>
  </si>
  <si>
    <t>京土储挂(怀)[2024]011号</t>
  </si>
  <si>
    <t>综合用地(含住宅)</t>
  </si>
  <si>
    <t>住宅 办公</t>
  </si>
  <si>
    <t>住宅70年办公40年</t>
  </si>
  <si>
    <t>≤1.11</t>
  </si>
  <si>
    <t>2024-03-26</t>
  </si>
  <si>
    <t>未开工</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</si>
  <si>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</si>
  <si>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</si>
  <si>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</si>
  <si>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</si>
  <si>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居住70年商业40年办公50年</t>
  </si>
  <si>
    <t>≤1.09</t>
  </si>
  <si>
    <t>2023-11-01</t>
  </si>
  <si>
    <t>北京怀柔科学城置业有限公司</t>
  </si>
  <si>
    <t>3630元/㎡(十级住宅用途2021-01-01)</t>
  </si>
  <si>
    <t>雁栖小镇（B区）</t>
  </si>
  <si>
    <t>北京市密云区水源路南侧C-2地块土地一级开发项目MY00-0105-6038、6040地块R2二类居住用地</t>
  </si>
  <si>
    <t>密云区</t>
  </si>
  <si>
    <t>鼓楼</t>
  </si>
  <si>
    <t>京土储挂(密)[2023]049号</t>
  </si>
  <si>
    <t>城镇住宅-普通商品住房用地</t>
  </si>
  <si>
    <t>1.80</t>
  </si>
  <si>
    <t>2023-10-10</t>
  </si>
  <si>
    <t>北京祥业房地产有限公司</t>
  </si>
  <si>
    <t>住总国祥誉</t>
  </si>
  <si>
    <t>北京市延庆区南辛堡村、民主村、百眼泉村棚户区改造项目YQ00-0309-0007地块R2二类居住用地</t>
  </si>
  <si>
    <t>限地价,限房价</t>
  </si>
  <si>
    <t>2023-08-09</t>
  </si>
  <si>
    <t>北京市平谷区兴谷新消费综合体项目PG00-0106-0104地块R2二类居住用地</t>
  </si>
  <si>
    <t>平谷区</t>
  </si>
  <si>
    <t>兴谷</t>
  </si>
  <si>
    <t>≤1.2</t>
  </si>
  <si>
    <t>2023-06-30</t>
  </si>
  <si>
    <t>北京辰禾嘉业房地产开发有限公司</t>
  </si>
  <si>
    <t>北京市密云区十里堡镇王各庄棚户区改造项目MY00-0500-0001地块R2二类居住用地</t>
  </si>
  <si>
    <t>十里堡镇</t>
  </si>
  <si>
    <t>住宅70年</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</si>
  <si>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</si>
  <si>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</si>
  <si>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</si>
  <si>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</si>
  <si>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</si>
  <si>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</si>
  <si>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</si>
  <si>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</si>
  <si>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锦云府</t>
  </si>
  <si>
    <t>北京市平谷区府前街旧城棚户区改造项目(二期)B、D地块原PG-0005-0065、PG-0005-0074(B地块)、原PG00-0005-0035-01西部(D地块)、原PG00-0005-0035</t>
  </si>
  <si>
    <t>滨河</t>
  </si>
  <si>
    <t>京土储挂(平)[2022]037号</t>
  </si>
  <si>
    <t>R2二类居住用地、F3其他类多功能用地</t>
  </si>
  <si>
    <t>原pg-0005-0065、74(b地块)容积率2.4,原pg00-0005-0035-01西部(d地块)容积率2.5,原pg00-0005-0035-01东部(d地块)容积率2.4</t>
  </si>
  <si>
    <t>2022年第2批次</t>
  </si>
  <si>
    <t>限房价,限地价</t>
  </si>
  <si>
    <t>2022-05-31</t>
  </si>
  <si>
    <t>京能置业股份有限公司 、北京城谷恒泰房地产开发有限公司</t>
  </si>
  <si>
    <t>7830元/㎡(八级住宅用途2021-01-01)</t>
  </si>
  <si>
    <t>北京城建·京能·樾园</t>
  </si>
  <si>
    <t>北京市怀柔区雁栖镇01-01、01-02、01-03、01-04地块F2公建混合住宅用地、F3其他类多功能用地(怀柔雁栖小镇土地一级开发项目)</t>
  </si>
  <si>
    <t>京土储挂(怀)[2022]015号</t>
  </si>
  <si>
    <t>F2公建混合住宅用地、F3其他类多功能用地</t>
  </si>
  <si>
    <t>住宅70年、办公50年</t>
  </si>
  <si>
    <t>01-01地块和01-04地块容积率1.3,01-02地块容积率1.4,01-03地块容积率2.0</t>
  </si>
  <si>
    <t>2022年第1批次</t>
  </si>
  <si>
    <t>2022-02-16</t>
  </si>
  <si>
    <t>已竣工</t>
  </si>
  <si>
    <t>北京怀柔科学城建设发展有限公司</t>
  </si>
  <si>
    <t>北京市延庆区小营村,石河营村棚户区改造和环境整治项目YQ00-0006-0029地块R2二类居住用地</t>
  </si>
  <si>
    <t>京土整储挂(延)[2021]088号</t>
  </si>
  <si>
    <t>居住70年,商业40年,办公51年</t>
  </si>
  <si>
    <t>2021年第3批次</t>
  </si>
  <si>
    <t>2021-12-24</t>
  </si>
  <si>
    <t>中建京西建设发展有限公司</t>
  </si>
  <si>
    <t>中建·上源府</t>
  </si>
  <si>
    <t>北京市密云区水源路南侧MY00-0104-6016等地块R2二类居住用地</t>
  </si>
  <si>
    <t>京土整储挂(密)[2021]087号</t>
  </si>
  <si>
    <t>居住70年,商业40年,办公53年</t>
  </si>
  <si>
    <t>北京祥业房地产有限公司 、北京首都开发股份有限公司 、北京旭科置业有限公司和北京密云城市建设投资开发有限公司</t>
  </si>
  <si>
    <t>国祥源境</t>
  </si>
  <si>
    <t>北京市平谷区马昌营镇(沥青厂)PG12-0102-6001、6002地块R2二类居住用地、0004地块公园绿地、0019地块防护绿地</t>
  </si>
  <si>
    <t>大兴庄镇</t>
  </si>
  <si>
    <t>京土整储招(平)[2021]075号</t>
  </si>
  <si>
    <t>R2二类居住用地、公园绿地、防护绿地</t>
  </si>
  <si>
    <t>≤2.5</t>
  </si>
  <si>
    <t>招标</t>
  </si>
  <si>
    <t>2021年第2批次</t>
  </si>
  <si>
    <t>限房价</t>
  </si>
  <si>
    <t>2021-09-26</t>
  </si>
  <si>
    <t>北京城乡房屋建设开发有限责任公司</t>
  </si>
  <si>
    <t>晟贤悦府</t>
  </si>
  <si>
    <t>北京市密云区檀营乡6005地块R2二类居住用地</t>
  </si>
  <si>
    <t>檀营</t>
  </si>
  <si>
    <t>京土整储挂(密)[2021]026号</t>
  </si>
  <si>
    <t>居住70年、商业40年、办公50年</t>
  </si>
  <si>
    <t>≤2.0</t>
  </si>
  <si>
    <t>2021年第1批次</t>
  </si>
  <si>
    <t>限地价,报高标准商品住宅建设方案</t>
  </si>
  <si>
    <t>2021-05-25</t>
  </si>
  <si>
    <t>北京祥业房地产有限公司 、北京首都开发股份有限公司 、北京兴添咨询服务有限公司 、北京花亿里房地产开发有限公司</t>
  </si>
  <si>
    <t>国祥雲著</t>
  </si>
  <si>
    <t>北京市怀柔区刘各长村棚户区改造土地开发项目HR00-0101-6049、6200、6201、6202、6203地块R2二类居住用地等</t>
  </si>
  <si>
    <t>怀柔</t>
  </si>
  <si>
    <t>京土整储挂(怀)[2021]027号</t>
  </si>
  <si>
    <t>R2二类居住用地、B4综合性商业金融服务业用地、A334托幼用地</t>
  </si>
  <si>
    <t>≤1.83</t>
  </si>
  <si>
    <t>2021-05-08</t>
  </si>
  <si>
    <t>北京天恒正同资产管理有限公司 、青岛越星房地产开发有限公司</t>
  </si>
  <si>
    <t>越秀天恒·怀山府</t>
  </si>
  <si>
    <t>京土储挂(延)[2023]041号</t>
    <phoneticPr fontId="224" type="noConversion"/>
  </si>
  <si>
    <t>京土储挂(平)[2023]030号</t>
    <phoneticPr fontId="224" type="noConversion"/>
  </si>
  <si>
    <t>京土储挂(密)[2022]058号</t>
    <phoneticPr fontId="224" type="noConversion"/>
  </si>
  <si>
    <t>配建养老建面</t>
    <phoneticPr fontId="224" type="noConversion"/>
  </si>
  <si>
    <t>其他配建建面</t>
    <phoneticPr fontId="224" type="noConversion"/>
  </si>
  <si>
    <t>规划建面</t>
    <phoneticPr fontId="224" type="noConversion"/>
  </si>
  <si>
    <t>规划总建面=住宅+配套养老</t>
    <phoneticPr fontId="224" type="noConversion"/>
  </si>
  <si>
    <t>可售住宅建面</t>
    <phoneticPr fontId="224" type="noConversion"/>
  </si>
  <si>
    <t>拿地价</t>
    <phoneticPr fontId="224" type="noConversion"/>
  </si>
  <si>
    <t>可售楼面单价</t>
    <phoneticPr fontId="224" type="noConversion"/>
  </si>
  <si>
    <t>配建成本</t>
    <phoneticPr fontId="224" type="noConversion"/>
  </si>
  <si>
    <t>合计</t>
    <phoneticPr fontId="224" type="noConversion"/>
  </si>
  <si>
    <t>拿地价+配建合计</t>
    <phoneticPr fontId="224" type="noConversion"/>
  </si>
  <si>
    <t>占比</t>
    <phoneticPr fontId="224" type="noConversion"/>
  </si>
  <si>
    <t>配套建面</t>
    <phoneticPr fontId="224" type="noConversion"/>
  </si>
  <si>
    <t>可售单价</t>
    <phoneticPr fontId="224" type="noConversion"/>
  </si>
  <si>
    <t>配套成本</t>
    <phoneticPr fontId="224" type="noConversion"/>
  </si>
  <si>
    <t>配套+拿地价</t>
    <phoneticPr fontId="224" type="noConversion"/>
  </si>
  <si>
    <t>占比</t>
    <phoneticPr fontId="224" type="noConversion"/>
  </si>
  <si>
    <t>估价对象</t>
    <phoneticPr fontId="224" type="noConversion"/>
  </si>
  <si>
    <t>住总山澜樾府</t>
    <phoneticPr fontId="224" type="noConversion"/>
  </si>
  <si>
    <t>住总山澜樾府</t>
    <phoneticPr fontId="26" type="noConversion"/>
  </si>
  <si>
    <t>紫贵丽景花园</t>
    <phoneticPr fontId="224" type="noConversion"/>
  </si>
  <si>
    <t>紫贵丽景花园</t>
    <phoneticPr fontId="26" type="noConversion"/>
  </si>
  <si>
    <t>国祥星宸</t>
    <phoneticPr fontId="224" type="noConversion"/>
  </si>
  <si>
    <t>国祥星宸</t>
    <phoneticPr fontId="26" type="noConversion"/>
  </si>
  <si>
    <t>配建建安占比约1%</t>
    <phoneticPr fontId="26" type="noConversion"/>
  </si>
  <si>
    <t>无</t>
    <phoneticPr fontId="26" type="noConversion"/>
  </si>
  <si>
    <t>楼面单价为可售成交楼面单价</t>
    <phoneticPr fontId="26" type="noConversion"/>
  </si>
  <si>
    <t>https://j.map.baidu.com/fb/CLPi</t>
    <phoneticPr fontId="224" type="noConversion"/>
  </si>
  <si>
    <t>区县：延庆区；分析周期：2024年01月 至 2024年11月；物业类型：普通住宅</t>
  </si>
  <si>
    <t>成交套数</t>
  </si>
  <si>
    <t>成交面积(㎡)</t>
  </si>
  <si>
    <t>成交价格</t>
  </si>
  <si>
    <t>成交金额(万元)</t>
  </si>
  <si>
    <t>可售套数</t>
  </si>
  <si>
    <t>可售面积(㎡)</t>
  </si>
  <si>
    <t>世园村</t>
  </si>
  <si>
    <t>上源府</t>
  </si>
  <si>
    <t>碧桂园·世奥龙鼎</t>
  </si>
  <si>
    <t>大榆树镇</t>
  </si>
  <si>
    <t>清凉盛景</t>
  </si>
  <si>
    <t>八达岭</t>
  </si>
  <si>
    <t>住总山澜樾府</t>
    <phoneticPr fontId="3" type="noConversion"/>
  </si>
  <si>
    <t>上源府</t>
    <phoneticPr fontId="224" type="noConversion"/>
  </si>
  <si>
    <t>上源府</t>
    <phoneticPr fontId="3" type="noConversion"/>
  </si>
  <si>
    <t>北京住总山澜阙府</t>
    <phoneticPr fontId="224" type="noConversion"/>
  </si>
  <si>
    <r>
      <rPr>
        <sz val="11"/>
        <rFont val="宋体"/>
        <family val="3"/>
        <charset val="134"/>
      </rPr>
      <t>期房，洋房，</t>
    </r>
    <r>
      <rPr>
        <sz val="11"/>
        <rFont val="Arial"/>
        <family val="2"/>
      </rPr>
      <t>2024</t>
    </r>
    <r>
      <rPr>
        <sz val="11"/>
        <rFont val="宋体"/>
        <family val="3"/>
        <charset val="134"/>
      </rPr>
      <t>年均价</t>
    </r>
    <r>
      <rPr>
        <sz val="11"/>
        <rFont val="Arial"/>
        <family val="2"/>
      </rPr>
      <t>28372</t>
    </r>
    <r>
      <rPr>
        <sz val="11"/>
        <rFont val="宋体"/>
        <family val="3"/>
        <charset val="134"/>
      </rPr>
      <t>元，</t>
    </r>
    <r>
      <rPr>
        <sz val="11"/>
        <rFont val="Arial"/>
        <family val="2"/>
      </rPr>
      <t>2023.12</t>
    </r>
    <r>
      <rPr>
        <sz val="11"/>
        <rFont val="宋体"/>
        <family val="3"/>
        <charset val="134"/>
      </rPr>
      <t>月开盘，开盘均价</t>
    </r>
    <r>
      <rPr>
        <sz val="11"/>
        <rFont val="Arial"/>
        <family val="2"/>
      </rPr>
      <t>28500</t>
    </r>
    <phoneticPr fontId="26" type="noConversion"/>
  </si>
  <si>
    <t>现房</t>
    <phoneticPr fontId="224" type="noConversion"/>
  </si>
  <si>
    <t>期房</t>
    <phoneticPr fontId="224" type="noConversion"/>
  </si>
  <si>
    <t>现房+期房</t>
    <phoneticPr fontId="224" type="noConversion"/>
  </si>
  <si>
    <t>现房+期房（现房均价22904，期房均价25236）</t>
    <phoneticPr fontId="224" type="noConversion"/>
  </si>
  <si>
    <t>区县：延庆区；分析周期：2024年01月 至 2024年11月；物业类型：车库/车位</t>
  </si>
  <si>
    <t>批准上市套数</t>
  </si>
  <si>
    <t>批准上市面积(㎡)</t>
  </si>
  <si>
    <t>京北幸福园</t>
  </si>
  <si>
    <t>中交富力雅郡</t>
  </si>
  <si>
    <t>文成商务中心</t>
  </si>
  <si>
    <t>樾熙府</t>
  </si>
  <si>
    <t>单个面积</t>
    <phoneticPr fontId="224" type="noConversion"/>
  </si>
  <si>
    <t>单个售价</t>
    <phoneticPr fontId="224" type="noConversion"/>
  </si>
  <si>
    <t>全部可售面积</t>
    <phoneticPr fontId="224" type="noConversion"/>
  </si>
  <si>
    <t>全部可售套数</t>
    <phoneticPr fontId="224" type="noConversion"/>
  </si>
  <si>
    <t>全部已售面积</t>
    <phoneticPr fontId="224" type="noConversion"/>
  </si>
  <si>
    <t>全部已售套数</t>
    <phoneticPr fontId="224" type="noConversion"/>
  </si>
  <si>
    <t>去化率</t>
    <phoneticPr fontId="224" type="noConversion"/>
  </si>
  <si>
    <t>中交富力雅郡</t>
    <phoneticPr fontId="224" type="noConversion"/>
  </si>
  <si>
    <t>世园村</t>
    <phoneticPr fontId="224" type="noConversion"/>
  </si>
  <si>
    <t>商业</t>
    <phoneticPr fontId="224" type="noConversion"/>
  </si>
  <si>
    <t>共有产权房</t>
    <phoneticPr fontId="224" type="noConversion"/>
  </si>
  <si>
    <t>区县：延庆区；分析周期：2024年01月 至 2024年11月；物业类型：储物间,仓储</t>
  </si>
  <si>
    <t>城建万科城</t>
  </si>
  <si>
    <t>沈家营镇</t>
  </si>
  <si>
    <r>
      <rPr>
        <sz val="11"/>
        <rFont val="宋体"/>
        <family val="3"/>
        <charset val="134"/>
      </rPr>
      <t>期房，小高层，</t>
    </r>
    <r>
      <rPr>
        <sz val="11"/>
        <rFont val="Arial"/>
        <family val="2"/>
      </rPr>
      <t>2024</t>
    </r>
    <r>
      <rPr>
        <sz val="11"/>
        <rFont val="宋体"/>
        <family val="3"/>
        <charset val="134"/>
      </rPr>
      <t>年均价</t>
    </r>
    <r>
      <rPr>
        <sz val="11"/>
        <rFont val="Arial"/>
        <family val="2"/>
      </rPr>
      <t>31181</t>
    </r>
    <r>
      <rPr>
        <sz val="11"/>
        <rFont val="宋体"/>
        <family val="3"/>
        <charset val="134"/>
      </rPr>
      <t>元，</t>
    </r>
    <r>
      <rPr>
        <sz val="11"/>
        <rFont val="Arial"/>
        <family val="2"/>
      </rPr>
      <t>2024.6</t>
    </r>
    <r>
      <rPr>
        <sz val="11"/>
        <rFont val="宋体"/>
        <family val="3"/>
        <charset val="134"/>
      </rPr>
      <t>月开盘</t>
    </r>
    <phoneticPr fontId="26" type="noConversion"/>
  </si>
  <si>
    <t>期房</t>
    <phoneticPr fontId="21" type="noConversion"/>
  </si>
  <si>
    <t>现房</t>
    <phoneticPr fontId="21" type="noConversion"/>
  </si>
  <si>
    <t>洋房</t>
  </si>
  <si>
    <t>洋房</t>
    <phoneticPr fontId="3" type="noConversion"/>
  </si>
  <si>
    <t>钢混</t>
  </si>
  <si>
    <t>中高档</t>
  </si>
  <si>
    <t>精装修</t>
  </si>
  <si>
    <t>高档</t>
  </si>
  <si>
    <t>销售状态</t>
    <phoneticPr fontId="21" type="noConversion"/>
  </si>
  <si>
    <t>北京住总山澜阙府</t>
    <phoneticPr fontId="3" type="noConversion"/>
  </si>
  <si>
    <t>世园村</t>
    <phoneticPr fontId="3" type="noConversion"/>
  </si>
  <si>
    <r>
      <rPr>
        <sz val="11"/>
        <color indexed="8"/>
        <rFont val="宋体"/>
        <family val="3"/>
        <charset val="134"/>
      </rPr>
      <t>去化率93</t>
    </r>
    <r>
      <rPr>
        <sz val="11"/>
        <color indexed="8"/>
        <rFont val="Arial"/>
        <family val="2"/>
      </rPr>
      <t>%</t>
    </r>
    <phoneticPr fontId="27" type="noConversion"/>
  </si>
  <si>
    <r>
      <rPr>
        <sz val="11"/>
        <color indexed="8"/>
        <rFont val="宋体"/>
        <family val="3"/>
        <charset val="134"/>
      </rPr>
      <t>去化率38</t>
    </r>
    <r>
      <rPr>
        <sz val="11"/>
        <color indexed="8"/>
        <rFont val="Arial"/>
        <family val="2"/>
      </rPr>
      <t>%</t>
    </r>
    <phoneticPr fontId="27" type="noConversion"/>
  </si>
  <si>
    <r>
      <rPr>
        <sz val="11"/>
        <color indexed="8"/>
        <rFont val="宋体"/>
        <family val="3"/>
        <charset val="134"/>
      </rPr>
      <t>去化率22</t>
    </r>
    <r>
      <rPr>
        <sz val="11"/>
        <color indexed="8"/>
        <rFont val="Arial"/>
        <family val="2"/>
      </rPr>
      <t>%</t>
    </r>
    <phoneticPr fontId="27" type="noConversion"/>
  </si>
  <si>
    <t>平面车位</t>
  </si>
  <si>
    <t>机械车位与充电桩车位是否都为产权车位，企业介绍还未确定</t>
    <phoneticPr fontId="224" type="noConversion"/>
  </si>
  <si>
    <t>设定产权车位</t>
    <phoneticPr fontId="15" type="noConversion"/>
  </si>
  <si>
    <t>拿地价</t>
    <phoneticPr fontId="9" type="noConversion"/>
  </si>
  <si>
    <t>建筑安装工程费</t>
    <phoneticPr fontId="224" type="noConversion"/>
  </si>
  <si>
    <t>建设工程其他费用</t>
    <phoneticPr fontId="224" type="noConversion"/>
  </si>
  <si>
    <t>预备费</t>
    <phoneticPr fontId="224" type="noConversion"/>
  </si>
  <si>
    <t>财务费</t>
    <phoneticPr fontId="224" type="noConversion"/>
  </si>
  <si>
    <t>经营资金</t>
    <phoneticPr fontId="224" type="noConversion"/>
  </si>
  <si>
    <t>经营税金及附加</t>
    <phoneticPr fontId="224" type="noConversion"/>
  </si>
  <si>
    <t>总成本</t>
    <phoneticPr fontId="224" type="noConversion"/>
  </si>
  <si>
    <t>精装修1000</t>
    <phoneticPr fontId="3" type="noConversion"/>
  </si>
  <si>
    <t>已缴纳</t>
    <phoneticPr fontId="9" type="noConversion"/>
  </si>
  <si>
    <t>未缴纳地价款及契税</t>
    <phoneticPr fontId="9" type="noConversion"/>
  </si>
  <si>
    <t>平面车位、充电桩车位</t>
    <phoneticPr fontId="3" type="noConversion"/>
  </si>
  <si>
    <t>去化率93%</t>
  </si>
  <si>
    <t>去化率38%</t>
  </si>
  <si>
    <t>去化率22%</t>
  </si>
  <si>
    <r>
      <rPr>
        <sz val="11"/>
        <rFont val="宋体"/>
        <family val="3"/>
        <charset val="134"/>
      </rPr>
      <t>设定去化率</t>
    </r>
    <r>
      <rPr>
        <sz val="11"/>
        <rFont val="Arial"/>
        <family val="2"/>
      </rPr>
      <t>100%</t>
    </r>
    <phoneticPr fontId="27" type="noConversion"/>
  </si>
  <si>
    <t>设定去化率100%</t>
    <phoneticPr fontId="27" type="noConversion"/>
  </si>
  <si>
    <t>总个数</t>
    <phoneticPr fontId="224" type="noConversion"/>
  </si>
  <si>
    <t>人防</t>
    <phoneticPr fontId="224" type="noConversion"/>
  </si>
  <si>
    <t>产权车位</t>
    <phoneticPr fontId="224" type="noConversion"/>
  </si>
  <si>
    <t>建面</t>
    <phoneticPr fontId="224" type="noConversion"/>
  </si>
  <si>
    <t>合计</t>
    <phoneticPr fontId="224" type="noConversion"/>
  </si>
  <si>
    <t>个数</t>
    <phoneticPr fontId="224" type="noConversion"/>
  </si>
  <si>
    <t>机械车位</t>
    <phoneticPr fontId="224" type="noConversion"/>
  </si>
  <si>
    <t>平面车位</t>
    <phoneticPr fontId="224" type="noConversion"/>
  </si>
  <si>
    <t>设定每组车位</t>
    <phoneticPr fontId="224" type="noConversion"/>
  </si>
  <si>
    <t>单个面积</t>
    <phoneticPr fontId="224" type="noConversion"/>
  </si>
  <si>
    <t>最终个数</t>
    <phoneticPr fontId="224" type="noConversion"/>
  </si>
  <si>
    <t>地下车库-平面车库</t>
  </si>
  <si>
    <t>地下车库-平面车库</t>
    <phoneticPr fontId="7" type="noConversion"/>
  </si>
  <si>
    <t>地下车库-机械车库</t>
  </si>
  <si>
    <t>地下车库-机械车库</t>
    <phoneticPr fontId="7" type="noConversion"/>
  </si>
  <si>
    <t>平层车位</t>
    <phoneticPr fontId="15" type="noConversion"/>
  </si>
  <si>
    <t>车位个数</t>
    <phoneticPr fontId="15" type="noConversion"/>
  </si>
  <si>
    <t>总个数</t>
    <phoneticPr fontId="15" type="noConversion"/>
  </si>
  <si>
    <t>100%（含）-90%</t>
    <phoneticPr fontId="27" type="noConversion"/>
  </si>
  <si>
    <t>90%（含）-80%</t>
    <phoneticPr fontId="27" type="noConversion"/>
  </si>
  <si>
    <t>80%（含）-70%</t>
    <phoneticPr fontId="27" type="noConversion"/>
  </si>
  <si>
    <t>70%（含）-60%</t>
    <phoneticPr fontId="27" type="noConversion"/>
  </si>
  <si>
    <t>60%（含）-50%</t>
    <phoneticPr fontId="27" type="noConversion"/>
  </si>
  <si>
    <t>50%（含）-40%</t>
    <phoneticPr fontId="27" type="noConversion"/>
  </si>
  <si>
    <t>40%（含）-30%</t>
    <phoneticPr fontId="27" type="noConversion"/>
  </si>
  <si>
    <t>30%（含）-20%</t>
    <phoneticPr fontId="27" type="noConversion"/>
  </si>
  <si>
    <t>20%（含以下</t>
  </si>
  <si>
    <t>单个面积</t>
    <phoneticPr fontId="15" type="noConversion"/>
  </si>
  <si>
    <t>售价</t>
    <phoneticPr fontId="15" type="noConversion"/>
  </si>
  <si>
    <t>南城新城区</t>
    <phoneticPr fontId="27" type="noConversion"/>
  </si>
  <si>
    <t>北城老城区</t>
    <phoneticPr fontId="27" type="noConversion"/>
  </si>
  <si>
    <t>《延庆区征收城市基础设施建设费管理办法》的通知延发改发〔2023〕8号</t>
    <phoneticPr fontId="224" type="noConversion"/>
  </si>
  <si>
    <t>期房</t>
    <phoneticPr fontId="21" type="noConversion"/>
  </si>
  <si>
    <t>机械车位</t>
    <phoneticPr fontId="15" type="noConversion"/>
  </si>
  <si>
    <t>土地（套用方法）</t>
  </si>
  <si>
    <t>自定义</t>
  </si>
  <si>
    <r>
      <rPr>
        <sz val="10"/>
        <color indexed="8"/>
        <rFont val="宋体"/>
        <family val="3"/>
        <charset val="134"/>
      </rPr>
      <t>如设定机械车位每组</t>
    </r>
    <r>
      <rPr>
        <sz val="10"/>
        <color indexed="8"/>
        <rFont val="Arial"/>
        <family val="2"/>
      </rPr>
      <t>2</t>
    </r>
    <r>
      <rPr>
        <sz val="10"/>
        <color indexed="8"/>
        <rFont val="宋体"/>
        <family val="3"/>
        <charset val="134"/>
      </rPr>
      <t>个</t>
    </r>
    <phoneticPr fontId="15" type="noConversion"/>
  </si>
  <si>
    <t>同为延庆区，在本项目北侧地块</t>
    <phoneticPr fontId="26" type="noConversion"/>
  </si>
  <si>
    <t>有</t>
    <phoneticPr fontId="26" type="noConversion"/>
  </si>
  <si>
    <t>有</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</si>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</sst>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u/>
      <sz val="11"/>
      <color theme="10"/>
      <name val="宋体"/>
      <family val="3"/>
      <charset val="134"/>
      <scheme val="minor"/>
    </font>
    <font>
      <sz val="11"/>
      <color theme="9" tint="-0.249977111117893"/>
      <name val="宋体"/>
      <family val="3"/>
      <charset val="134"/>
    </font>
    <font>
      <sz val="12"/>
      <color indexed="8"/>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applyNumberFormat="0" applyFill="0" applyBorder="0" applyAlignment="0" applyProtection="0">
      <alignment vertical="center"/>
    </xf>
  </cellStyleXfs>
  <cellXfs count="382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0" applyFont="1" applyAlignment="1">
      <alignment horizontal="left" vertical="center"/>
    </xf>
    <xf numFmtId="0" fontId="141" fillId="0" borderId="2" xfId="0" applyFont="1" applyBorder="1" applyAlignment="1">
      <alignment horizontal="left" vertical="center"/>
    </xf>
    <xf numFmtId="0" fontId="0" fillId="0" borderId="2" xfId="0" applyBorder="1" applyAlignment="1">
      <alignment horizontal="left" vertical="center"/>
    </xf>
    <xf numFmtId="0" fontId="142" fillId="0" borderId="2" xfId="0" applyFont="1" applyBorder="1" applyAlignment="1">
      <alignment horizontal="left" vertical="center"/>
    </xf>
    <xf numFmtId="0" fontId="0" fillId="0" borderId="5" xfId="0" applyBorder="1" applyAlignment="1">
      <alignment horizontal="left" vertical="center"/>
    </xf>
    <xf numFmtId="0" fontId="141" fillId="0" borderId="9" xfId="0" applyFont="1" applyBorder="1" applyAlignment="1">
      <alignment horizontal="left" vertical="center"/>
    </xf>
    <xf numFmtId="0" fontId="0" fillId="0" borderId="9" xfId="0" applyBorder="1" applyAlignment="1">
      <alignment horizontal="left" vertical="center"/>
    </xf>
    <xf numFmtId="0" fontId="141" fillId="0" borderId="11" xfId="0" applyFont="1"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141" fillId="0" borderId="0" xfId="0" applyFont="1" applyAlignment="1">
      <alignment horizontal="center" vertical="center"/>
    </xf>
    <xf numFmtId="0" fontId="141" fillId="0" borderId="0" xfId="0" applyFont="1" applyAlignment="1">
      <alignment horizontal="left" vertical="center" wrapText="1"/>
    </xf>
    <xf numFmtId="0" fontId="142" fillId="0" borderId="44" xfId="0" applyFont="1" applyBorder="1" applyAlignment="1">
      <alignment horizontal="left" vertical="center"/>
    </xf>
    <xf numFmtId="0" fontId="142" fillId="0" borderId="9" xfId="0" applyFont="1" applyBorder="1" applyAlignment="1">
      <alignment horizontal="left" vertical="center"/>
    </xf>
    <xf numFmtId="0" fontId="142" fillId="0" borderId="0" xfId="0" applyFont="1" applyAlignment="1">
      <alignment horizontal="left" vertical="center"/>
    </xf>
    <xf numFmtId="0" fontId="77" fillId="12" borderId="0" xfId="0" applyFont="1" applyFill="1" applyProtection="1">
      <alignment vertical="center"/>
      <protection locked="0"/>
    </xf>
    <xf numFmtId="0" fontId="301" fillId="0" borderId="0" xfId="18">
      <alignment vertical="center"/>
    </xf>
    <xf numFmtId="0" fontId="78" fillId="12" borderId="0" xfId="0" applyFont="1" applyFill="1" applyAlignment="1" applyProtection="1">
      <alignment horizontal="center" vertical="center"/>
      <protection locked="0"/>
    </xf>
    <xf numFmtId="180" fontId="72"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8" fillId="12" borderId="2" xfId="0" applyFont="1" applyFill="1" applyBorder="1" applyAlignment="1" applyProtection="1">
      <alignment horizontal="center" vertical="center"/>
      <protection locked="0"/>
    </xf>
    <xf numFmtId="177" fontId="72" fillId="12" borderId="2" xfId="0" applyNumberFormat="1" applyFont="1" applyFill="1" applyBorder="1" applyAlignment="1" applyProtection="1">
      <alignment horizontal="center" vertical="center"/>
      <protection locked="0"/>
    </xf>
    <xf numFmtId="0" fontId="72" fillId="12" borderId="2" xfId="0" applyFont="1" applyFill="1" applyBorder="1" applyAlignment="1" applyProtection="1">
      <alignment horizontal="center" vertical="center"/>
      <protection locked="0"/>
    </xf>
    <xf numFmtId="180" fontId="72" fillId="12" borderId="2" xfId="0" applyNumberFormat="1" applyFont="1" applyFill="1" applyBorder="1" applyAlignment="1" applyProtection="1">
      <alignment horizontal="center" vertical="center"/>
      <protection locked="0"/>
    </xf>
    <xf numFmtId="0" fontId="130" fillId="12" borderId="2" xfId="0" applyFont="1" applyFill="1" applyBorder="1" applyAlignment="1" applyProtection="1">
      <alignment horizontal="center" vertical="center"/>
      <protection locked="0"/>
    </xf>
    <xf numFmtId="0" fontId="81" fillId="12" borderId="2" xfId="0" applyFont="1" applyFill="1" applyBorder="1" applyAlignment="1" applyProtection="1">
      <alignment horizontal="center" vertical="center"/>
      <protection locked="0"/>
    </xf>
    <xf numFmtId="1" fontId="81" fillId="12" borderId="2" xfId="0" applyNumberFormat="1" applyFont="1" applyFill="1" applyBorder="1" applyAlignment="1" applyProtection="1">
      <alignment horizontal="center" vertical="center"/>
      <protection locked="0"/>
    </xf>
    <xf numFmtId="1" fontId="72" fillId="12" borderId="2" xfId="0" applyNumberFormat="1" applyFont="1" applyFill="1" applyBorder="1" applyAlignment="1" applyProtection="1">
      <alignment horizontal="center" vertical="center"/>
      <protection locked="0"/>
    </xf>
    <xf numFmtId="9" fontId="72" fillId="12" borderId="2" xfId="0" applyNumberFormat="1" applyFont="1" applyFill="1" applyBorder="1" applyAlignment="1" applyProtection="1">
      <alignment horizontal="center" vertical="center"/>
      <protection locked="0"/>
    </xf>
    <xf numFmtId="177" fontId="81" fillId="12" borderId="2" xfId="0" applyNumberFormat="1" applyFont="1" applyFill="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9" fontId="67" fillId="0" borderId="21" xfId="0" applyNumberFormat="1"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12" borderId="0" xfId="0" applyFont="1" applyFill="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77" fillId="0" borderId="25" xfId="0" applyFont="1" applyBorder="1" applyAlignment="1" applyProtection="1">
      <alignment horizontal="center" vertical="center" wrapText="1"/>
      <protection locked="0"/>
    </xf>
    <xf numFmtId="49" fontId="140" fillId="0" borderId="6" xfId="0" applyNumberFormat="1"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9" fontId="67" fillId="0" borderId="64" xfId="16" applyFont="1" applyFill="1" applyBorder="1" applyAlignment="1" applyProtection="1">
      <alignment horizontal="center" vertical="center" wrapText="1"/>
      <protection locked="0"/>
    </xf>
    <xf numFmtId="0" fontId="160" fillId="0" borderId="0" xfId="0" applyFont="1" applyAlignment="1">
      <alignment horizontal="left" vertical="center"/>
    </xf>
    <xf numFmtId="0" fontId="166" fillId="0" borderId="0" xfId="0" applyFont="1" applyAlignment="1">
      <alignment horizontal="left" vertical="center"/>
    </xf>
    <xf numFmtId="0" fontId="160" fillId="0" borderId="0" xfId="0" applyFont="1" applyAlignment="1">
      <alignment horizontal="center" vertical="center" wrapText="1"/>
    </xf>
    <xf numFmtId="0" fontId="160" fillId="0" borderId="0" xfId="0" applyFont="1" applyAlignment="1">
      <alignment horizontal="left" vertical="center" wrapText="1"/>
    </xf>
    <xf numFmtId="0" fontId="160" fillId="6" borderId="0" xfId="0" applyFont="1" applyFill="1" applyAlignment="1">
      <alignment horizontal="left" vertical="center"/>
    </xf>
    <xf numFmtId="0" fontId="160" fillId="16" borderId="0" xfId="0" applyFont="1" applyFill="1" applyAlignment="1">
      <alignment horizontal="left" vertical="center"/>
    </xf>
    <xf numFmtId="9" fontId="160" fillId="0" borderId="0" xfId="16" applyFont="1" applyAlignment="1">
      <alignment horizontal="left" vertical="center"/>
    </xf>
    <xf numFmtId="0" fontId="104" fillId="22" borderId="30" xfId="0" applyFont="1" applyFill="1" applyBorder="1" applyAlignment="1" applyProtection="1">
      <alignment vertical="center" wrapText="1"/>
      <protection locked="0"/>
    </xf>
    <xf numFmtId="0" fontId="208" fillId="12" borderId="0" xfId="0" applyFont="1" applyFill="1" applyProtection="1">
      <alignment vertical="center"/>
      <protection locked="0"/>
    </xf>
    <xf numFmtId="0" fontId="208" fillId="12" borderId="0" xfId="0" applyFont="1" applyFill="1" applyAlignment="1" applyProtection="1">
      <alignment horizontal="center" vertical="center"/>
      <protection locked="0"/>
    </xf>
    <xf numFmtId="49" fontId="77" fillId="0" borderId="20" xfId="0" applyNumberFormat="1" applyFont="1" applyBorder="1" applyAlignment="1" applyProtection="1">
      <alignment horizontal="center" vertical="center" wrapText="1"/>
      <protection locked="0"/>
    </xf>
    <xf numFmtId="0" fontId="301" fillId="0" borderId="0" xfId="18" applyNumberFormat="1" applyAlignment="1">
      <alignment horizontal="left" vertical="center"/>
    </xf>
    <xf numFmtId="0" fontId="0" fillId="6" borderId="0" xfId="0" applyFill="1" applyAlignment="1">
      <alignment horizontal="left" vertical="center"/>
    </xf>
    <xf numFmtId="0" fontId="141" fillId="6" borderId="0" xfId="0" applyFont="1" applyFill="1" applyAlignment="1">
      <alignment horizontal="left" vertical="center"/>
    </xf>
    <xf numFmtId="9" fontId="0" fillId="0" borderId="0" xfId="16" applyFont="1" applyAlignment="1">
      <alignment horizontal="left" vertical="center"/>
    </xf>
    <xf numFmtId="9" fontId="0" fillId="6" borderId="0" xfId="16" applyFont="1" applyFill="1" applyAlignment="1">
      <alignment horizontal="left" vertical="center"/>
    </xf>
    <xf numFmtId="0" fontId="77" fillId="0" borderId="5" xfId="0" applyFont="1" applyBorder="1" applyAlignment="1" applyProtection="1">
      <alignment horizontal="center" vertical="center" wrapText="1"/>
      <protection locked="0"/>
    </xf>
    <xf numFmtId="9" fontId="0" fillId="0" borderId="0" xfId="16" applyFont="1" applyFill="1" applyAlignment="1">
      <alignment horizontal="left" vertical="center"/>
    </xf>
    <xf numFmtId="182" fontId="80" fillId="5" borderId="0" xfId="0" applyNumberFormat="1" applyFont="1" applyFill="1" applyAlignment="1" applyProtection="1">
      <alignment horizontal="center" vertical="center" wrapText="1"/>
      <protection locked="0"/>
    </xf>
    <xf numFmtId="0" fontId="140" fillId="5" borderId="0" xfId="0" applyFont="1" applyFill="1" applyAlignment="1" applyProtection="1">
      <alignment horizontal="center" vertical="center"/>
      <protection locked="0"/>
    </xf>
    <xf numFmtId="182" fontId="140" fillId="5" borderId="0" xfId="0" applyNumberFormat="1" applyFont="1" applyFill="1" applyAlignment="1" applyProtection="1">
      <alignment horizontal="center" vertical="center" wrapText="1"/>
      <protection locked="0"/>
    </xf>
    <xf numFmtId="0" fontId="78" fillId="0" borderId="0" xfId="0" applyFont="1" applyAlignment="1" applyProtection="1">
      <protection locked="0"/>
    </xf>
    <xf numFmtId="0" fontId="78" fillId="5" borderId="0" xfId="0" applyFont="1" applyFill="1" applyProtection="1">
      <alignment vertical="center"/>
      <protection locked="0"/>
    </xf>
    <xf numFmtId="0" fontId="143" fillId="0" borderId="0" xfId="0" applyFont="1" applyAlignment="1">
      <alignment horizontal="left" vertical="center"/>
    </xf>
    <xf numFmtId="0" fontId="141" fillId="0" borderId="0" xfId="0" applyFont="1" applyAlignment="1">
      <alignment horizontal="left" vertical="center"/>
    </xf>
    <xf numFmtId="0" fontId="0" fillId="0" borderId="0" xfId="0" applyAlignment="1">
      <alignment horizontal="left" vertical="center"/>
    </xf>
    <xf numFmtId="0" fontId="303" fillId="0" borderId="0" xfId="0" applyFont="1" applyAlignment="1" applyProtection="1">
      <protection locked="0"/>
    </xf>
    <xf numFmtId="0" fontId="130" fillId="0" borderId="0" xfId="0" applyFont="1" applyAlignment="1" applyProtection="1">
      <protection locked="0"/>
    </xf>
    <xf numFmtId="0" fontId="81" fillId="0" borderId="0" xfId="0" applyFont="1" applyAlignment="1" applyProtection="1">
      <protection locked="0"/>
    </xf>
    <xf numFmtId="9" fontId="140" fillId="12" borderId="0" xfId="0" applyNumberFormat="1" applyFont="1" applyFill="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0" fontId="0" fillId="8" borderId="5" xfId="0" applyFill="1" applyBorder="1" applyAlignment="1">
      <alignment horizontal="left" vertical="center"/>
    </xf>
    <xf numFmtId="0" fontId="0" fillId="8" borderId="11" xfId="0" applyFill="1" applyBorder="1" applyAlignment="1">
      <alignment horizontal="left" vertical="center"/>
    </xf>
    <xf numFmtId="0" fontId="0" fillId="8" borderId="2" xfId="0" applyFill="1" applyBorder="1" applyAlignment="1">
      <alignment horizontal="left" vertical="center"/>
    </xf>
    <xf numFmtId="0" fontId="141" fillId="8" borderId="2" xfId="0" applyFont="1" applyFill="1" applyBorder="1" applyAlignment="1">
      <alignment horizontal="left" vertical="center"/>
    </xf>
    <xf numFmtId="0" fontId="67" fillId="8" borderId="2" xfId="0" applyFont="1" applyFill="1" applyBorder="1" applyAlignment="1" applyProtection="1">
      <alignment horizontal="center" vertical="center"/>
      <protection locked="0"/>
    </xf>
    <xf numFmtId="0" fontId="72" fillId="8" borderId="12" xfId="0" applyFont="1" applyFill="1" applyBorder="1" applyProtection="1">
      <alignment vertical="center"/>
      <protection locked="0"/>
    </xf>
    <xf numFmtId="0" fontId="48" fillId="8" borderId="20" xfId="0" applyFont="1" applyFill="1" applyBorder="1" applyAlignment="1" applyProtection="1">
      <alignment horizontal="center" vertical="center" wrapText="1"/>
      <protection locked="0"/>
    </xf>
    <xf numFmtId="0" fontId="80" fillId="5" borderId="12" xfId="0"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72" fillId="5" borderId="2"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9" xfId="0" applyFont="1" applyFill="1" applyBorder="1" applyAlignment="1">
      <alignment horizontal="center" vertical="center"/>
    </xf>
    <xf numFmtId="0" fontId="72" fillId="5" borderId="8" xfId="0" applyFont="1" applyFill="1" applyBorder="1" applyAlignment="1">
      <alignment horizontal="center" vertical="center" wrapText="1"/>
    </xf>
    <xf numFmtId="0" fontId="72" fillId="5" borderId="8" xfId="0" applyFont="1" applyFill="1" applyBorder="1" applyAlignment="1">
      <alignment horizontal="center" vertical="center"/>
    </xf>
    <xf numFmtId="180" fontId="142" fillId="0" borderId="44" xfId="0" applyNumberFormat="1" applyFont="1" applyBorder="1" applyAlignment="1">
      <alignment horizontal="left" vertical="center"/>
    </xf>
    <xf numFmtId="180" fontId="142" fillId="0" borderId="5" xfId="0" applyNumberFormat="1" applyFont="1" applyBorder="1" applyAlignment="1">
      <alignment horizontal="left" vertical="center"/>
    </xf>
    <xf numFmtId="180" fontId="199" fillId="6" borderId="0" xfId="0" applyNumberFormat="1" applyFont="1" applyFill="1" applyAlignment="1">
      <alignment horizontal="left" vertical="center"/>
    </xf>
    <xf numFmtId="185" fontId="72" fillId="16" borderId="2" xfId="0" applyNumberFormat="1" applyFont="1" applyFill="1" applyBorder="1" applyAlignment="1" applyProtection="1">
      <alignment horizontal="center" vertical="center"/>
      <protection locked="0"/>
    </xf>
    <xf numFmtId="180" fontId="142" fillId="0" borderId="43" xfId="0" applyNumberFormat="1" applyFont="1" applyBorder="1" applyAlignment="1">
      <alignment horizontal="left" vertical="center"/>
    </xf>
    <xf numFmtId="180" fontId="141" fillId="0" borderId="2" xfId="0" applyNumberFormat="1" applyFont="1" applyBorder="1" applyAlignment="1">
      <alignment horizontal="left" vertical="center"/>
    </xf>
    <xf numFmtId="180" fontId="0" fillId="0" borderId="2" xfId="0" applyNumberFormat="1" applyBorder="1" applyAlignment="1">
      <alignment horizontal="left" vertical="center"/>
    </xf>
    <xf numFmtId="180" fontId="142" fillId="0" borderId="2" xfId="0" applyNumberFormat="1" applyFont="1" applyBorder="1" applyAlignment="1">
      <alignment horizontal="left" vertical="center"/>
    </xf>
    <xf numFmtId="180" fontId="71" fillId="5" borderId="10" xfId="0" applyNumberFormat="1" applyFont="1" applyFill="1" applyBorder="1">
      <alignment vertical="center"/>
    </xf>
    <xf numFmtId="180" fontId="67" fillId="5" borderId="9" xfId="0" applyNumberFormat="1" applyFont="1" applyFill="1" applyBorder="1">
      <alignment vertical="center"/>
    </xf>
    <xf numFmtId="0" fontId="149" fillId="5" borderId="12" xfId="0" applyFont="1" applyFill="1" applyBorder="1" applyAlignment="1" applyProtection="1">
      <alignment horizontal="center" vertical="center" wrapText="1"/>
    </xf>
    <xf numFmtId="0" fontId="140" fillId="0" borderId="11"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180" fontId="142" fillId="0" borderId="5" xfId="0" applyNumberFormat="1" applyFont="1" applyBorder="1" applyAlignment="1">
      <alignment horizontal="center" vertical="center"/>
    </xf>
    <xf numFmtId="180" fontId="142" fillId="0" borderId="9" xfId="0" applyNumberFormat="1" applyFont="1" applyBorder="1" applyAlignment="1">
      <alignment horizontal="center" vertical="center"/>
    </xf>
    <xf numFmtId="180" fontId="141" fillId="0" borderId="10" xfId="0" applyNumberFormat="1" applyFont="1" applyBorder="1" applyAlignment="1">
      <alignment horizontal="center" vertical="center"/>
    </xf>
    <xf numFmtId="180" fontId="141" fillId="0" borderId="3" xfId="0" applyNumberFormat="1" applyFont="1" applyBorder="1" applyAlignment="1">
      <alignment horizontal="center" vertical="center"/>
    </xf>
    <xf numFmtId="180" fontId="141" fillId="0" borderId="21" xfId="0" applyNumberFormat="1" applyFont="1" applyBorder="1" applyAlignment="1">
      <alignment horizontal="center" vertical="center"/>
    </xf>
    <xf numFmtId="180" fontId="141" fillId="0" borderId="5" xfId="0" applyNumberFormat="1" applyFont="1" applyBorder="1" applyAlignment="1">
      <alignment horizontal="center" vertical="center"/>
    </xf>
    <xf numFmtId="180" fontId="141" fillId="0" borderId="9" xfId="0" applyNumberFormat="1" applyFont="1" applyBorder="1" applyAlignment="1">
      <alignment horizontal="center" vertical="center"/>
    </xf>
    <xf numFmtId="0" fontId="0" fillId="0" borderId="0" xfId="0" applyAlignment="1">
      <alignment horizontal="center" vertical="center"/>
    </xf>
    <xf numFmtId="0" fontId="142" fillId="6" borderId="14" xfId="0" applyFont="1" applyFill="1" applyBorder="1" applyAlignment="1">
      <alignment horizontal="center" vertical="center"/>
    </xf>
    <xf numFmtId="0" fontId="141" fillId="0" borderId="5" xfId="0" applyFont="1" applyBorder="1" applyAlignment="1">
      <alignment horizontal="center" vertical="center"/>
    </xf>
    <xf numFmtId="0" fontId="141" fillId="0" borderId="9" xfId="0" applyFont="1" applyBorder="1" applyAlignment="1">
      <alignment horizontal="center" vertical="center"/>
    </xf>
    <xf numFmtId="0" fontId="141" fillId="0" borderId="8" xfId="0" applyFont="1" applyBorder="1" applyAlignment="1">
      <alignment horizontal="center" vertical="center"/>
    </xf>
    <xf numFmtId="0" fontId="141" fillId="0" borderId="59" xfId="0" applyFont="1" applyBorder="1" applyAlignment="1">
      <alignment horizontal="center" vertical="center"/>
    </xf>
    <xf numFmtId="0" fontId="141" fillId="0" borderId="30" xfId="0" applyFont="1" applyBorder="1" applyAlignment="1">
      <alignment horizontal="center" vertical="center"/>
    </xf>
    <xf numFmtId="0" fontId="141" fillId="0" borderId="57" xfId="0" applyFont="1" applyBorder="1" applyAlignment="1">
      <alignment horizontal="center" vertical="center"/>
    </xf>
    <xf numFmtId="0" fontId="141" fillId="0" borderId="2" xfId="0" applyFont="1" applyBorder="1" applyAlignment="1">
      <alignment horizontal="left" vertical="center"/>
    </xf>
    <xf numFmtId="0" fontId="141" fillId="0" borderId="5" xfId="0" applyFont="1" applyBorder="1" applyAlignment="1">
      <alignment horizontal="left" vertical="center"/>
    </xf>
    <xf numFmtId="0" fontId="141" fillId="0" borderId="0" xfId="0" applyFont="1" applyAlignment="1">
      <alignment horizontal="left" vertical="center"/>
    </xf>
    <xf numFmtId="0" fontId="141" fillId="0" borderId="0" xfId="0" applyFont="1" applyAlignment="1">
      <alignment horizontal="center" vertical="center"/>
    </xf>
    <xf numFmtId="180" fontId="141" fillId="0" borderId="8" xfId="0" applyNumberFormat="1" applyFont="1" applyBorder="1" applyAlignment="1">
      <alignment horizontal="center" vertical="center"/>
    </xf>
    <xf numFmtId="0" fontId="0" fillId="0" borderId="2" xfId="0" applyBorder="1" applyAlignment="1">
      <alignment horizontal="left" vertical="center"/>
    </xf>
    <xf numFmtId="0" fontId="142" fillId="0" borderId="5" xfId="0" applyFont="1" applyBorder="1" applyAlignment="1">
      <alignment horizontal="left" vertical="center"/>
    </xf>
    <xf numFmtId="0" fontId="142" fillId="0" borderId="9" xfId="0" applyFont="1" applyBorder="1" applyAlignment="1">
      <alignment horizontal="left"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2" fillId="0" borderId="11" xfId="0" applyFont="1" applyBorder="1" applyAlignment="1" applyProtection="1">
      <alignment horizontal="center" vertical="center" wrapText="1"/>
      <protection locked="0"/>
    </xf>
    <xf numFmtId="0" fontId="302"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0" fillId="0" borderId="0" xfId="0" applyAlignment="1">
      <alignment horizontal="left" vertical="center"/>
    </xf>
    <xf numFmtId="0" fontId="255" fillId="0" borderId="11" xfId="0" applyFont="1" applyBorder="1" applyAlignment="1" applyProtection="1">
      <alignment horizontal="center" vertical="center" wrapText="1"/>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180">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33" Type="http://schemas.openxmlformats.org/officeDocument/2006/relationships/image" Target="../media/image43.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29" Type="http://schemas.openxmlformats.org/officeDocument/2006/relationships/image" Target="../media/image39.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32" Type="http://schemas.openxmlformats.org/officeDocument/2006/relationships/image" Target="../media/image42.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28" Type="http://schemas.openxmlformats.org/officeDocument/2006/relationships/image" Target="../media/image38.png"/><Relationship Id="rId10" Type="http://schemas.openxmlformats.org/officeDocument/2006/relationships/image" Target="../media/image20.png"/><Relationship Id="rId19" Type="http://schemas.openxmlformats.org/officeDocument/2006/relationships/image" Target="../media/image29.png"/><Relationship Id="rId31" Type="http://schemas.openxmlformats.org/officeDocument/2006/relationships/image" Target="../media/image41.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 Id="rId30"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56.png"/><Relationship Id="rId18" Type="http://schemas.openxmlformats.org/officeDocument/2006/relationships/image" Target="../media/image61.png"/><Relationship Id="rId26" Type="http://schemas.openxmlformats.org/officeDocument/2006/relationships/image" Target="../media/image69.png"/><Relationship Id="rId39" Type="http://schemas.openxmlformats.org/officeDocument/2006/relationships/image" Target="../media/image82.png"/><Relationship Id="rId21" Type="http://schemas.openxmlformats.org/officeDocument/2006/relationships/image" Target="../media/image64.png"/><Relationship Id="rId34" Type="http://schemas.openxmlformats.org/officeDocument/2006/relationships/image" Target="../media/image77.png"/><Relationship Id="rId42" Type="http://schemas.openxmlformats.org/officeDocument/2006/relationships/image" Target="../media/image85.png"/><Relationship Id="rId47" Type="http://schemas.openxmlformats.org/officeDocument/2006/relationships/image" Target="../media/image90.png"/><Relationship Id="rId50" Type="http://schemas.openxmlformats.org/officeDocument/2006/relationships/image" Target="../media/image93.png"/><Relationship Id="rId55" Type="http://schemas.openxmlformats.org/officeDocument/2006/relationships/image" Target="../media/image98.png"/><Relationship Id="rId63" Type="http://schemas.openxmlformats.org/officeDocument/2006/relationships/image" Target="../media/image106.png"/><Relationship Id="rId7" Type="http://schemas.openxmlformats.org/officeDocument/2006/relationships/image" Target="../media/image50.png"/><Relationship Id="rId2" Type="http://schemas.openxmlformats.org/officeDocument/2006/relationships/image" Target="../media/image45.png"/><Relationship Id="rId16" Type="http://schemas.openxmlformats.org/officeDocument/2006/relationships/image" Target="../media/image59.png"/><Relationship Id="rId20" Type="http://schemas.openxmlformats.org/officeDocument/2006/relationships/image" Target="../media/image63.png"/><Relationship Id="rId29" Type="http://schemas.openxmlformats.org/officeDocument/2006/relationships/image" Target="../media/image72.png"/><Relationship Id="rId41" Type="http://schemas.openxmlformats.org/officeDocument/2006/relationships/image" Target="../media/image84.png"/><Relationship Id="rId54" Type="http://schemas.openxmlformats.org/officeDocument/2006/relationships/image" Target="../media/image97.png"/><Relationship Id="rId62" Type="http://schemas.openxmlformats.org/officeDocument/2006/relationships/image" Target="../media/image105.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24" Type="http://schemas.openxmlformats.org/officeDocument/2006/relationships/image" Target="../media/image67.png"/><Relationship Id="rId32" Type="http://schemas.openxmlformats.org/officeDocument/2006/relationships/image" Target="../media/image75.png"/><Relationship Id="rId37" Type="http://schemas.openxmlformats.org/officeDocument/2006/relationships/image" Target="../media/image80.png"/><Relationship Id="rId40" Type="http://schemas.openxmlformats.org/officeDocument/2006/relationships/image" Target="../media/image83.png"/><Relationship Id="rId45" Type="http://schemas.openxmlformats.org/officeDocument/2006/relationships/image" Target="../media/image88.png"/><Relationship Id="rId53" Type="http://schemas.openxmlformats.org/officeDocument/2006/relationships/image" Target="../media/image96.png"/><Relationship Id="rId58" Type="http://schemas.openxmlformats.org/officeDocument/2006/relationships/image" Target="../media/image101.png"/><Relationship Id="rId5" Type="http://schemas.openxmlformats.org/officeDocument/2006/relationships/image" Target="../media/image48.png"/><Relationship Id="rId15" Type="http://schemas.openxmlformats.org/officeDocument/2006/relationships/image" Target="../media/image58.png"/><Relationship Id="rId23" Type="http://schemas.openxmlformats.org/officeDocument/2006/relationships/image" Target="../media/image66.png"/><Relationship Id="rId28" Type="http://schemas.openxmlformats.org/officeDocument/2006/relationships/image" Target="../media/image71.png"/><Relationship Id="rId36" Type="http://schemas.openxmlformats.org/officeDocument/2006/relationships/image" Target="../media/image79.png"/><Relationship Id="rId49" Type="http://schemas.openxmlformats.org/officeDocument/2006/relationships/image" Target="../media/image92.png"/><Relationship Id="rId57" Type="http://schemas.openxmlformats.org/officeDocument/2006/relationships/image" Target="../media/image100.png"/><Relationship Id="rId61" Type="http://schemas.openxmlformats.org/officeDocument/2006/relationships/image" Target="../media/image104.png"/><Relationship Id="rId10" Type="http://schemas.openxmlformats.org/officeDocument/2006/relationships/image" Target="../media/image53.png"/><Relationship Id="rId19" Type="http://schemas.openxmlformats.org/officeDocument/2006/relationships/image" Target="../media/image62.png"/><Relationship Id="rId31" Type="http://schemas.openxmlformats.org/officeDocument/2006/relationships/image" Target="../media/image74.png"/><Relationship Id="rId44" Type="http://schemas.openxmlformats.org/officeDocument/2006/relationships/image" Target="../media/image87.png"/><Relationship Id="rId52" Type="http://schemas.openxmlformats.org/officeDocument/2006/relationships/image" Target="../media/image95.png"/><Relationship Id="rId60" Type="http://schemas.openxmlformats.org/officeDocument/2006/relationships/image" Target="../media/image103.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 Id="rId22" Type="http://schemas.openxmlformats.org/officeDocument/2006/relationships/image" Target="../media/image65.png"/><Relationship Id="rId27" Type="http://schemas.openxmlformats.org/officeDocument/2006/relationships/image" Target="../media/image70.png"/><Relationship Id="rId30" Type="http://schemas.openxmlformats.org/officeDocument/2006/relationships/image" Target="../media/image73.png"/><Relationship Id="rId35" Type="http://schemas.openxmlformats.org/officeDocument/2006/relationships/image" Target="../media/image78.png"/><Relationship Id="rId43" Type="http://schemas.openxmlformats.org/officeDocument/2006/relationships/image" Target="../media/image86.png"/><Relationship Id="rId48" Type="http://schemas.openxmlformats.org/officeDocument/2006/relationships/image" Target="../media/image91.png"/><Relationship Id="rId56" Type="http://schemas.openxmlformats.org/officeDocument/2006/relationships/image" Target="../media/image99.png"/><Relationship Id="rId8" Type="http://schemas.openxmlformats.org/officeDocument/2006/relationships/image" Target="../media/image51.png"/><Relationship Id="rId51" Type="http://schemas.openxmlformats.org/officeDocument/2006/relationships/image" Target="../media/image94.png"/><Relationship Id="rId3" Type="http://schemas.openxmlformats.org/officeDocument/2006/relationships/image" Target="../media/image46.png"/><Relationship Id="rId12" Type="http://schemas.openxmlformats.org/officeDocument/2006/relationships/image" Target="../media/image55.png"/><Relationship Id="rId17" Type="http://schemas.openxmlformats.org/officeDocument/2006/relationships/image" Target="../media/image60.png"/><Relationship Id="rId25" Type="http://schemas.openxmlformats.org/officeDocument/2006/relationships/image" Target="../media/image68.png"/><Relationship Id="rId33" Type="http://schemas.openxmlformats.org/officeDocument/2006/relationships/image" Target="../media/image76.png"/><Relationship Id="rId38" Type="http://schemas.openxmlformats.org/officeDocument/2006/relationships/image" Target="../media/image81.png"/><Relationship Id="rId46" Type="http://schemas.openxmlformats.org/officeDocument/2006/relationships/image" Target="../media/image89.png"/><Relationship Id="rId59" Type="http://schemas.openxmlformats.org/officeDocument/2006/relationships/image" Target="../media/image10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4.png"/><Relationship Id="rId13" Type="http://schemas.openxmlformats.org/officeDocument/2006/relationships/image" Target="../media/image119.png"/><Relationship Id="rId18" Type="http://schemas.openxmlformats.org/officeDocument/2006/relationships/image" Target="../media/image124.png"/><Relationship Id="rId3" Type="http://schemas.openxmlformats.org/officeDocument/2006/relationships/image" Target="../media/image109.png"/><Relationship Id="rId7" Type="http://schemas.openxmlformats.org/officeDocument/2006/relationships/image" Target="../media/image113.png"/><Relationship Id="rId12" Type="http://schemas.openxmlformats.org/officeDocument/2006/relationships/image" Target="../media/image118.png"/><Relationship Id="rId17" Type="http://schemas.openxmlformats.org/officeDocument/2006/relationships/image" Target="../media/image123.png"/><Relationship Id="rId2" Type="http://schemas.openxmlformats.org/officeDocument/2006/relationships/image" Target="../media/image108.png"/><Relationship Id="rId16" Type="http://schemas.openxmlformats.org/officeDocument/2006/relationships/image" Target="../media/image122.png"/><Relationship Id="rId20" Type="http://schemas.openxmlformats.org/officeDocument/2006/relationships/image" Target="../media/image126.png"/><Relationship Id="rId1" Type="http://schemas.openxmlformats.org/officeDocument/2006/relationships/image" Target="../media/image107.png"/><Relationship Id="rId6" Type="http://schemas.openxmlformats.org/officeDocument/2006/relationships/image" Target="../media/image112.png"/><Relationship Id="rId11" Type="http://schemas.openxmlformats.org/officeDocument/2006/relationships/image" Target="../media/image117.png"/><Relationship Id="rId5" Type="http://schemas.openxmlformats.org/officeDocument/2006/relationships/image" Target="../media/image111.png"/><Relationship Id="rId15" Type="http://schemas.openxmlformats.org/officeDocument/2006/relationships/image" Target="../media/image121.png"/><Relationship Id="rId10" Type="http://schemas.openxmlformats.org/officeDocument/2006/relationships/image" Target="../media/image116.png"/><Relationship Id="rId19" Type="http://schemas.openxmlformats.org/officeDocument/2006/relationships/image" Target="../media/image125.png"/><Relationship Id="rId4" Type="http://schemas.openxmlformats.org/officeDocument/2006/relationships/image" Target="../media/image110.png"/><Relationship Id="rId9" Type="http://schemas.openxmlformats.org/officeDocument/2006/relationships/image" Target="../media/image115.png"/><Relationship Id="rId14" Type="http://schemas.openxmlformats.org/officeDocument/2006/relationships/image" Target="../media/image1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11</xdr:col>
      <xdr:colOff>579730</xdr:colOff>
      <xdr:row>67</xdr:row>
      <xdr:rowOff>142257</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6858000"/>
          <a:ext cx="10361905" cy="4942857"/>
        </a:xfrm>
        <a:prstGeom prst="rect">
          <a:avLst/>
        </a:prstGeom>
      </xdr:spPr>
    </xdr:pic>
    <xdr:clientData/>
  </xdr:twoCellAnchor>
  <xdr:twoCellAnchor editAs="oneCell">
    <xdr:from>
      <xdr:col>0</xdr:col>
      <xdr:colOff>0</xdr:colOff>
      <xdr:row>71</xdr:row>
      <xdr:rowOff>0</xdr:rowOff>
    </xdr:from>
    <xdr:to>
      <xdr:col>14</xdr:col>
      <xdr:colOff>579473</xdr:colOff>
      <xdr:row>84</xdr:row>
      <xdr:rowOff>171150</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0" y="12344400"/>
          <a:ext cx="12419048" cy="2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12</xdr:col>
      <xdr:colOff>684591</xdr:colOff>
      <xdr:row>62</xdr:row>
      <xdr:rowOff>75591</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5829300"/>
          <a:ext cx="9676191" cy="4876191"/>
        </a:xfrm>
        <a:prstGeom prst="rect">
          <a:avLst/>
        </a:prstGeom>
      </xdr:spPr>
    </xdr:pic>
    <xdr:clientData/>
  </xdr:twoCellAnchor>
  <xdr:twoCellAnchor editAs="oneCell">
    <xdr:from>
      <xdr:col>6</xdr:col>
      <xdr:colOff>476250</xdr:colOff>
      <xdr:row>0</xdr:row>
      <xdr:rowOff>66675</xdr:rowOff>
    </xdr:from>
    <xdr:to>
      <xdr:col>15</xdr:col>
      <xdr:colOff>513602</xdr:colOff>
      <xdr:row>27</xdr:row>
      <xdr:rowOff>18478</xdr:rowOff>
    </xdr:to>
    <xdr:pic>
      <xdr:nvPicPr>
        <xdr:cNvPr id="4" name="图片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5210175" y="66675"/>
          <a:ext cx="5990477" cy="4580953"/>
        </a:xfrm>
        <a:prstGeom prst="rect">
          <a:avLst/>
        </a:prstGeom>
      </xdr:spPr>
    </xdr:pic>
    <xdr:clientData/>
  </xdr:twoCellAnchor>
  <xdr:twoCellAnchor editAs="oneCell">
    <xdr:from>
      <xdr:col>0</xdr:col>
      <xdr:colOff>0</xdr:colOff>
      <xdr:row>29</xdr:row>
      <xdr:rowOff>0</xdr:rowOff>
    </xdr:from>
    <xdr:to>
      <xdr:col>13</xdr:col>
      <xdr:colOff>151172</xdr:colOff>
      <xdr:row>59</xdr:row>
      <xdr:rowOff>113643</xdr:rowOff>
    </xdr:to>
    <xdr:pic>
      <xdr:nvPicPr>
        <xdr:cNvPr id="2" name="图片 1"/>
        <xdr:cNvPicPr>
          <a:picLocks noChangeAspect="1"/>
        </xdr:cNvPicPr>
      </xdr:nvPicPr>
      <xdr:blipFill>
        <a:blip xmlns:r="http://schemas.openxmlformats.org/officeDocument/2006/relationships" r:embed="rId3"/>
        <a:stretch>
          <a:fillRect/>
        </a:stretch>
      </xdr:blipFill>
      <xdr:spPr>
        <a:xfrm>
          <a:off x="0" y="4972050"/>
          <a:ext cx="9828572" cy="5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589448</xdr:colOff>
      <xdr:row>32</xdr:row>
      <xdr:rowOff>27886</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8819048" cy="5514286"/>
        </a:xfrm>
        <a:prstGeom prst="rect">
          <a:avLst/>
        </a:prstGeom>
      </xdr:spPr>
    </xdr:pic>
    <xdr:clientData/>
  </xdr:twoCellAnchor>
  <xdr:twoCellAnchor editAs="oneCell">
    <xdr:from>
      <xdr:col>0</xdr:col>
      <xdr:colOff>0</xdr:colOff>
      <xdr:row>38</xdr:row>
      <xdr:rowOff>0</xdr:rowOff>
    </xdr:from>
    <xdr:to>
      <xdr:col>10</xdr:col>
      <xdr:colOff>84858</xdr:colOff>
      <xdr:row>59</xdr:row>
      <xdr:rowOff>113836</xdr:rowOff>
    </xdr:to>
    <xdr:pic>
      <xdr:nvPicPr>
        <xdr:cNvPr id="4" name="图片 3">
          <a:extLst>
            <a:ext uri="{FF2B5EF4-FFF2-40B4-BE49-F238E27FC236}">
              <a16:creationId xmlns="" xmlns:a16="http://schemas.microsoft.com/office/drawing/2014/main" id="{00000000-0008-0000-3900-000004000000}"/>
            </a:ext>
          </a:extLst>
        </xdr:cNvPr>
        <xdr:cNvPicPr>
          <a:picLocks noChangeAspect="1"/>
        </xdr:cNvPicPr>
      </xdr:nvPicPr>
      <xdr:blipFill>
        <a:blip xmlns:r="http://schemas.openxmlformats.org/officeDocument/2006/relationships" r:embed="rId2"/>
        <a:stretch>
          <a:fillRect/>
        </a:stretch>
      </xdr:blipFill>
      <xdr:spPr>
        <a:xfrm>
          <a:off x="0" y="6515100"/>
          <a:ext cx="6942858" cy="3714286"/>
        </a:xfrm>
        <a:prstGeom prst="rect">
          <a:avLst/>
        </a:prstGeom>
      </xdr:spPr>
    </xdr:pic>
    <xdr:clientData/>
  </xdr:twoCellAnchor>
  <xdr:twoCellAnchor editAs="oneCell">
    <xdr:from>
      <xdr:col>0</xdr:col>
      <xdr:colOff>0</xdr:colOff>
      <xdr:row>62</xdr:row>
      <xdr:rowOff>0</xdr:rowOff>
    </xdr:from>
    <xdr:to>
      <xdr:col>17</xdr:col>
      <xdr:colOff>293782</xdr:colOff>
      <xdr:row>94</xdr:row>
      <xdr:rowOff>161219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3"/>
        <a:stretch>
          <a:fillRect/>
        </a:stretch>
      </xdr:blipFill>
      <xdr:spPr>
        <a:xfrm>
          <a:off x="0" y="10629900"/>
          <a:ext cx="11952382" cy="5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22</xdr:col>
      <xdr:colOff>608189</xdr:colOff>
      <xdr:row>82</xdr:row>
      <xdr:rowOff>104267</xdr:rowOff>
    </xdr:to>
    <xdr:pic>
      <xdr:nvPicPr>
        <xdr:cNvPr id="2" name="图片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6858000"/>
          <a:ext cx="11295239" cy="4066667"/>
        </a:xfrm>
        <a:prstGeom prst="rect">
          <a:avLst/>
        </a:prstGeom>
      </xdr:spPr>
    </xdr:pic>
    <xdr:clientData/>
  </xdr:twoCellAnchor>
  <xdr:twoCellAnchor editAs="oneCell">
    <xdr:from>
      <xdr:col>0</xdr:col>
      <xdr:colOff>0</xdr:colOff>
      <xdr:row>83</xdr:row>
      <xdr:rowOff>0</xdr:rowOff>
    </xdr:from>
    <xdr:to>
      <xdr:col>21</xdr:col>
      <xdr:colOff>46364</xdr:colOff>
      <xdr:row>107</xdr:row>
      <xdr:rowOff>94781</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10972800"/>
          <a:ext cx="10095239" cy="3752381"/>
        </a:xfrm>
        <a:prstGeom prst="rect">
          <a:avLst/>
        </a:prstGeom>
      </xdr:spPr>
    </xdr:pic>
    <xdr:clientData/>
  </xdr:twoCellAnchor>
  <xdr:twoCellAnchor editAs="oneCell">
    <xdr:from>
      <xdr:col>0</xdr:col>
      <xdr:colOff>0</xdr:colOff>
      <xdr:row>108</xdr:row>
      <xdr:rowOff>0</xdr:rowOff>
    </xdr:from>
    <xdr:to>
      <xdr:col>22</xdr:col>
      <xdr:colOff>617713</xdr:colOff>
      <xdr:row>136</xdr:row>
      <xdr:rowOff>104229</xdr:rowOff>
    </xdr:to>
    <xdr:pic>
      <xdr:nvPicPr>
        <xdr:cNvPr id="4" name="图片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4782800"/>
          <a:ext cx="11304763" cy="4371429"/>
        </a:xfrm>
        <a:prstGeom prst="rect">
          <a:avLst/>
        </a:prstGeom>
      </xdr:spPr>
    </xdr:pic>
    <xdr:clientData/>
  </xdr:twoCellAnchor>
  <xdr:twoCellAnchor editAs="oneCell">
    <xdr:from>
      <xdr:col>0</xdr:col>
      <xdr:colOff>0</xdr:colOff>
      <xdr:row>137</xdr:row>
      <xdr:rowOff>0</xdr:rowOff>
    </xdr:from>
    <xdr:to>
      <xdr:col>21</xdr:col>
      <xdr:colOff>189221</xdr:colOff>
      <xdr:row>157</xdr:row>
      <xdr:rowOff>75810</xdr:rowOff>
    </xdr:to>
    <xdr:pic>
      <xdr:nvPicPr>
        <xdr:cNvPr id="5" name="图片 4">
          <a:extLst>
            <a:ext uri="{FF2B5EF4-FFF2-40B4-BE49-F238E27FC236}">
              <a16:creationId xmlns=""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0" y="19202400"/>
          <a:ext cx="10238096" cy="3123810"/>
        </a:xfrm>
        <a:prstGeom prst="rect">
          <a:avLst/>
        </a:prstGeom>
      </xdr:spPr>
    </xdr:pic>
    <xdr:clientData/>
  </xdr:twoCellAnchor>
  <xdr:twoCellAnchor editAs="oneCell">
    <xdr:from>
      <xdr:col>0</xdr:col>
      <xdr:colOff>0</xdr:colOff>
      <xdr:row>158</xdr:row>
      <xdr:rowOff>0</xdr:rowOff>
    </xdr:from>
    <xdr:to>
      <xdr:col>22</xdr:col>
      <xdr:colOff>560570</xdr:colOff>
      <xdr:row>186</xdr:row>
      <xdr:rowOff>37562</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0" y="22402800"/>
          <a:ext cx="11247620" cy="4304762"/>
        </a:xfrm>
        <a:prstGeom prst="rect">
          <a:avLst/>
        </a:prstGeom>
      </xdr:spPr>
    </xdr:pic>
    <xdr:clientData/>
  </xdr:twoCellAnchor>
  <xdr:twoCellAnchor editAs="oneCell">
    <xdr:from>
      <xdr:col>0</xdr:col>
      <xdr:colOff>0</xdr:colOff>
      <xdr:row>187</xdr:row>
      <xdr:rowOff>0</xdr:rowOff>
    </xdr:from>
    <xdr:to>
      <xdr:col>22</xdr:col>
      <xdr:colOff>265332</xdr:colOff>
      <xdr:row>211</xdr:row>
      <xdr:rowOff>66210</xdr:rowOff>
    </xdr:to>
    <xdr:pic>
      <xdr:nvPicPr>
        <xdr:cNvPr id="7" name="图片 6">
          <a:extLst>
            <a:ext uri="{FF2B5EF4-FFF2-40B4-BE49-F238E27FC236}">
              <a16:creationId xmlns=""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0" y="26822400"/>
          <a:ext cx="10952382" cy="3723810"/>
        </a:xfrm>
        <a:prstGeom prst="rect">
          <a:avLst/>
        </a:prstGeom>
      </xdr:spPr>
    </xdr:pic>
    <xdr:clientData/>
  </xdr:twoCellAnchor>
  <xdr:twoCellAnchor editAs="oneCell">
    <xdr:from>
      <xdr:col>0</xdr:col>
      <xdr:colOff>0</xdr:colOff>
      <xdr:row>212</xdr:row>
      <xdr:rowOff>0</xdr:rowOff>
    </xdr:from>
    <xdr:to>
      <xdr:col>22</xdr:col>
      <xdr:colOff>322475</xdr:colOff>
      <xdr:row>240</xdr:row>
      <xdr:rowOff>151848</xdr:rowOff>
    </xdr:to>
    <xdr:pic>
      <xdr:nvPicPr>
        <xdr:cNvPr id="8" name="图片 7">
          <a:extLst>
            <a:ext uri="{FF2B5EF4-FFF2-40B4-BE49-F238E27FC236}">
              <a16:creationId xmlns=""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0" y="30632400"/>
          <a:ext cx="11009525" cy="4419048"/>
        </a:xfrm>
        <a:prstGeom prst="rect">
          <a:avLst/>
        </a:prstGeom>
      </xdr:spPr>
    </xdr:pic>
    <xdr:clientData/>
  </xdr:twoCellAnchor>
  <xdr:twoCellAnchor editAs="oneCell">
    <xdr:from>
      <xdr:col>0</xdr:col>
      <xdr:colOff>0</xdr:colOff>
      <xdr:row>246</xdr:row>
      <xdr:rowOff>0</xdr:rowOff>
    </xdr:from>
    <xdr:to>
      <xdr:col>22</xdr:col>
      <xdr:colOff>408189</xdr:colOff>
      <xdr:row>278</xdr:row>
      <xdr:rowOff>37486</xdr:rowOff>
    </xdr:to>
    <xdr:pic>
      <xdr:nvPicPr>
        <xdr:cNvPr id="9" name="图片 8">
          <a:extLst>
            <a:ext uri="{FF2B5EF4-FFF2-40B4-BE49-F238E27FC236}">
              <a16:creationId xmlns=""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0" y="35814000"/>
          <a:ext cx="11095239" cy="4914286"/>
        </a:xfrm>
        <a:prstGeom prst="rect">
          <a:avLst/>
        </a:prstGeom>
      </xdr:spPr>
    </xdr:pic>
    <xdr:clientData/>
  </xdr:twoCellAnchor>
  <xdr:twoCellAnchor editAs="oneCell">
    <xdr:from>
      <xdr:col>0</xdr:col>
      <xdr:colOff>0</xdr:colOff>
      <xdr:row>279</xdr:row>
      <xdr:rowOff>0</xdr:rowOff>
    </xdr:from>
    <xdr:to>
      <xdr:col>22</xdr:col>
      <xdr:colOff>484379</xdr:colOff>
      <xdr:row>303</xdr:row>
      <xdr:rowOff>142400</xdr:rowOff>
    </xdr:to>
    <xdr:pic>
      <xdr:nvPicPr>
        <xdr:cNvPr id="10" name="图片 9">
          <a:extLst>
            <a:ext uri="{FF2B5EF4-FFF2-40B4-BE49-F238E27FC236}">
              <a16:creationId xmlns="" xmlns:a16="http://schemas.microsoft.com/office/drawing/2014/main" id="{00000000-0008-0000-1400-00000A000000}"/>
            </a:ext>
          </a:extLst>
        </xdr:cNvPr>
        <xdr:cNvPicPr>
          <a:picLocks noChangeAspect="1"/>
        </xdr:cNvPicPr>
      </xdr:nvPicPr>
      <xdr:blipFill>
        <a:blip xmlns:r="http://schemas.openxmlformats.org/officeDocument/2006/relationships" r:embed="rId9"/>
        <a:stretch>
          <a:fillRect/>
        </a:stretch>
      </xdr:blipFill>
      <xdr:spPr>
        <a:xfrm>
          <a:off x="0" y="40843200"/>
          <a:ext cx="11171429" cy="3800000"/>
        </a:xfrm>
        <a:prstGeom prst="rect">
          <a:avLst/>
        </a:prstGeom>
      </xdr:spPr>
    </xdr:pic>
    <xdr:clientData/>
  </xdr:twoCellAnchor>
  <xdr:twoCellAnchor editAs="oneCell">
    <xdr:from>
      <xdr:col>0</xdr:col>
      <xdr:colOff>9525</xdr:colOff>
      <xdr:row>304</xdr:row>
      <xdr:rowOff>47625</xdr:rowOff>
    </xdr:from>
    <xdr:to>
      <xdr:col>22</xdr:col>
      <xdr:colOff>560571</xdr:colOff>
      <xdr:row>332</xdr:row>
      <xdr:rowOff>94711</xdr:rowOff>
    </xdr:to>
    <xdr:pic>
      <xdr:nvPicPr>
        <xdr:cNvPr id="11" name="图片 10">
          <a:extLst>
            <a:ext uri="{FF2B5EF4-FFF2-40B4-BE49-F238E27FC236}">
              <a16:creationId xmlns="" xmlns:a16="http://schemas.microsoft.com/office/drawing/2014/main" id="{00000000-0008-0000-1400-00000B000000}"/>
            </a:ext>
          </a:extLst>
        </xdr:cNvPr>
        <xdr:cNvPicPr>
          <a:picLocks noChangeAspect="1"/>
        </xdr:cNvPicPr>
      </xdr:nvPicPr>
      <xdr:blipFill>
        <a:blip xmlns:r="http://schemas.openxmlformats.org/officeDocument/2006/relationships" r:embed="rId10"/>
        <a:stretch>
          <a:fillRect/>
        </a:stretch>
      </xdr:blipFill>
      <xdr:spPr>
        <a:xfrm>
          <a:off x="9525" y="44700825"/>
          <a:ext cx="11238096" cy="4314286"/>
        </a:xfrm>
        <a:prstGeom prst="rect">
          <a:avLst/>
        </a:prstGeom>
      </xdr:spPr>
    </xdr:pic>
    <xdr:clientData/>
  </xdr:twoCellAnchor>
  <xdr:twoCellAnchor editAs="oneCell">
    <xdr:from>
      <xdr:col>0</xdr:col>
      <xdr:colOff>0</xdr:colOff>
      <xdr:row>333</xdr:row>
      <xdr:rowOff>0</xdr:rowOff>
    </xdr:from>
    <xdr:to>
      <xdr:col>21</xdr:col>
      <xdr:colOff>532078</xdr:colOff>
      <xdr:row>352</xdr:row>
      <xdr:rowOff>142495</xdr:rowOff>
    </xdr:to>
    <xdr:pic>
      <xdr:nvPicPr>
        <xdr:cNvPr id="12" name="图片 11">
          <a:extLst>
            <a:ext uri="{FF2B5EF4-FFF2-40B4-BE49-F238E27FC236}">
              <a16:creationId xmlns="" xmlns:a16="http://schemas.microsoft.com/office/drawing/2014/main" id="{00000000-0008-0000-1400-00000C000000}"/>
            </a:ext>
          </a:extLst>
        </xdr:cNvPr>
        <xdr:cNvPicPr>
          <a:picLocks noChangeAspect="1"/>
        </xdr:cNvPicPr>
      </xdr:nvPicPr>
      <xdr:blipFill>
        <a:blip xmlns:r="http://schemas.openxmlformats.org/officeDocument/2006/relationships" r:embed="rId11"/>
        <a:stretch>
          <a:fillRect/>
        </a:stretch>
      </xdr:blipFill>
      <xdr:spPr>
        <a:xfrm>
          <a:off x="0" y="49072800"/>
          <a:ext cx="10580953" cy="3038095"/>
        </a:xfrm>
        <a:prstGeom prst="rect">
          <a:avLst/>
        </a:prstGeom>
      </xdr:spPr>
    </xdr:pic>
    <xdr:clientData/>
  </xdr:twoCellAnchor>
  <xdr:twoCellAnchor editAs="oneCell">
    <xdr:from>
      <xdr:col>0</xdr:col>
      <xdr:colOff>0</xdr:colOff>
      <xdr:row>353</xdr:row>
      <xdr:rowOff>0</xdr:rowOff>
    </xdr:from>
    <xdr:to>
      <xdr:col>22</xdr:col>
      <xdr:colOff>398665</xdr:colOff>
      <xdr:row>376</xdr:row>
      <xdr:rowOff>113848</xdr:rowOff>
    </xdr:to>
    <xdr:pic>
      <xdr:nvPicPr>
        <xdr:cNvPr id="13" name="图片 12">
          <a:extLst>
            <a:ext uri="{FF2B5EF4-FFF2-40B4-BE49-F238E27FC236}">
              <a16:creationId xmlns="" xmlns:a16="http://schemas.microsoft.com/office/drawing/2014/main" id="{00000000-0008-0000-1400-00000D000000}"/>
            </a:ext>
          </a:extLst>
        </xdr:cNvPr>
        <xdr:cNvPicPr>
          <a:picLocks noChangeAspect="1"/>
        </xdr:cNvPicPr>
      </xdr:nvPicPr>
      <xdr:blipFill>
        <a:blip xmlns:r="http://schemas.openxmlformats.org/officeDocument/2006/relationships" r:embed="rId12"/>
        <a:stretch>
          <a:fillRect/>
        </a:stretch>
      </xdr:blipFill>
      <xdr:spPr>
        <a:xfrm>
          <a:off x="0" y="52120800"/>
          <a:ext cx="11085715" cy="3619048"/>
        </a:xfrm>
        <a:prstGeom prst="rect">
          <a:avLst/>
        </a:prstGeom>
      </xdr:spPr>
    </xdr:pic>
    <xdr:clientData/>
  </xdr:twoCellAnchor>
  <xdr:twoCellAnchor editAs="oneCell">
    <xdr:from>
      <xdr:col>0</xdr:col>
      <xdr:colOff>0</xdr:colOff>
      <xdr:row>377</xdr:row>
      <xdr:rowOff>0</xdr:rowOff>
    </xdr:from>
    <xdr:to>
      <xdr:col>21</xdr:col>
      <xdr:colOff>151126</xdr:colOff>
      <xdr:row>404</xdr:row>
      <xdr:rowOff>9010</xdr:rowOff>
    </xdr:to>
    <xdr:pic>
      <xdr:nvPicPr>
        <xdr:cNvPr id="14" name="图片 13">
          <a:extLst>
            <a:ext uri="{FF2B5EF4-FFF2-40B4-BE49-F238E27FC236}">
              <a16:creationId xmlns="" xmlns:a16="http://schemas.microsoft.com/office/drawing/2014/main" id="{00000000-0008-0000-1400-00000E000000}"/>
            </a:ext>
          </a:extLst>
        </xdr:cNvPr>
        <xdr:cNvPicPr>
          <a:picLocks noChangeAspect="1"/>
        </xdr:cNvPicPr>
      </xdr:nvPicPr>
      <xdr:blipFill>
        <a:blip xmlns:r="http://schemas.openxmlformats.org/officeDocument/2006/relationships" r:embed="rId13"/>
        <a:stretch>
          <a:fillRect/>
        </a:stretch>
      </xdr:blipFill>
      <xdr:spPr>
        <a:xfrm>
          <a:off x="0" y="55778400"/>
          <a:ext cx="10200001" cy="4123810"/>
        </a:xfrm>
        <a:prstGeom prst="rect">
          <a:avLst/>
        </a:prstGeom>
      </xdr:spPr>
    </xdr:pic>
    <xdr:clientData/>
  </xdr:twoCellAnchor>
  <xdr:twoCellAnchor editAs="oneCell">
    <xdr:from>
      <xdr:col>0</xdr:col>
      <xdr:colOff>0</xdr:colOff>
      <xdr:row>404</xdr:row>
      <xdr:rowOff>0</xdr:rowOff>
    </xdr:from>
    <xdr:to>
      <xdr:col>21</xdr:col>
      <xdr:colOff>522554</xdr:colOff>
      <xdr:row>420</xdr:row>
      <xdr:rowOff>75886</xdr:rowOff>
    </xdr:to>
    <xdr:pic>
      <xdr:nvPicPr>
        <xdr:cNvPr id="15" name="图片 14">
          <a:extLst>
            <a:ext uri="{FF2B5EF4-FFF2-40B4-BE49-F238E27FC236}">
              <a16:creationId xmlns="" xmlns:a16="http://schemas.microsoft.com/office/drawing/2014/main" id="{00000000-0008-0000-1400-00000F000000}"/>
            </a:ext>
          </a:extLst>
        </xdr:cNvPr>
        <xdr:cNvPicPr>
          <a:picLocks noChangeAspect="1"/>
        </xdr:cNvPicPr>
      </xdr:nvPicPr>
      <xdr:blipFill>
        <a:blip xmlns:r="http://schemas.openxmlformats.org/officeDocument/2006/relationships" r:embed="rId14"/>
        <a:stretch>
          <a:fillRect/>
        </a:stretch>
      </xdr:blipFill>
      <xdr:spPr>
        <a:xfrm>
          <a:off x="0" y="59893200"/>
          <a:ext cx="10571429" cy="2514286"/>
        </a:xfrm>
        <a:prstGeom prst="rect">
          <a:avLst/>
        </a:prstGeom>
      </xdr:spPr>
    </xdr:pic>
    <xdr:clientData/>
  </xdr:twoCellAnchor>
  <xdr:twoCellAnchor editAs="oneCell">
    <xdr:from>
      <xdr:col>0</xdr:col>
      <xdr:colOff>0</xdr:colOff>
      <xdr:row>421</xdr:row>
      <xdr:rowOff>0</xdr:rowOff>
    </xdr:from>
    <xdr:to>
      <xdr:col>21</xdr:col>
      <xdr:colOff>46364</xdr:colOff>
      <xdr:row>437</xdr:row>
      <xdr:rowOff>37791</xdr:rowOff>
    </xdr:to>
    <xdr:pic>
      <xdr:nvPicPr>
        <xdr:cNvPr id="16" name="图片 15">
          <a:extLst>
            <a:ext uri="{FF2B5EF4-FFF2-40B4-BE49-F238E27FC236}">
              <a16:creationId xmlns="" xmlns:a16="http://schemas.microsoft.com/office/drawing/2014/main" id="{00000000-0008-0000-1400-000010000000}"/>
            </a:ext>
          </a:extLst>
        </xdr:cNvPr>
        <xdr:cNvPicPr>
          <a:picLocks noChangeAspect="1"/>
        </xdr:cNvPicPr>
      </xdr:nvPicPr>
      <xdr:blipFill>
        <a:blip xmlns:r="http://schemas.openxmlformats.org/officeDocument/2006/relationships" r:embed="rId15"/>
        <a:stretch>
          <a:fillRect/>
        </a:stretch>
      </xdr:blipFill>
      <xdr:spPr>
        <a:xfrm>
          <a:off x="0" y="62484000"/>
          <a:ext cx="10095239" cy="2476191"/>
        </a:xfrm>
        <a:prstGeom prst="rect">
          <a:avLst/>
        </a:prstGeom>
      </xdr:spPr>
    </xdr:pic>
    <xdr:clientData/>
  </xdr:twoCellAnchor>
  <xdr:twoCellAnchor editAs="oneCell">
    <xdr:from>
      <xdr:col>0</xdr:col>
      <xdr:colOff>0</xdr:colOff>
      <xdr:row>438</xdr:row>
      <xdr:rowOff>0</xdr:rowOff>
    </xdr:from>
    <xdr:to>
      <xdr:col>22</xdr:col>
      <xdr:colOff>417713</xdr:colOff>
      <xdr:row>467</xdr:row>
      <xdr:rowOff>85162</xdr:rowOff>
    </xdr:to>
    <xdr:pic>
      <xdr:nvPicPr>
        <xdr:cNvPr id="17" name="图片 16">
          <a:extLst>
            <a:ext uri="{FF2B5EF4-FFF2-40B4-BE49-F238E27FC236}">
              <a16:creationId xmlns="" xmlns:a16="http://schemas.microsoft.com/office/drawing/2014/main" id="{00000000-0008-0000-1400-000011000000}"/>
            </a:ext>
          </a:extLst>
        </xdr:cNvPr>
        <xdr:cNvPicPr>
          <a:picLocks noChangeAspect="1"/>
        </xdr:cNvPicPr>
      </xdr:nvPicPr>
      <xdr:blipFill>
        <a:blip xmlns:r="http://schemas.openxmlformats.org/officeDocument/2006/relationships" r:embed="rId16"/>
        <a:stretch>
          <a:fillRect/>
        </a:stretch>
      </xdr:blipFill>
      <xdr:spPr>
        <a:xfrm>
          <a:off x="0" y="65074800"/>
          <a:ext cx="11104763" cy="4504762"/>
        </a:xfrm>
        <a:prstGeom prst="rect">
          <a:avLst/>
        </a:prstGeom>
      </xdr:spPr>
    </xdr:pic>
    <xdr:clientData/>
  </xdr:twoCellAnchor>
  <xdr:twoCellAnchor editAs="oneCell">
    <xdr:from>
      <xdr:col>0</xdr:col>
      <xdr:colOff>0</xdr:colOff>
      <xdr:row>471</xdr:row>
      <xdr:rowOff>0</xdr:rowOff>
    </xdr:from>
    <xdr:to>
      <xdr:col>22</xdr:col>
      <xdr:colOff>541522</xdr:colOff>
      <xdr:row>501</xdr:row>
      <xdr:rowOff>142286</xdr:rowOff>
    </xdr:to>
    <xdr:pic>
      <xdr:nvPicPr>
        <xdr:cNvPr id="18" name="图片 17">
          <a:extLst>
            <a:ext uri="{FF2B5EF4-FFF2-40B4-BE49-F238E27FC236}">
              <a16:creationId xmlns="" xmlns:a16="http://schemas.microsoft.com/office/drawing/2014/main" id="{00000000-0008-0000-1400-000012000000}"/>
            </a:ext>
          </a:extLst>
        </xdr:cNvPr>
        <xdr:cNvPicPr>
          <a:picLocks noChangeAspect="1"/>
        </xdr:cNvPicPr>
      </xdr:nvPicPr>
      <xdr:blipFill>
        <a:blip xmlns:r="http://schemas.openxmlformats.org/officeDocument/2006/relationships" r:embed="rId17"/>
        <a:stretch>
          <a:fillRect/>
        </a:stretch>
      </xdr:blipFill>
      <xdr:spPr>
        <a:xfrm>
          <a:off x="0" y="70104000"/>
          <a:ext cx="11228572" cy="4714286"/>
        </a:xfrm>
        <a:prstGeom prst="rect">
          <a:avLst/>
        </a:prstGeom>
      </xdr:spPr>
    </xdr:pic>
    <xdr:clientData/>
  </xdr:twoCellAnchor>
  <xdr:twoCellAnchor editAs="oneCell">
    <xdr:from>
      <xdr:col>0</xdr:col>
      <xdr:colOff>0</xdr:colOff>
      <xdr:row>502</xdr:row>
      <xdr:rowOff>0</xdr:rowOff>
    </xdr:from>
    <xdr:to>
      <xdr:col>22</xdr:col>
      <xdr:colOff>360570</xdr:colOff>
      <xdr:row>527</xdr:row>
      <xdr:rowOff>37619</xdr:rowOff>
    </xdr:to>
    <xdr:pic>
      <xdr:nvPicPr>
        <xdr:cNvPr id="19" name="图片 18">
          <a:extLst>
            <a:ext uri="{FF2B5EF4-FFF2-40B4-BE49-F238E27FC236}">
              <a16:creationId xmlns="" xmlns:a16="http://schemas.microsoft.com/office/drawing/2014/main" id="{00000000-0008-0000-1400-000013000000}"/>
            </a:ext>
          </a:extLst>
        </xdr:cNvPr>
        <xdr:cNvPicPr>
          <a:picLocks noChangeAspect="1"/>
        </xdr:cNvPicPr>
      </xdr:nvPicPr>
      <xdr:blipFill>
        <a:blip xmlns:r="http://schemas.openxmlformats.org/officeDocument/2006/relationships" r:embed="rId18"/>
        <a:stretch>
          <a:fillRect/>
        </a:stretch>
      </xdr:blipFill>
      <xdr:spPr>
        <a:xfrm>
          <a:off x="0" y="74828400"/>
          <a:ext cx="11047620" cy="3847619"/>
        </a:xfrm>
        <a:prstGeom prst="rect">
          <a:avLst/>
        </a:prstGeom>
      </xdr:spPr>
    </xdr:pic>
    <xdr:clientData/>
  </xdr:twoCellAnchor>
  <xdr:twoCellAnchor editAs="oneCell">
    <xdr:from>
      <xdr:col>0</xdr:col>
      <xdr:colOff>0</xdr:colOff>
      <xdr:row>528</xdr:row>
      <xdr:rowOff>0</xdr:rowOff>
    </xdr:from>
    <xdr:to>
      <xdr:col>22</xdr:col>
      <xdr:colOff>398665</xdr:colOff>
      <xdr:row>557</xdr:row>
      <xdr:rowOff>123257</xdr:rowOff>
    </xdr:to>
    <xdr:pic>
      <xdr:nvPicPr>
        <xdr:cNvPr id="20" name="图片 19">
          <a:extLst>
            <a:ext uri="{FF2B5EF4-FFF2-40B4-BE49-F238E27FC236}">
              <a16:creationId xmlns="" xmlns:a16="http://schemas.microsoft.com/office/drawing/2014/main" id="{00000000-0008-0000-1400-000014000000}"/>
            </a:ext>
          </a:extLst>
        </xdr:cNvPr>
        <xdr:cNvPicPr>
          <a:picLocks noChangeAspect="1"/>
        </xdr:cNvPicPr>
      </xdr:nvPicPr>
      <xdr:blipFill>
        <a:blip xmlns:r="http://schemas.openxmlformats.org/officeDocument/2006/relationships" r:embed="rId19"/>
        <a:stretch>
          <a:fillRect/>
        </a:stretch>
      </xdr:blipFill>
      <xdr:spPr>
        <a:xfrm>
          <a:off x="0" y="78790800"/>
          <a:ext cx="11085715" cy="4542857"/>
        </a:xfrm>
        <a:prstGeom prst="rect">
          <a:avLst/>
        </a:prstGeom>
      </xdr:spPr>
    </xdr:pic>
    <xdr:clientData/>
  </xdr:twoCellAnchor>
  <xdr:twoCellAnchor editAs="oneCell">
    <xdr:from>
      <xdr:col>0</xdr:col>
      <xdr:colOff>0</xdr:colOff>
      <xdr:row>558</xdr:row>
      <xdr:rowOff>0</xdr:rowOff>
    </xdr:from>
    <xdr:to>
      <xdr:col>21</xdr:col>
      <xdr:colOff>322554</xdr:colOff>
      <xdr:row>578</xdr:row>
      <xdr:rowOff>75810</xdr:rowOff>
    </xdr:to>
    <xdr:pic>
      <xdr:nvPicPr>
        <xdr:cNvPr id="21" name="图片 20">
          <a:extLst>
            <a:ext uri="{FF2B5EF4-FFF2-40B4-BE49-F238E27FC236}">
              <a16:creationId xmlns="" xmlns:a16="http://schemas.microsoft.com/office/drawing/2014/main" id="{00000000-0008-0000-1400-000015000000}"/>
            </a:ext>
          </a:extLst>
        </xdr:cNvPr>
        <xdr:cNvPicPr>
          <a:picLocks noChangeAspect="1"/>
        </xdr:cNvPicPr>
      </xdr:nvPicPr>
      <xdr:blipFill>
        <a:blip xmlns:r="http://schemas.openxmlformats.org/officeDocument/2006/relationships" r:embed="rId20"/>
        <a:stretch>
          <a:fillRect/>
        </a:stretch>
      </xdr:blipFill>
      <xdr:spPr>
        <a:xfrm>
          <a:off x="0" y="83362800"/>
          <a:ext cx="10371429" cy="3123810"/>
        </a:xfrm>
        <a:prstGeom prst="rect">
          <a:avLst/>
        </a:prstGeom>
      </xdr:spPr>
    </xdr:pic>
    <xdr:clientData/>
  </xdr:twoCellAnchor>
  <xdr:twoCellAnchor editAs="oneCell">
    <xdr:from>
      <xdr:col>0</xdr:col>
      <xdr:colOff>0</xdr:colOff>
      <xdr:row>579</xdr:row>
      <xdr:rowOff>0</xdr:rowOff>
    </xdr:from>
    <xdr:to>
      <xdr:col>22</xdr:col>
      <xdr:colOff>465332</xdr:colOff>
      <xdr:row>601</xdr:row>
      <xdr:rowOff>47200</xdr:rowOff>
    </xdr:to>
    <xdr:pic>
      <xdr:nvPicPr>
        <xdr:cNvPr id="22" name="图片 21">
          <a:extLst>
            <a:ext uri="{FF2B5EF4-FFF2-40B4-BE49-F238E27FC236}">
              <a16:creationId xmlns="" xmlns:a16="http://schemas.microsoft.com/office/drawing/2014/main" id="{00000000-0008-0000-1400-000016000000}"/>
            </a:ext>
          </a:extLst>
        </xdr:cNvPr>
        <xdr:cNvPicPr>
          <a:picLocks noChangeAspect="1"/>
        </xdr:cNvPicPr>
      </xdr:nvPicPr>
      <xdr:blipFill>
        <a:blip xmlns:r="http://schemas.openxmlformats.org/officeDocument/2006/relationships" r:embed="rId21"/>
        <a:stretch>
          <a:fillRect/>
        </a:stretch>
      </xdr:blipFill>
      <xdr:spPr>
        <a:xfrm>
          <a:off x="0" y="86563200"/>
          <a:ext cx="11152382" cy="3400000"/>
        </a:xfrm>
        <a:prstGeom prst="rect">
          <a:avLst/>
        </a:prstGeom>
      </xdr:spPr>
    </xdr:pic>
    <xdr:clientData/>
  </xdr:twoCellAnchor>
  <xdr:twoCellAnchor editAs="oneCell">
    <xdr:from>
      <xdr:col>0</xdr:col>
      <xdr:colOff>0</xdr:colOff>
      <xdr:row>602</xdr:row>
      <xdr:rowOff>0</xdr:rowOff>
    </xdr:from>
    <xdr:to>
      <xdr:col>20</xdr:col>
      <xdr:colOff>275029</xdr:colOff>
      <xdr:row>620</xdr:row>
      <xdr:rowOff>18705</xdr:rowOff>
    </xdr:to>
    <xdr:pic>
      <xdr:nvPicPr>
        <xdr:cNvPr id="23" name="图片 22">
          <a:extLst>
            <a:ext uri="{FF2B5EF4-FFF2-40B4-BE49-F238E27FC236}">
              <a16:creationId xmlns="" xmlns:a16="http://schemas.microsoft.com/office/drawing/2014/main" id="{00000000-0008-0000-1400-000017000000}"/>
            </a:ext>
          </a:extLst>
        </xdr:cNvPr>
        <xdr:cNvPicPr>
          <a:picLocks noChangeAspect="1"/>
        </xdr:cNvPicPr>
      </xdr:nvPicPr>
      <xdr:blipFill>
        <a:blip xmlns:r="http://schemas.openxmlformats.org/officeDocument/2006/relationships" r:embed="rId22"/>
        <a:stretch>
          <a:fillRect/>
        </a:stretch>
      </xdr:blipFill>
      <xdr:spPr>
        <a:xfrm>
          <a:off x="0" y="90068400"/>
          <a:ext cx="9571429" cy="2761905"/>
        </a:xfrm>
        <a:prstGeom prst="rect">
          <a:avLst/>
        </a:prstGeom>
      </xdr:spPr>
    </xdr:pic>
    <xdr:clientData/>
  </xdr:twoCellAnchor>
  <xdr:twoCellAnchor editAs="oneCell">
    <xdr:from>
      <xdr:col>0</xdr:col>
      <xdr:colOff>0</xdr:colOff>
      <xdr:row>621</xdr:row>
      <xdr:rowOff>0</xdr:rowOff>
    </xdr:from>
    <xdr:to>
      <xdr:col>20</xdr:col>
      <xdr:colOff>436934</xdr:colOff>
      <xdr:row>638</xdr:row>
      <xdr:rowOff>18724</xdr:rowOff>
    </xdr:to>
    <xdr:pic>
      <xdr:nvPicPr>
        <xdr:cNvPr id="24" name="图片 23">
          <a:extLst>
            <a:ext uri="{FF2B5EF4-FFF2-40B4-BE49-F238E27FC236}">
              <a16:creationId xmlns="" xmlns:a16="http://schemas.microsoft.com/office/drawing/2014/main" id="{00000000-0008-0000-1400-000018000000}"/>
            </a:ext>
          </a:extLst>
        </xdr:cNvPr>
        <xdr:cNvPicPr>
          <a:picLocks noChangeAspect="1"/>
        </xdr:cNvPicPr>
      </xdr:nvPicPr>
      <xdr:blipFill>
        <a:blip xmlns:r="http://schemas.openxmlformats.org/officeDocument/2006/relationships" r:embed="rId23"/>
        <a:stretch>
          <a:fillRect/>
        </a:stretch>
      </xdr:blipFill>
      <xdr:spPr>
        <a:xfrm>
          <a:off x="0" y="92964000"/>
          <a:ext cx="9733334" cy="2609524"/>
        </a:xfrm>
        <a:prstGeom prst="rect">
          <a:avLst/>
        </a:prstGeom>
      </xdr:spPr>
    </xdr:pic>
    <xdr:clientData/>
  </xdr:twoCellAnchor>
  <xdr:twoCellAnchor editAs="oneCell">
    <xdr:from>
      <xdr:col>0</xdr:col>
      <xdr:colOff>0</xdr:colOff>
      <xdr:row>639</xdr:row>
      <xdr:rowOff>0</xdr:rowOff>
    </xdr:from>
    <xdr:to>
      <xdr:col>22</xdr:col>
      <xdr:colOff>284379</xdr:colOff>
      <xdr:row>669</xdr:row>
      <xdr:rowOff>18477</xdr:rowOff>
    </xdr:to>
    <xdr:pic>
      <xdr:nvPicPr>
        <xdr:cNvPr id="25" name="图片 24">
          <a:extLst>
            <a:ext uri="{FF2B5EF4-FFF2-40B4-BE49-F238E27FC236}">
              <a16:creationId xmlns="" xmlns:a16="http://schemas.microsoft.com/office/drawing/2014/main" id="{00000000-0008-0000-1400-000019000000}"/>
            </a:ext>
          </a:extLst>
        </xdr:cNvPr>
        <xdr:cNvPicPr>
          <a:picLocks noChangeAspect="1"/>
        </xdr:cNvPicPr>
      </xdr:nvPicPr>
      <xdr:blipFill>
        <a:blip xmlns:r="http://schemas.openxmlformats.org/officeDocument/2006/relationships" r:embed="rId24"/>
        <a:stretch>
          <a:fillRect/>
        </a:stretch>
      </xdr:blipFill>
      <xdr:spPr>
        <a:xfrm>
          <a:off x="0" y="95707200"/>
          <a:ext cx="10971429" cy="4590477"/>
        </a:xfrm>
        <a:prstGeom prst="rect">
          <a:avLst/>
        </a:prstGeom>
      </xdr:spPr>
    </xdr:pic>
    <xdr:clientData/>
  </xdr:twoCellAnchor>
  <xdr:twoCellAnchor editAs="oneCell">
    <xdr:from>
      <xdr:col>0</xdr:col>
      <xdr:colOff>0</xdr:colOff>
      <xdr:row>671</xdr:row>
      <xdr:rowOff>0</xdr:rowOff>
    </xdr:from>
    <xdr:to>
      <xdr:col>22</xdr:col>
      <xdr:colOff>589141</xdr:colOff>
      <xdr:row>706</xdr:row>
      <xdr:rowOff>94572</xdr:rowOff>
    </xdr:to>
    <xdr:pic>
      <xdr:nvPicPr>
        <xdr:cNvPr id="26" name="图片 25">
          <a:extLst>
            <a:ext uri="{FF2B5EF4-FFF2-40B4-BE49-F238E27FC236}">
              <a16:creationId xmlns="" xmlns:a16="http://schemas.microsoft.com/office/drawing/2014/main" id="{00000000-0008-0000-1400-00001A000000}"/>
            </a:ext>
          </a:extLst>
        </xdr:cNvPr>
        <xdr:cNvPicPr>
          <a:picLocks noChangeAspect="1"/>
        </xdr:cNvPicPr>
      </xdr:nvPicPr>
      <xdr:blipFill>
        <a:blip xmlns:r="http://schemas.openxmlformats.org/officeDocument/2006/relationships" r:embed="rId25"/>
        <a:stretch>
          <a:fillRect/>
        </a:stretch>
      </xdr:blipFill>
      <xdr:spPr>
        <a:xfrm>
          <a:off x="0" y="100584000"/>
          <a:ext cx="11276191" cy="5428572"/>
        </a:xfrm>
        <a:prstGeom prst="rect">
          <a:avLst/>
        </a:prstGeom>
      </xdr:spPr>
    </xdr:pic>
    <xdr:clientData/>
  </xdr:twoCellAnchor>
  <xdr:twoCellAnchor editAs="oneCell">
    <xdr:from>
      <xdr:col>0</xdr:col>
      <xdr:colOff>0</xdr:colOff>
      <xdr:row>707</xdr:row>
      <xdr:rowOff>0</xdr:rowOff>
    </xdr:from>
    <xdr:to>
      <xdr:col>22</xdr:col>
      <xdr:colOff>455808</xdr:colOff>
      <xdr:row>732</xdr:row>
      <xdr:rowOff>37619</xdr:rowOff>
    </xdr:to>
    <xdr:pic>
      <xdr:nvPicPr>
        <xdr:cNvPr id="27" name="图片 26">
          <a:extLst>
            <a:ext uri="{FF2B5EF4-FFF2-40B4-BE49-F238E27FC236}">
              <a16:creationId xmlns="" xmlns:a16="http://schemas.microsoft.com/office/drawing/2014/main" id="{00000000-0008-0000-1400-00001B000000}"/>
            </a:ext>
          </a:extLst>
        </xdr:cNvPr>
        <xdr:cNvPicPr>
          <a:picLocks noChangeAspect="1"/>
        </xdr:cNvPicPr>
      </xdr:nvPicPr>
      <xdr:blipFill>
        <a:blip xmlns:r="http://schemas.openxmlformats.org/officeDocument/2006/relationships" r:embed="rId26"/>
        <a:stretch>
          <a:fillRect/>
        </a:stretch>
      </xdr:blipFill>
      <xdr:spPr>
        <a:xfrm>
          <a:off x="0" y="106070400"/>
          <a:ext cx="11142858" cy="3847619"/>
        </a:xfrm>
        <a:prstGeom prst="rect">
          <a:avLst/>
        </a:prstGeom>
      </xdr:spPr>
    </xdr:pic>
    <xdr:clientData/>
  </xdr:twoCellAnchor>
  <xdr:twoCellAnchor editAs="oneCell">
    <xdr:from>
      <xdr:col>0</xdr:col>
      <xdr:colOff>0</xdr:colOff>
      <xdr:row>764</xdr:row>
      <xdr:rowOff>0</xdr:rowOff>
    </xdr:from>
    <xdr:to>
      <xdr:col>22</xdr:col>
      <xdr:colOff>493903</xdr:colOff>
      <xdr:row>784</xdr:row>
      <xdr:rowOff>142476</xdr:rowOff>
    </xdr:to>
    <xdr:pic>
      <xdr:nvPicPr>
        <xdr:cNvPr id="29" name="图片 28">
          <a:extLst>
            <a:ext uri="{FF2B5EF4-FFF2-40B4-BE49-F238E27FC236}">
              <a16:creationId xmlns="" xmlns:a16="http://schemas.microsoft.com/office/drawing/2014/main" id="{00000000-0008-0000-1400-00001D000000}"/>
            </a:ext>
          </a:extLst>
        </xdr:cNvPr>
        <xdr:cNvPicPr>
          <a:picLocks noChangeAspect="1"/>
        </xdr:cNvPicPr>
      </xdr:nvPicPr>
      <xdr:blipFill>
        <a:blip xmlns:r="http://schemas.openxmlformats.org/officeDocument/2006/relationships" r:embed="rId27"/>
        <a:stretch>
          <a:fillRect/>
        </a:stretch>
      </xdr:blipFill>
      <xdr:spPr>
        <a:xfrm>
          <a:off x="0" y="114757200"/>
          <a:ext cx="11180953" cy="3190476"/>
        </a:xfrm>
        <a:prstGeom prst="rect">
          <a:avLst/>
        </a:prstGeom>
      </xdr:spPr>
    </xdr:pic>
    <xdr:clientData/>
  </xdr:twoCellAnchor>
  <xdr:twoCellAnchor editAs="oneCell">
    <xdr:from>
      <xdr:col>0</xdr:col>
      <xdr:colOff>0</xdr:colOff>
      <xdr:row>785</xdr:row>
      <xdr:rowOff>0</xdr:rowOff>
    </xdr:from>
    <xdr:to>
      <xdr:col>22</xdr:col>
      <xdr:colOff>474856</xdr:colOff>
      <xdr:row>806</xdr:row>
      <xdr:rowOff>9124</xdr:rowOff>
    </xdr:to>
    <xdr:pic>
      <xdr:nvPicPr>
        <xdr:cNvPr id="30" name="图片 29">
          <a:extLst>
            <a:ext uri="{FF2B5EF4-FFF2-40B4-BE49-F238E27FC236}">
              <a16:creationId xmlns="" xmlns:a16="http://schemas.microsoft.com/office/drawing/2014/main" id="{00000000-0008-0000-1400-00001E000000}"/>
            </a:ext>
          </a:extLst>
        </xdr:cNvPr>
        <xdr:cNvPicPr>
          <a:picLocks noChangeAspect="1"/>
        </xdr:cNvPicPr>
      </xdr:nvPicPr>
      <xdr:blipFill>
        <a:blip xmlns:r="http://schemas.openxmlformats.org/officeDocument/2006/relationships" r:embed="rId28"/>
        <a:stretch>
          <a:fillRect/>
        </a:stretch>
      </xdr:blipFill>
      <xdr:spPr>
        <a:xfrm>
          <a:off x="0" y="117957600"/>
          <a:ext cx="11161906" cy="3209524"/>
        </a:xfrm>
        <a:prstGeom prst="rect">
          <a:avLst/>
        </a:prstGeom>
      </xdr:spPr>
    </xdr:pic>
    <xdr:clientData/>
  </xdr:twoCellAnchor>
  <xdr:twoCellAnchor editAs="oneCell">
    <xdr:from>
      <xdr:col>0</xdr:col>
      <xdr:colOff>0</xdr:colOff>
      <xdr:row>807</xdr:row>
      <xdr:rowOff>0</xdr:rowOff>
    </xdr:from>
    <xdr:to>
      <xdr:col>22</xdr:col>
      <xdr:colOff>522475</xdr:colOff>
      <xdr:row>835</xdr:row>
      <xdr:rowOff>132800</xdr:rowOff>
    </xdr:to>
    <xdr:pic>
      <xdr:nvPicPr>
        <xdr:cNvPr id="31" name="图片 30">
          <a:extLst>
            <a:ext uri="{FF2B5EF4-FFF2-40B4-BE49-F238E27FC236}">
              <a16:creationId xmlns="" xmlns:a16="http://schemas.microsoft.com/office/drawing/2014/main" id="{00000000-0008-0000-1400-00001F000000}"/>
            </a:ext>
          </a:extLst>
        </xdr:cNvPr>
        <xdr:cNvPicPr>
          <a:picLocks noChangeAspect="1"/>
        </xdr:cNvPicPr>
      </xdr:nvPicPr>
      <xdr:blipFill>
        <a:blip xmlns:r="http://schemas.openxmlformats.org/officeDocument/2006/relationships" r:embed="rId29"/>
        <a:stretch>
          <a:fillRect/>
        </a:stretch>
      </xdr:blipFill>
      <xdr:spPr>
        <a:xfrm>
          <a:off x="0" y="121310400"/>
          <a:ext cx="11209525" cy="4400000"/>
        </a:xfrm>
        <a:prstGeom prst="rect">
          <a:avLst/>
        </a:prstGeom>
      </xdr:spPr>
    </xdr:pic>
    <xdr:clientData/>
  </xdr:twoCellAnchor>
  <xdr:twoCellAnchor editAs="oneCell">
    <xdr:from>
      <xdr:col>0</xdr:col>
      <xdr:colOff>0</xdr:colOff>
      <xdr:row>837</xdr:row>
      <xdr:rowOff>0</xdr:rowOff>
    </xdr:from>
    <xdr:to>
      <xdr:col>22</xdr:col>
      <xdr:colOff>465332</xdr:colOff>
      <xdr:row>854</xdr:row>
      <xdr:rowOff>18724</xdr:rowOff>
    </xdr:to>
    <xdr:pic>
      <xdr:nvPicPr>
        <xdr:cNvPr id="32" name="图片 31">
          <a:extLst>
            <a:ext uri="{FF2B5EF4-FFF2-40B4-BE49-F238E27FC236}">
              <a16:creationId xmlns="" xmlns:a16="http://schemas.microsoft.com/office/drawing/2014/main" id="{00000000-0008-0000-1400-000020000000}"/>
            </a:ext>
          </a:extLst>
        </xdr:cNvPr>
        <xdr:cNvPicPr>
          <a:picLocks noChangeAspect="1"/>
        </xdr:cNvPicPr>
      </xdr:nvPicPr>
      <xdr:blipFill>
        <a:blip xmlns:r="http://schemas.openxmlformats.org/officeDocument/2006/relationships" r:embed="rId30"/>
        <a:stretch>
          <a:fillRect/>
        </a:stretch>
      </xdr:blipFill>
      <xdr:spPr>
        <a:xfrm>
          <a:off x="0" y="125882400"/>
          <a:ext cx="11152382" cy="2609524"/>
        </a:xfrm>
        <a:prstGeom prst="rect">
          <a:avLst/>
        </a:prstGeom>
      </xdr:spPr>
    </xdr:pic>
    <xdr:clientData/>
  </xdr:twoCellAnchor>
  <xdr:twoCellAnchor editAs="oneCell">
    <xdr:from>
      <xdr:col>0</xdr:col>
      <xdr:colOff>0</xdr:colOff>
      <xdr:row>855</xdr:row>
      <xdr:rowOff>0</xdr:rowOff>
    </xdr:from>
    <xdr:to>
      <xdr:col>22</xdr:col>
      <xdr:colOff>351046</xdr:colOff>
      <xdr:row>885</xdr:row>
      <xdr:rowOff>66096</xdr:rowOff>
    </xdr:to>
    <xdr:pic>
      <xdr:nvPicPr>
        <xdr:cNvPr id="33" name="图片 32">
          <a:extLst>
            <a:ext uri="{FF2B5EF4-FFF2-40B4-BE49-F238E27FC236}">
              <a16:creationId xmlns="" xmlns:a16="http://schemas.microsoft.com/office/drawing/2014/main" id="{00000000-0008-0000-1400-000021000000}"/>
            </a:ext>
          </a:extLst>
        </xdr:cNvPr>
        <xdr:cNvPicPr>
          <a:picLocks noChangeAspect="1"/>
        </xdr:cNvPicPr>
      </xdr:nvPicPr>
      <xdr:blipFill>
        <a:blip xmlns:r="http://schemas.openxmlformats.org/officeDocument/2006/relationships" r:embed="rId31"/>
        <a:stretch>
          <a:fillRect/>
        </a:stretch>
      </xdr:blipFill>
      <xdr:spPr>
        <a:xfrm>
          <a:off x="0" y="128625600"/>
          <a:ext cx="11038096" cy="4638096"/>
        </a:xfrm>
        <a:prstGeom prst="rect">
          <a:avLst/>
        </a:prstGeom>
      </xdr:spPr>
    </xdr:pic>
    <xdr:clientData/>
  </xdr:twoCellAnchor>
  <xdr:twoCellAnchor editAs="oneCell">
    <xdr:from>
      <xdr:col>0</xdr:col>
      <xdr:colOff>0</xdr:colOff>
      <xdr:row>733</xdr:row>
      <xdr:rowOff>0</xdr:rowOff>
    </xdr:from>
    <xdr:to>
      <xdr:col>22</xdr:col>
      <xdr:colOff>541522</xdr:colOff>
      <xdr:row>759</xdr:row>
      <xdr:rowOff>75638</xdr:rowOff>
    </xdr:to>
    <xdr:pic>
      <xdr:nvPicPr>
        <xdr:cNvPr id="34" name="图片 33">
          <a:extLst>
            <a:ext uri="{FF2B5EF4-FFF2-40B4-BE49-F238E27FC236}">
              <a16:creationId xmlns="" xmlns:a16="http://schemas.microsoft.com/office/drawing/2014/main" id="{00000000-0008-0000-1400-000022000000}"/>
            </a:ext>
          </a:extLst>
        </xdr:cNvPr>
        <xdr:cNvPicPr>
          <a:picLocks noChangeAspect="1"/>
        </xdr:cNvPicPr>
      </xdr:nvPicPr>
      <xdr:blipFill>
        <a:blip xmlns:r="http://schemas.openxmlformats.org/officeDocument/2006/relationships" r:embed="rId32"/>
        <a:stretch>
          <a:fillRect/>
        </a:stretch>
      </xdr:blipFill>
      <xdr:spPr>
        <a:xfrm>
          <a:off x="0" y="110032800"/>
          <a:ext cx="11228572" cy="4495238"/>
        </a:xfrm>
        <a:prstGeom prst="rect">
          <a:avLst/>
        </a:prstGeom>
      </xdr:spPr>
    </xdr:pic>
    <xdr:clientData/>
  </xdr:twoCellAnchor>
  <xdr:twoCellAnchor editAs="oneCell">
    <xdr:from>
      <xdr:col>0</xdr:col>
      <xdr:colOff>0</xdr:colOff>
      <xdr:row>20</xdr:row>
      <xdr:rowOff>0</xdr:rowOff>
    </xdr:from>
    <xdr:to>
      <xdr:col>19</xdr:col>
      <xdr:colOff>8440</xdr:colOff>
      <xdr:row>52</xdr:row>
      <xdr:rowOff>123200</xdr:rowOff>
    </xdr:to>
    <xdr:pic>
      <xdr:nvPicPr>
        <xdr:cNvPr id="35" name="图片 34">
          <a:extLst>
            <a:ext uri="{FF2B5EF4-FFF2-40B4-BE49-F238E27FC236}">
              <a16:creationId xmlns="" xmlns:a16="http://schemas.microsoft.com/office/drawing/2014/main" id="{00000000-0008-0000-1400-000023000000}"/>
            </a:ext>
          </a:extLst>
        </xdr:cNvPr>
        <xdr:cNvPicPr>
          <a:picLocks noChangeAspect="1"/>
        </xdr:cNvPicPr>
      </xdr:nvPicPr>
      <xdr:blipFill>
        <a:blip xmlns:r="http://schemas.openxmlformats.org/officeDocument/2006/relationships" r:embed="rId33"/>
        <a:stretch>
          <a:fillRect/>
        </a:stretch>
      </xdr:blipFill>
      <xdr:spPr>
        <a:xfrm>
          <a:off x="0" y="1371600"/>
          <a:ext cx="8685715" cy="5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9</xdr:col>
      <xdr:colOff>1494066</xdr:colOff>
      <xdr:row>24</xdr:row>
      <xdr:rowOff>142643</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2400300"/>
          <a:ext cx="10876191" cy="1857143"/>
        </a:xfrm>
        <a:prstGeom prst="rect">
          <a:avLst/>
        </a:prstGeom>
      </xdr:spPr>
    </xdr:pic>
    <xdr:clientData/>
  </xdr:twoCellAnchor>
  <xdr:twoCellAnchor editAs="oneCell">
    <xdr:from>
      <xdr:col>0</xdr:col>
      <xdr:colOff>0</xdr:colOff>
      <xdr:row>25</xdr:row>
      <xdr:rowOff>0</xdr:rowOff>
    </xdr:from>
    <xdr:to>
      <xdr:col>9</xdr:col>
      <xdr:colOff>1341685</xdr:colOff>
      <xdr:row>47</xdr:row>
      <xdr:rowOff>142386</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4286250"/>
          <a:ext cx="10723810" cy="3914286"/>
        </a:xfrm>
        <a:prstGeom prst="rect">
          <a:avLst/>
        </a:prstGeom>
      </xdr:spPr>
    </xdr:pic>
    <xdr:clientData/>
  </xdr:twoCellAnchor>
  <xdr:twoCellAnchor editAs="oneCell">
    <xdr:from>
      <xdr:col>0</xdr:col>
      <xdr:colOff>0</xdr:colOff>
      <xdr:row>48</xdr:row>
      <xdr:rowOff>0</xdr:rowOff>
    </xdr:from>
    <xdr:to>
      <xdr:col>10</xdr:col>
      <xdr:colOff>227209</xdr:colOff>
      <xdr:row>67</xdr:row>
      <xdr:rowOff>161498</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8229600"/>
          <a:ext cx="11133334" cy="3419048"/>
        </a:xfrm>
        <a:prstGeom prst="rect">
          <a:avLst/>
        </a:prstGeom>
      </xdr:spPr>
    </xdr:pic>
    <xdr:clientData/>
  </xdr:twoCellAnchor>
  <xdr:twoCellAnchor editAs="oneCell">
    <xdr:from>
      <xdr:col>0</xdr:col>
      <xdr:colOff>0</xdr:colOff>
      <xdr:row>68</xdr:row>
      <xdr:rowOff>0</xdr:rowOff>
    </xdr:from>
    <xdr:to>
      <xdr:col>10</xdr:col>
      <xdr:colOff>189114</xdr:colOff>
      <xdr:row>96</xdr:row>
      <xdr:rowOff>85115</xdr:rowOff>
    </xdr:to>
    <xdr:pic>
      <xdr:nvPicPr>
        <xdr:cNvPr id="5" name="图片 4">
          <a:extLst>
            <a:ext uri="{FF2B5EF4-FFF2-40B4-BE49-F238E27FC236}">
              <a16:creationId xmlns=""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1658600"/>
          <a:ext cx="11095239" cy="4885715"/>
        </a:xfrm>
        <a:prstGeom prst="rect">
          <a:avLst/>
        </a:prstGeom>
      </xdr:spPr>
    </xdr:pic>
    <xdr:clientData/>
  </xdr:twoCellAnchor>
  <xdr:twoCellAnchor editAs="oneCell">
    <xdr:from>
      <xdr:col>0</xdr:col>
      <xdr:colOff>0</xdr:colOff>
      <xdr:row>97</xdr:row>
      <xdr:rowOff>0</xdr:rowOff>
    </xdr:from>
    <xdr:to>
      <xdr:col>10</xdr:col>
      <xdr:colOff>112923</xdr:colOff>
      <xdr:row>128</xdr:row>
      <xdr:rowOff>27908</xdr:rowOff>
    </xdr:to>
    <xdr:pic>
      <xdr:nvPicPr>
        <xdr:cNvPr id="6" name="图片 5">
          <a:extLst>
            <a:ext uri="{FF2B5EF4-FFF2-40B4-BE49-F238E27FC236}">
              <a16:creationId xmlns=""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6630650"/>
          <a:ext cx="11019048" cy="5342858"/>
        </a:xfrm>
        <a:prstGeom prst="rect">
          <a:avLst/>
        </a:prstGeom>
      </xdr:spPr>
    </xdr:pic>
    <xdr:clientData/>
  </xdr:twoCellAnchor>
  <xdr:twoCellAnchor editAs="oneCell">
    <xdr:from>
      <xdr:col>0</xdr:col>
      <xdr:colOff>0</xdr:colOff>
      <xdr:row>129</xdr:row>
      <xdr:rowOff>0</xdr:rowOff>
    </xdr:from>
    <xdr:to>
      <xdr:col>10</xdr:col>
      <xdr:colOff>331971</xdr:colOff>
      <xdr:row>152</xdr:row>
      <xdr:rowOff>75698</xdr:rowOff>
    </xdr:to>
    <xdr:pic>
      <xdr:nvPicPr>
        <xdr:cNvPr id="7" name="图片 6">
          <a:extLst>
            <a:ext uri="{FF2B5EF4-FFF2-40B4-BE49-F238E27FC236}">
              <a16:creationId xmlns=""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117050"/>
          <a:ext cx="11238096" cy="4019048"/>
        </a:xfrm>
        <a:prstGeom prst="rect">
          <a:avLst/>
        </a:prstGeom>
      </xdr:spPr>
    </xdr:pic>
    <xdr:clientData/>
  </xdr:twoCellAnchor>
  <xdr:twoCellAnchor editAs="oneCell">
    <xdr:from>
      <xdr:col>0</xdr:col>
      <xdr:colOff>0</xdr:colOff>
      <xdr:row>153</xdr:row>
      <xdr:rowOff>0</xdr:rowOff>
    </xdr:from>
    <xdr:to>
      <xdr:col>10</xdr:col>
      <xdr:colOff>74828</xdr:colOff>
      <xdr:row>181</xdr:row>
      <xdr:rowOff>47019</xdr:rowOff>
    </xdr:to>
    <xdr:pic>
      <xdr:nvPicPr>
        <xdr:cNvPr id="8" name="图片 7">
          <a:extLst>
            <a:ext uri="{FF2B5EF4-FFF2-40B4-BE49-F238E27FC236}">
              <a16:creationId xmlns=""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0" y="26231850"/>
          <a:ext cx="10980953" cy="4847619"/>
        </a:xfrm>
        <a:prstGeom prst="rect">
          <a:avLst/>
        </a:prstGeom>
      </xdr:spPr>
    </xdr:pic>
    <xdr:clientData/>
  </xdr:twoCellAnchor>
  <xdr:twoCellAnchor editAs="oneCell">
    <xdr:from>
      <xdr:col>0</xdr:col>
      <xdr:colOff>0</xdr:colOff>
      <xdr:row>182</xdr:row>
      <xdr:rowOff>0</xdr:rowOff>
    </xdr:from>
    <xdr:to>
      <xdr:col>10</xdr:col>
      <xdr:colOff>65304</xdr:colOff>
      <xdr:row>203</xdr:row>
      <xdr:rowOff>28122</xdr:rowOff>
    </xdr:to>
    <xdr:pic>
      <xdr:nvPicPr>
        <xdr:cNvPr id="9" name="图片 8">
          <a:extLst>
            <a:ext uri="{FF2B5EF4-FFF2-40B4-BE49-F238E27FC236}">
              <a16:creationId xmlns="" xmlns:a16="http://schemas.microsoft.com/office/drawing/2014/main" id="{00000000-0008-0000-2900-000009000000}"/>
            </a:ext>
          </a:extLst>
        </xdr:cNvPr>
        <xdr:cNvPicPr>
          <a:picLocks noChangeAspect="1"/>
        </xdr:cNvPicPr>
      </xdr:nvPicPr>
      <xdr:blipFill>
        <a:blip xmlns:r="http://schemas.openxmlformats.org/officeDocument/2006/relationships" r:embed="rId8"/>
        <a:stretch>
          <a:fillRect/>
        </a:stretch>
      </xdr:blipFill>
      <xdr:spPr>
        <a:xfrm>
          <a:off x="0" y="31203900"/>
          <a:ext cx="10971429" cy="3628572"/>
        </a:xfrm>
        <a:prstGeom prst="rect">
          <a:avLst/>
        </a:prstGeom>
      </xdr:spPr>
    </xdr:pic>
    <xdr:clientData/>
  </xdr:twoCellAnchor>
  <xdr:twoCellAnchor editAs="oneCell">
    <xdr:from>
      <xdr:col>0</xdr:col>
      <xdr:colOff>0</xdr:colOff>
      <xdr:row>204</xdr:row>
      <xdr:rowOff>0</xdr:rowOff>
    </xdr:from>
    <xdr:to>
      <xdr:col>10</xdr:col>
      <xdr:colOff>303400</xdr:colOff>
      <xdr:row>228</xdr:row>
      <xdr:rowOff>9010</xdr:rowOff>
    </xdr:to>
    <xdr:pic>
      <xdr:nvPicPr>
        <xdr:cNvPr id="10" name="图片 9">
          <a:extLst>
            <a:ext uri="{FF2B5EF4-FFF2-40B4-BE49-F238E27FC236}">
              <a16:creationId xmlns="" xmlns:a16="http://schemas.microsoft.com/office/drawing/2014/main" id="{00000000-0008-0000-2900-00000A000000}"/>
            </a:ext>
          </a:extLst>
        </xdr:cNvPr>
        <xdr:cNvPicPr>
          <a:picLocks noChangeAspect="1"/>
        </xdr:cNvPicPr>
      </xdr:nvPicPr>
      <xdr:blipFill>
        <a:blip xmlns:r="http://schemas.openxmlformats.org/officeDocument/2006/relationships" r:embed="rId9"/>
        <a:stretch>
          <a:fillRect/>
        </a:stretch>
      </xdr:blipFill>
      <xdr:spPr>
        <a:xfrm>
          <a:off x="0" y="34975800"/>
          <a:ext cx="11209525" cy="4123810"/>
        </a:xfrm>
        <a:prstGeom prst="rect">
          <a:avLst/>
        </a:prstGeom>
      </xdr:spPr>
    </xdr:pic>
    <xdr:clientData/>
  </xdr:twoCellAnchor>
  <xdr:twoCellAnchor editAs="oneCell">
    <xdr:from>
      <xdr:col>0</xdr:col>
      <xdr:colOff>0</xdr:colOff>
      <xdr:row>229</xdr:row>
      <xdr:rowOff>0</xdr:rowOff>
    </xdr:from>
    <xdr:to>
      <xdr:col>2</xdr:col>
      <xdr:colOff>742574</xdr:colOff>
      <xdr:row>237</xdr:row>
      <xdr:rowOff>56972</xdr:rowOff>
    </xdr:to>
    <xdr:pic>
      <xdr:nvPicPr>
        <xdr:cNvPr id="11" name="图片 10">
          <a:extLst>
            <a:ext uri="{FF2B5EF4-FFF2-40B4-BE49-F238E27FC236}">
              <a16:creationId xmlns="" xmlns:a16="http://schemas.microsoft.com/office/drawing/2014/main" id="{00000000-0008-0000-2900-00000B000000}"/>
            </a:ext>
          </a:extLst>
        </xdr:cNvPr>
        <xdr:cNvPicPr>
          <a:picLocks noChangeAspect="1"/>
        </xdr:cNvPicPr>
      </xdr:nvPicPr>
      <xdr:blipFill>
        <a:blip xmlns:r="http://schemas.openxmlformats.org/officeDocument/2006/relationships" r:embed="rId10"/>
        <a:stretch>
          <a:fillRect/>
        </a:stretch>
      </xdr:blipFill>
      <xdr:spPr>
        <a:xfrm>
          <a:off x="0" y="39262050"/>
          <a:ext cx="3009524" cy="1428572"/>
        </a:xfrm>
        <a:prstGeom prst="rect">
          <a:avLst/>
        </a:prstGeom>
      </xdr:spPr>
    </xdr:pic>
    <xdr:clientData/>
  </xdr:twoCellAnchor>
  <xdr:twoCellAnchor editAs="oneCell">
    <xdr:from>
      <xdr:col>2</xdr:col>
      <xdr:colOff>685800</xdr:colOff>
      <xdr:row>228</xdr:row>
      <xdr:rowOff>133350</xdr:rowOff>
    </xdr:from>
    <xdr:to>
      <xdr:col>10</xdr:col>
      <xdr:colOff>84721</xdr:colOff>
      <xdr:row>239</xdr:row>
      <xdr:rowOff>9305</xdr:rowOff>
    </xdr:to>
    <xdr:pic>
      <xdr:nvPicPr>
        <xdr:cNvPr id="12" name="图片 11">
          <a:extLst>
            <a:ext uri="{FF2B5EF4-FFF2-40B4-BE49-F238E27FC236}">
              <a16:creationId xmlns="" xmlns:a16="http://schemas.microsoft.com/office/drawing/2014/main" id="{00000000-0008-0000-2900-00000C000000}"/>
            </a:ext>
          </a:extLst>
        </xdr:cNvPr>
        <xdr:cNvPicPr>
          <a:picLocks noChangeAspect="1"/>
        </xdr:cNvPicPr>
      </xdr:nvPicPr>
      <xdr:blipFill>
        <a:blip xmlns:r="http://schemas.openxmlformats.org/officeDocument/2006/relationships" r:embed="rId11"/>
        <a:stretch>
          <a:fillRect/>
        </a:stretch>
      </xdr:blipFill>
      <xdr:spPr>
        <a:xfrm>
          <a:off x="2952750" y="39223950"/>
          <a:ext cx="8038096" cy="1761905"/>
        </a:xfrm>
        <a:prstGeom prst="rect">
          <a:avLst/>
        </a:prstGeom>
      </xdr:spPr>
    </xdr:pic>
    <xdr:clientData/>
  </xdr:twoCellAnchor>
  <xdr:twoCellAnchor editAs="oneCell">
    <xdr:from>
      <xdr:col>0</xdr:col>
      <xdr:colOff>0</xdr:colOff>
      <xdr:row>240</xdr:row>
      <xdr:rowOff>0</xdr:rowOff>
    </xdr:from>
    <xdr:to>
      <xdr:col>9</xdr:col>
      <xdr:colOff>1370257</xdr:colOff>
      <xdr:row>274</xdr:row>
      <xdr:rowOff>65938</xdr:rowOff>
    </xdr:to>
    <xdr:pic>
      <xdr:nvPicPr>
        <xdr:cNvPr id="13" name="图片 12">
          <a:extLst>
            <a:ext uri="{FF2B5EF4-FFF2-40B4-BE49-F238E27FC236}">
              <a16:creationId xmlns="" xmlns:a16="http://schemas.microsoft.com/office/drawing/2014/main" id="{00000000-0008-0000-2900-00000D000000}"/>
            </a:ext>
          </a:extLst>
        </xdr:cNvPr>
        <xdr:cNvPicPr>
          <a:picLocks noChangeAspect="1"/>
        </xdr:cNvPicPr>
      </xdr:nvPicPr>
      <xdr:blipFill>
        <a:blip xmlns:r="http://schemas.openxmlformats.org/officeDocument/2006/relationships" r:embed="rId12"/>
        <a:stretch>
          <a:fillRect/>
        </a:stretch>
      </xdr:blipFill>
      <xdr:spPr>
        <a:xfrm>
          <a:off x="0" y="41148000"/>
          <a:ext cx="10752382" cy="5895238"/>
        </a:xfrm>
        <a:prstGeom prst="rect">
          <a:avLst/>
        </a:prstGeom>
      </xdr:spPr>
    </xdr:pic>
    <xdr:clientData/>
  </xdr:twoCellAnchor>
  <xdr:twoCellAnchor editAs="oneCell">
    <xdr:from>
      <xdr:col>0</xdr:col>
      <xdr:colOff>0</xdr:colOff>
      <xdr:row>275</xdr:row>
      <xdr:rowOff>0</xdr:rowOff>
    </xdr:from>
    <xdr:to>
      <xdr:col>10</xdr:col>
      <xdr:colOff>179590</xdr:colOff>
      <xdr:row>297</xdr:row>
      <xdr:rowOff>9053</xdr:rowOff>
    </xdr:to>
    <xdr:pic>
      <xdr:nvPicPr>
        <xdr:cNvPr id="14" name="图片 13">
          <a:extLst>
            <a:ext uri="{FF2B5EF4-FFF2-40B4-BE49-F238E27FC236}">
              <a16:creationId xmlns="" xmlns:a16="http://schemas.microsoft.com/office/drawing/2014/main" id="{00000000-0008-0000-2900-00000E000000}"/>
            </a:ext>
          </a:extLst>
        </xdr:cNvPr>
        <xdr:cNvPicPr>
          <a:picLocks noChangeAspect="1"/>
        </xdr:cNvPicPr>
      </xdr:nvPicPr>
      <xdr:blipFill>
        <a:blip xmlns:r="http://schemas.openxmlformats.org/officeDocument/2006/relationships" r:embed="rId13"/>
        <a:stretch>
          <a:fillRect/>
        </a:stretch>
      </xdr:blipFill>
      <xdr:spPr>
        <a:xfrm>
          <a:off x="0" y="47148750"/>
          <a:ext cx="11085715" cy="3780953"/>
        </a:xfrm>
        <a:prstGeom prst="rect">
          <a:avLst/>
        </a:prstGeom>
      </xdr:spPr>
    </xdr:pic>
    <xdr:clientData/>
  </xdr:twoCellAnchor>
  <xdr:twoCellAnchor editAs="oneCell">
    <xdr:from>
      <xdr:col>0</xdr:col>
      <xdr:colOff>0</xdr:colOff>
      <xdr:row>297</xdr:row>
      <xdr:rowOff>0</xdr:rowOff>
    </xdr:from>
    <xdr:to>
      <xdr:col>9</xdr:col>
      <xdr:colOff>1455971</xdr:colOff>
      <xdr:row>322</xdr:row>
      <xdr:rowOff>28036</xdr:rowOff>
    </xdr:to>
    <xdr:pic>
      <xdr:nvPicPr>
        <xdr:cNvPr id="15" name="图片 14">
          <a:extLst>
            <a:ext uri="{FF2B5EF4-FFF2-40B4-BE49-F238E27FC236}">
              <a16:creationId xmlns="" xmlns:a16="http://schemas.microsoft.com/office/drawing/2014/main" id="{00000000-0008-0000-2900-00000F000000}"/>
            </a:ext>
          </a:extLst>
        </xdr:cNvPr>
        <xdr:cNvPicPr>
          <a:picLocks noChangeAspect="1"/>
        </xdr:cNvPicPr>
      </xdr:nvPicPr>
      <xdr:blipFill>
        <a:blip xmlns:r="http://schemas.openxmlformats.org/officeDocument/2006/relationships" r:embed="rId14"/>
        <a:stretch>
          <a:fillRect/>
        </a:stretch>
      </xdr:blipFill>
      <xdr:spPr>
        <a:xfrm>
          <a:off x="0" y="50920650"/>
          <a:ext cx="10838096" cy="4314286"/>
        </a:xfrm>
        <a:prstGeom prst="rect">
          <a:avLst/>
        </a:prstGeom>
      </xdr:spPr>
    </xdr:pic>
    <xdr:clientData/>
  </xdr:twoCellAnchor>
  <xdr:twoCellAnchor editAs="oneCell">
    <xdr:from>
      <xdr:col>0</xdr:col>
      <xdr:colOff>0</xdr:colOff>
      <xdr:row>323</xdr:row>
      <xdr:rowOff>0</xdr:rowOff>
    </xdr:from>
    <xdr:to>
      <xdr:col>10</xdr:col>
      <xdr:colOff>46257</xdr:colOff>
      <xdr:row>337</xdr:row>
      <xdr:rowOff>142557</xdr:rowOff>
    </xdr:to>
    <xdr:pic>
      <xdr:nvPicPr>
        <xdr:cNvPr id="16" name="图片 15">
          <a:extLst>
            <a:ext uri="{FF2B5EF4-FFF2-40B4-BE49-F238E27FC236}">
              <a16:creationId xmlns="" xmlns:a16="http://schemas.microsoft.com/office/drawing/2014/main" id="{00000000-0008-0000-2900-000010000000}"/>
            </a:ext>
          </a:extLst>
        </xdr:cNvPr>
        <xdr:cNvPicPr>
          <a:picLocks noChangeAspect="1"/>
        </xdr:cNvPicPr>
      </xdr:nvPicPr>
      <xdr:blipFill>
        <a:blip xmlns:r="http://schemas.openxmlformats.org/officeDocument/2006/relationships" r:embed="rId15"/>
        <a:stretch>
          <a:fillRect/>
        </a:stretch>
      </xdr:blipFill>
      <xdr:spPr>
        <a:xfrm>
          <a:off x="0" y="55378350"/>
          <a:ext cx="10952382" cy="2542857"/>
        </a:xfrm>
        <a:prstGeom prst="rect">
          <a:avLst/>
        </a:prstGeom>
      </xdr:spPr>
    </xdr:pic>
    <xdr:clientData/>
  </xdr:twoCellAnchor>
  <xdr:twoCellAnchor editAs="oneCell">
    <xdr:from>
      <xdr:col>0</xdr:col>
      <xdr:colOff>0</xdr:colOff>
      <xdr:row>342</xdr:row>
      <xdr:rowOff>0</xdr:rowOff>
    </xdr:from>
    <xdr:to>
      <xdr:col>10</xdr:col>
      <xdr:colOff>131971</xdr:colOff>
      <xdr:row>353</xdr:row>
      <xdr:rowOff>133098</xdr:rowOff>
    </xdr:to>
    <xdr:pic>
      <xdr:nvPicPr>
        <xdr:cNvPr id="17" name="图片 16">
          <a:extLst>
            <a:ext uri="{FF2B5EF4-FFF2-40B4-BE49-F238E27FC236}">
              <a16:creationId xmlns="" xmlns:a16="http://schemas.microsoft.com/office/drawing/2014/main" id="{00000000-0008-0000-2900-000011000000}"/>
            </a:ext>
          </a:extLst>
        </xdr:cNvPr>
        <xdr:cNvPicPr>
          <a:picLocks noChangeAspect="1"/>
        </xdr:cNvPicPr>
      </xdr:nvPicPr>
      <xdr:blipFill>
        <a:blip xmlns:r="http://schemas.openxmlformats.org/officeDocument/2006/relationships" r:embed="rId16"/>
        <a:stretch>
          <a:fillRect/>
        </a:stretch>
      </xdr:blipFill>
      <xdr:spPr>
        <a:xfrm>
          <a:off x="0" y="58635900"/>
          <a:ext cx="11038096" cy="2019048"/>
        </a:xfrm>
        <a:prstGeom prst="rect">
          <a:avLst/>
        </a:prstGeom>
      </xdr:spPr>
    </xdr:pic>
    <xdr:clientData/>
  </xdr:twoCellAnchor>
  <xdr:twoCellAnchor editAs="oneCell">
    <xdr:from>
      <xdr:col>0</xdr:col>
      <xdr:colOff>0</xdr:colOff>
      <xdr:row>354</xdr:row>
      <xdr:rowOff>0</xdr:rowOff>
    </xdr:from>
    <xdr:to>
      <xdr:col>10</xdr:col>
      <xdr:colOff>103400</xdr:colOff>
      <xdr:row>377</xdr:row>
      <xdr:rowOff>94746</xdr:rowOff>
    </xdr:to>
    <xdr:pic>
      <xdr:nvPicPr>
        <xdr:cNvPr id="18" name="图片 17">
          <a:extLst>
            <a:ext uri="{FF2B5EF4-FFF2-40B4-BE49-F238E27FC236}">
              <a16:creationId xmlns="" xmlns:a16="http://schemas.microsoft.com/office/drawing/2014/main" id="{00000000-0008-0000-2900-000012000000}"/>
            </a:ext>
          </a:extLst>
        </xdr:cNvPr>
        <xdr:cNvPicPr>
          <a:picLocks noChangeAspect="1"/>
        </xdr:cNvPicPr>
      </xdr:nvPicPr>
      <xdr:blipFill>
        <a:blip xmlns:r="http://schemas.openxmlformats.org/officeDocument/2006/relationships" r:embed="rId17"/>
        <a:stretch>
          <a:fillRect/>
        </a:stretch>
      </xdr:blipFill>
      <xdr:spPr>
        <a:xfrm>
          <a:off x="0" y="60693300"/>
          <a:ext cx="11009525" cy="4038096"/>
        </a:xfrm>
        <a:prstGeom prst="rect">
          <a:avLst/>
        </a:prstGeom>
      </xdr:spPr>
    </xdr:pic>
    <xdr:clientData/>
  </xdr:twoCellAnchor>
  <xdr:twoCellAnchor editAs="oneCell">
    <xdr:from>
      <xdr:col>0</xdr:col>
      <xdr:colOff>0</xdr:colOff>
      <xdr:row>378</xdr:row>
      <xdr:rowOff>0</xdr:rowOff>
    </xdr:from>
    <xdr:to>
      <xdr:col>10</xdr:col>
      <xdr:colOff>160542</xdr:colOff>
      <xdr:row>398</xdr:row>
      <xdr:rowOff>94810</xdr:rowOff>
    </xdr:to>
    <xdr:pic>
      <xdr:nvPicPr>
        <xdr:cNvPr id="19" name="图片 18">
          <a:extLst>
            <a:ext uri="{FF2B5EF4-FFF2-40B4-BE49-F238E27FC236}">
              <a16:creationId xmlns="" xmlns:a16="http://schemas.microsoft.com/office/drawing/2014/main" id="{00000000-0008-0000-2900-000013000000}"/>
            </a:ext>
          </a:extLst>
        </xdr:cNvPr>
        <xdr:cNvPicPr>
          <a:picLocks noChangeAspect="1"/>
        </xdr:cNvPicPr>
      </xdr:nvPicPr>
      <xdr:blipFill>
        <a:blip xmlns:r="http://schemas.openxmlformats.org/officeDocument/2006/relationships" r:embed="rId18"/>
        <a:stretch>
          <a:fillRect/>
        </a:stretch>
      </xdr:blipFill>
      <xdr:spPr>
        <a:xfrm>
          <a:off x="0" y="64808100"/>
          <a:ext cx="11066667" cy="3523810"/>
        </a:xfrm>
        <a:prstGeom prst="rect">
          <a:avLst/>
        </a:prstGeom>
      </xdr:spPr>
    </xdr:pic>
    <xdr:clientData/>
  </xdr:twoCellAnchor>
  <xdr:twoCellAnchor editAs="oneCell">
    <xdr:from>
      <xdr:col>0</xdr:col>
      <xdr:colOff>0</xdr:colOff>
      <xdr:row>399</xdr:row>
      <xdr:rowOff>0</xdr:rowOff>
    </xdr:from>
    <xdr:to>
      <xdr:col>10</xdr:col>
      <xdr:colOff>27209</xdr:colOff>
      <xdr:row>424</xdr:row>
      <xdr:rowOff>113750</xdr:rowOff>
    </xdr:to>
    <xdr:pic>
      <xdr:nvPicPr>
        <xdr:cNvPr id="20" name="图片 19">
          <a:extLst>
            <a:ext uri="{FF2B5EF4-FFF2-40B4-BE49-F238E27FC236}">
              <a16:creationId xmlns="" xmlns:a16="http://schemas.microsoft.com/office/drawing/2014/main" id="{00000000-0008-0000-2900-000014000000}"/>
            </a:ext>
          </a:extLst>
        </xdr:cNvPr>
        <xdr:cNvPicPr>
          <a:picLocks noChangeAspect="1"/>
        </xdr:cNvPicPr>
      </xdr:nvPicPr>
      <xdr:blipFill>
        <a:blip xmlns:r="http://schemas.openxmlformats.org/officeDocument/2006/relationships" r:embed="rId19"/>
        <a:stretch>
          <a:fillRect/>
        </a:stretch>
      </xdr:blipFill>
      <xdr:spPr>
        <a:xfrm>
          <a:off x="0" y="68408550"/>
          <a:ext cx="10933334" cy="4400000"/>
        </a:xfrm>
        <a:prstGeom prst="rect">
          <a:avLst/>
        </a:prstGeom>
      </xdr:spPr>
    </xdr:pic>
    <xdr:clientData/>
  </xdr:twoCellAnchor>
  <xdr:twoCellAnchor editAs="oneCell">
    <xdr:from>
      <xdr:col>0</xdr:col>
      <xdr:colOff>0</xdr:colOff>
      <xdr:row>425</xdr:row>
      <xdr:rowOff>0</xdr:rowOff>
    </xdr:from>
    <xdr:to>
      <xdr:col>10</xdr:col>
      <xdr:colOff>227209</xdr:colOff>
      <xdr:row>456</xdr:row>
      <xdr:rowOff>37431</xdr:rowOff>
    </xdr:to>
    <xdr:pic>
      <xdr:nvPicPr>
        <xdr:cNvPr id="21" name="图片 20">
          <a:extLst>
            <a:ext uri="{FF2B5EF4-FFF2-40B4-BE49-F238E27FC236}">
              <a16:creationId xmlns="" xmlns:a16="http://schemas.microsoft.com/office/drawing/2014/main" id="{00000000-0008-0000-2900-000015000000}"/>
            </a:ext>
          </a:extLst>
        </xdr:cNvPr>
        <xdr:cNvPicPr>
          <a:picLocks noChangeAspect="1"/>
        </xdr:cNvPicPr>
      </xdr:nvPicPr>
      <xdr:blipFill>
        <a:blip xmlns:r="http://schemas.openxmlformats.org/officeDocument/2006/relationships" r:embed="rId20"/>
        <a:stretch>
          <a:fillRect/>
        </a:stretch>
      </xdr:blipFill>
      <xdr:spPr>
        <a:xfrm>
          <a:off x="0" y="72866250"/>
          <a:ext cx="11133334" cy="5352381"/>
        </a:xfrm>
        <a:prstGeom prst="rect">
          <a:avLst/>
        </a:prstGeom>
      </xdr:spPr>
    </xdr:pic>
    <xdr:clientData/>
  </xdr:twoCellAnchor>
  <xdr:twoCellAnchor editAs="oneCell">
    <xdr:from>
      <xdr:col>0</xdr:col>
      <xdr:colOff>0</xdr:colOff>
      <xdr:row>457</xdr:row>
      <xdr:rowOff>0</xdr:rowOff>
    </xdr:from>
    <xdr:to>
      <xdr:col>9</xdr:col>
      <xdr:colOff>1455971</xdr:colOff>
      <xdr:row>479</xdr:row>
      <xdr:rowOff>47148</xdr:rowOff>
    </xdr:to>
    <xdr:pic>
      <xdr:nvPicPr>
        <xdr:cNvPr id="22" name="图片 21">
          <a:extLst>
            <a:ext uri="{FF2B5EF4-FFF2-40B4-BE49-F238E27FC236}">
              <a16:creationId xmlns="" xmlns:a16="http://schemas.microsoft.com/office/drawing/2014/main" id="{00000000-0008-0000-2900-000016000000}"/>
            </a:ext>
          </a:extLst>
        </xdr:cNvPr>
        <xdr:cNvPicPr>
          <a:picLocks noChangeAspect="1"/>
        </xdr:cNvPicPr>
      </xdr:nvPicPr>
      <xdr:blipFill>
        <a:blip xmlns:r="http://schemas.openxmlformats.org/officeDocument/2006/relationships" r:embed="rId21"/>
        <a:stretch>
          <a:fillRect/>
        </a:stretch>
      </xdr:blipFill>
      <xdr:spPr>
        <a:xfrm>
          <a:off x="0" y="78352650"/>
          <a:ext cx="10838096" cy="3819048"/>
        </a:xfrm>
        <a:prstGeom prst="rect">
          <a:avLst/>
        </a:prstGeom>
      </xdr:spPr>
    </xdr:pic>
    <xdr:clientData/>
  </xdr:twoCellAnchor>
  <xdr:twoCellAnchor editAs="oneCell">
    <xdr:from>
      <xdr:col>0</xdr:col>
      <xdr:colOff>0</xdr:colOff>
      <xdr:row>480</xdr:row>
      <xdr:rowOff>0</xdr:rowOff>
    </xdr:from>
    <xdr:to>
      <xdr:col>9</xdr:col>
      <xdr:colOff>1284542</xdr:colOff>
      <xdr:row>497</xdr:row>
      <xdr:rowOff>9160</xdr:rowOff>
    </xdr:to>
    <xdr:pic>
      <xdr:nvPicPr>
        <xdr:cNvPr id="23" name="图片 22">
          <a:extLst>
            <a:ext uri="{FF2B5EF4-FFF2-40B4-BE49-F238E27FC236}">
              <a16:creationId xmlns="" xmlns:a16="http://schemas.microsoft.com/office/drawing/2014/main" id="{00000000-0008-0000-2900-000017000000}"/>
            </a:ext>
          </a:extLst>
        </xdr:cNvPr>
        <xdr:cNvPicPr>
          <a:picLocks noChangeAspect="1"/>
        </xdr:cNvPicPr>
      </xdr:nvPicPr>
      <xdr:blipFill>
        <a:blip xmlns:r="http://schemas.openxmlformats.org/officeDocument/2006/relationships" r:embed="rId22"/>
        <a:stretch>
          <a:fillRect/>
        </a:stretch>
      </xdr:blipFill>
      <xdr:spPr>
        <a:xfrm>
          <a:off x="0" y="82296000"/>
          <a:ext cx="10666667" cy="2923810"/>
        </a:xfrm>
        <a:prstGeom prst="rect">
          <a:avLst/>
        </a:prstGeom>
      </xdr:spPr>
    </xdr:pic>
    <xdr:clientData/>
  </xdr:twoCellAnchor>
  <xdr:twoCellAnchor editAs="oneCell">
    <xdr:from>
      <xdr:col>0</xdr:col>
      <xdr:colOff>0</xdr:colOff>
      <xdr:row>497</xdr:row>
      <xdr:rowOff>0</xdr:rowOff>
    </xdr:from>
    <xdr:to>
      <xdr:col>10</xdr:col>
      <xdr:colOff>179590</xdr:colOff>
      <xdr:row>507</xdr:row>
      <xdr:rowOff>123595</xdr:rowOff>
    </xdr:to>
    <xdr:pic>
      <xdr:nvPicPr>
        <xdr:cNvPr id="24" name="图片 23">
          <a:extLst>
            <a:ext uri="{FF2B5EF4-FFF2-40B4-BE49-F238E27FC236}">
              <a16:creationId xmlns="" xmlns:a16="http://schemas.microsoft.com/office/drawing/2014/main" id="{00000000-0008-0000-2900-000018000000}"/>
            </a:ext>
          </a:extLst>
        </xdr:cNvPr>
        <xdr:cNvPicPr>
          <a:picLocks noChangeAspect="1"/>
        </xdr:cNvPicPr>
      </xdr:nvPicPr>
      <xdr:blipFill>
        <a:blip xmlns:r="http://schemas.openxmlformats.org/officeDocument/2006/relationships" r:embed="rId23"/>
        <a:stretch>
          <a:fillRect/>
        </a:stretch>
      </xdr:blipFill>
      <xdr:spPr>
        <a:xfrm>
          <a:off x="0" y="85210650"/>
          <a:ext cx="11085715" cy="1838095"/>
        </a:xfrm>
        <a:prstGeom prst="rect">
          <a:avLst/>
        </a:prstGeom>
      </xdr:spPr>
    </xdr:pic>
    <xdr:clientData/>
  </xdr:twoCellAnchor>
  <xdr:twoCellAnchor editAs="oneCell">
    <xdr:from>
      <xdr:col>0</xdr:col>
      <xdr:colOff>0</xdr:colOff>
      <xdr:row>508</xdr:row>
      <xdr:rowOff>0</xdr:rowOff>
    </xdr:from>
    <xdr:to>
      <xdr:col>4</xdr:col>
      <xdr:colOff>904875</xdr:colOff>
      <xdr:row>522</xdr:row>
      <xdr:rowOff>125682</xdr:rowOff>
    </xdr:to>
    <xdr:pic>
      <xdr:nvPicPr>
        <xdr:cNvPr id="25" name="图片 24">
          <a:extLst>
            <a:ext uri="{FF2B5EF4-FFF2-40B4-BE49-F238E27FC236}">
              <a16:creationId xmlns="" xmlns:a16="http://schemas.microsoft.com/office/drawing/2014/main" id="{00000000-0008-0000-2900-000019000000}"/>
            </a:ext>
          </a:extLst>
        </xdr:cNvPr>
        <xdr:cNvPicPr>
          <a:picLocks noChangeAspect="1"/>
        </xdr:cNvPicPr>
      </xdr:nvPicPr>
      <xdr:blipFill>
        <a:blip xmlns:r="http://schemas.openxmlformats.org/officeDocument/2006/relationships" r:embed="rId24"/>
        <a:stretch>
          <a:fillRect/>
        </a:stretch>
      </xdr:blipFill>
      <xdr:spPr>
        <a:xfrm>
          <a:off x="0" y="87096600"/>
          <a:ext cx="4886325" cy="2525982"/>
        </a:xfrm>
        <a:prstGeom prst="rect">
          <a:avLst/>
        </a:prstGeom>
      </xdr:spPr>
    </xdr:pic>
    <xdr:clientData/>
  </xdr:twoCellAnchor>
  <xdr:twoCellAnchor editAs="oneCell">
    <xdr:from>
      <xdr:col>5</xdr:col>
      <xdr:colOff>885825</xdr:colOff>
      <xdr:row>508</xdr:row>
      <xdr:rowOff>95250</xdr:rowOff>
    </xdr:from>
    <xdr:to>
      <xdr:col>9</xdr:col>
      <xdr:colOff>56699</xdr:colOff>
      <xdr:row>532</xdr:row>
      <xdr:rowOff>56641</xdr:rowOff>
    </xdr:to>
    <xdr:pic>
      <xdr:nvPicPr>
        <xdr:cNvPr id="26" name="图片 25">
          <a:extLst>
            <a:ext uri="{FF2B5EF4-FFF2-40B4-BE49-F238E27FC236}">
              <a16:creationId xmlns="" xmlns:a16="http://schemas.microsoft.com/office/drawing/2014/main" id="{00000000-0008-0000-2900-00001A000000}"/>
            </a:ext>
          </a:extLst>
        </xdr:cNvPr>
        <xdr:cNvPicPr>
          <a:picLocks noChangeAspect="1"/>
        </xdr:cNvPicPr>
      </xdr:nvPicPr>
      <xdr:blipFill>
        <a:blip xmlns:r="http://schemas.openxmlformats.org/officeDocument/2006/relationships" r:embed="rId25"/>
        <a:stretch>
          <a:fillRect/>
        </a:stretch>
      </xdr:blipFill>
      <xdr:spPr>
        <a:xfrm>
          <a:off x="5829300" y="87191850"/>
          <a:ext cx="3609524" cy="4076191"/>
        </a:xfrm>
        <a:prstGeom prst="rect">
          <a:avLst/>
        </a:prstGeom>
      </xdr:spPr>
    </xdr:pic>
    <xdr:clientData/>
  </xdr:twoCellAnchor>
  <xdr:twoCellAnchor editAs="oneCell">
    <xdr:from>
      <xdr:col>0</xdr:col>
      <xdr:colOff>0</xdr:colOff>
      <xdr:row>524</xdr:row>
      <xdr:rowOff>0</xdr:rowOff>
    </xdr:from>
    <xdr:to>
      <xdr:col>4</xdr:col>
      <xdr:colOff>751884</xdr:colOff>
      <xdr:row>534</xdr:row>
      <xdr:rowOff>9310</xdr:rowOff>
    </xdr:to>
    <xdr:pic>
      <xdr:nvPicPr>
        <xdr:cNvPr id="27" name="图片 26">
          <a:extLst>
            <a:ext uri="{FF2B5EF4-FFF2-40B4-BE49-F238E27FC236}">
              <a16:creationId xmlns="" xmlns:a16="http://schemas.microsoft.com/office/drawing/2014/main" id="{00000000-0008-0000-2900-00001B000000}"/>
            </a:ext>
          </a:extLst>
        </xdr:cNvPr>
        <xdr:cNvPicPr>
          <a:picLocks noChangeAspect="1"/>
        </xdr:cNvPicPr>
      </xdr:nvPicPr>
      <xdr:blipFill>
        <a:blip xmlns:r="http://schemas.openxmlformats.org/officeDocument/2006/relationships" r:embed="rId26"/>
        <a:stretch>
          <a:fillRect/>
        </a:stretch>
      </xdr:blipFill>
      <xdr:spPr>
        <a:xfrm>
          <a:off x="0" y="89839800"/>
          <a:ext cx="4733334" cy="1723810"/>
        </a:xfrm>
        <a:prstGeom prst="rect">
          <a:avLst/>
        </a:prstGeom>
      </xdr:spPr>
    </xdr:pic>
    <xdr:clientData/>
  </xdr:twoCellAnchor>
  <xdr:twoCellAnchor editAs="oneCell">
    <xdr:from>
      <xdr:col>0</xdr:col>
      <xdr:colOff>0</xdr:colOff>
      <xdr:row>537</xdr:row>
      <xdr:rowOff>0</xdr:rowOff>
    </xdr:from>
    <xdr:to>
      <xdr:col>10</xdr:col>
      <xdr:colOff>189114</xdr:colOff>
      <xdr:row>568</xdr:row>
      <xdr:rowOff>18384</xdr:rowOff>
    </xdr:to>
    <xdr:pic>
      <xdr:nvPicPr>
        <xdr:cNvPr id="29" name="图片 28">
          <a:extLst>
            <a:ext uri="{FF2B5EF4-FFF2-40B4-BE49-F238E27FC236}">
              <a16:creationId xmlns="" xmlns:a16="http://schemas.microsoft.com/office/drawing/2014/main" id="{00000000-0008-0000-2900-00001D000000}"/>
            </a:ext>
          </a:extLst>
        </xdr:cNvPr>
        <xdr:cNvPicPr>
          <a:picLocks noChangeAspect="1"/>
        </xdr:cNvPicPr>
      </xdr:nvPicPr>
      <xdr:blipFill>
        <a:blip xmlns:r="http://schemas.openxmlformats.org/officeDocument/2006/relationships" r:embed="rId27"/>
        <a:stretch>
          <a:fillRect/>
        </a:stretch>
      </xdr:blipFill>
      <xdr:spPr>
        <a:xfrm>
          <a:off x="0" y="92068650"/>
          <a:ext cx="11095239" cy="5333334"/>
        </a:xfrm>
        <a:prstGeom prst="rect">
          <a:avLst/>
        </a:prstGeom>
      </xdr:spPr>
    </xdr:pic>
    <xdr:clientData/>
  </xdr:twoCellAnchor>
  <xdr:twoCellAnchor editAs="oneCell">
    <xdr:from>
      <xdr:col>0</xdr:col>
      <xdr:colOff>0</xdr:colOff>
      <xdr:row>569</xdr:row>
      <xdr:rowOff>0</xdr:rowOff>
    </xdr:from>
    <xdr:to>
      <xdr:col>10</xdr:col>
      <xdr:colOff>198638</xdr:colOff>
      <xdr:row>587</xdr:row>
      <xdr:rowOff>123424</xdr:rowOff>
    </xdr:to>
    <xdr:pic>
      <xdr:nvPicPr>
        <xdr:cNvPr id="30" name="图片 29">
          <a:extLst>
            <a:ext uri="{FF2B5EF4-FFF2-40B4-BE49-F238E27FC236}">
              <a16:creationId xmlns="" xmlns:a16="http://schemas.microsoft.com/office/drawing/2014/main" id="{00000000-0008-0000-2900-00001E000000}"/>
            </a:ext>
          </a:extLst>
        </xdr:cNvPr>
        <xdr:cNvPicPr>
          <a:picLocks noChangeAspect="1"/>
        </xdr:cNvPicPr>
      </xdr:nvPicPr>
      <xdr:blipFill>
        <a:blip xmlns:r="http://schemas.openxmlformats.org/officeDocument/2006/relationships" r:embed="rId28"/>
        <a:stretch>
          <a:fillRect/>
        </a:stretch>
      </xdr:blipFill>
      <xdr:spPr>
        <a:xfrm>
          <a:off x="0" y="97555050"/>
          <a:ext cx="11104763" cy="3209524"/>
        </a:xfrm>
        <a:prstGeom prst="rect">
          <a:avLst/>
        </a:prstGeom>
      </xdr:spPr>
    </xdr:pic>
    <xdr:clientData/>
  </xdr:twoCellAnchor>
  <xdr:twoCellAnchor editAs="oneCell">
    <xdr:from>
      <xdr:col>0</xdr:col>
      <xdr:colOff>0</xdr:colOff>
      <xdr:row>588</xdr:row>
      <xdr:rowOff>0</xdr:rowOff>
    </xdr:from>
    <xdr:to>
      <xdr:col>9</xdr:col>
      <xdr:colOff>1494066</xdr:colOff>
      <xdr:row>612</xdr:row>
      <xdr:rowOff>142343</xdr:rowOff>
    </xdr:to>
    <xdr:pic>
      <xdr:nvPicPr>
        <xdr:cNvPr id="31" name="图片 30">
          <a:extLst>
            <a:ext uri="{FF2B5EF4-FFF2-40B4-BE49-F238E27FC236}">
              <a16:creationId xmlns="" xmlns:a16="http://schemas.microsoft.com/office/drawing/2014/main" id="{00000000-0008-0000-2900-00001F000000}"/>
            </a:ext>
          </a:extLst>
        </xdr:cNvPr>
        <xdr:cNvPicPr>
          <a:picLocks noChangeAspect="1"/>
        </xdr:cNvPicPr>
      </xdr:nvPicPr>
      <xdr:blipFill>
        <a:blip xmlns:r="http://schemas.openxmlformats.org/officeDocument/2006/relationships" r:embed="rId29"/>
        <a:stretch>
          <a:fillRect/>
        </a:stretch>
      </xdr:blipFill>
      <xdr:spPr>
        <a:xfrm>
          <a:off x="0" y="100812600"/>
          <a:ext cx="10876191" cy="4257143"/>
        </a:xfrm>
        <a:prstGeom prst="rect">
          <a:avLst/>
        </a:prstGeom>
      </xdr:spPr>
    </xdr:pic>
    <xdr:clientData/>
  </xdr:twoCellAnchor>
  <xdr:twoCellAnchor editAs="oneCell">
    <xdr:from>
      <xdr:col>0</xdr:col>
      <xdr:colOff>0</xdr:colOff>
      <xdr:row>613</xdr:row>
      <xdr:rowOff>0</xdr:rowOff>
    </xdr:from>
    <xdr:to>
      <xdr:col>10</xdr:col>
      <xdr:colOff>17685</xdr:colOff>
      <xdr:row>631</xdr:row>
      <xdr:rowOff>47234</xdr:rowOff>
    </xdr:to>
    <xdr:pic>
      <xdr:nvPicPr>
        <xdr:cNvPr id="32" name="图片 31">
          <a:extLst>
            <a:ext uri="{FF2B5EF4-FFF2-40B4-BE49-F238E27FC236}">
              <a16:creationId xmlns="" xmlns:a16="http://schemas.microsoft.com/office/drawing/2014/main" id="{00000000-0008-0000-2900-000020000000}"/>
            </a:ext>
          </a:extLst>
        </xdr:cNvPr>
        <xdr:cNvPicPr>
          <a:picLocks noChangeAspect="1"/>
        </xdr:cNvPicPr>
      </xdr:nvPicPr>
      <xdr:blipFill>
        <a:blip xmlns:r="http://schemas.openxmlformats.org/officeDocument/2006/relationships" r:embed="rId30"/>
        <a:stretch>
          <a:fillRect/>
        </a:stretch>
      </xdr:blipFill>
      <xdr:spPr>
        <a:xfrm>
          <a:off x="0" y="105098850"/>
          <a:ext cx="10923810" cy="3133334"/>
        </a:xfrm>
        <a:prstGeom prst="rect">
          <a:avLst/>
        </a:prstGeom>
      </xdr:spPr>
    </xdr:pic>
    <xdr:clientData/>
  </xdr:twoCellAnchor>
  <xdr:twoCellAnchor editAs="oneCell">
    <xdr:from>
      <xdr:col>0</xdr:col>
      <xdr:colOff>0</xdr:colOff>
      <xdr:row>636</xdr:row>
      <xdr:rowOff>0</xdr:rowOff>
    </xdr:from>
    <xdr:to>
      <xdr:col>10</xdr:col>
      <xdr:colOff>8161</xdr:colOff>
      <xdr:row>647</xdr:row>
      <xdr:rowOff>142622</xdr:rowOff>
    </xdr:to>
    <xdr:pic>
      <xdr:nvPicPr>
        <xdr:cNvPr id="33" name="图片 32">
          <a:extLst>
            <a:ext uri="{FF2B5EF4-FFF2-40B4-BE49-F238E27FC236}">
              <a16:creationId xmlns="" xmlns:a16="http://schemas.microsoft.com/office/drawing/2014/main" id="{00000000-0008-0000-2900-000021000000}"/>
            </a:ext>
          </a:extLst>
        </xdr:cNvPr>
        <xdr:cNvPicPr>
          <a:picLocks noChangeAspect="1"/>
        </xdr:cNvPicPr>
      </xdr:nvPicPr>
      <xdr:blipFill>
        <a:blip xmlns:r="http://schemas.openxmlformats.org/officeDocument/2006/relationships" r:embed="rId31"/>
        <a:stretch>
          <a:fillRect/>
        </a:stretch>
      </xdr:blipFill>
      <xdr:spPr>
        <a:xfrm>
          <a:off x="0" y="109042200"/>
          <a:ext cx="10914286" cy="2028572"/>
        </a:xfrm>
        <a:prstGeom prst="rect">
          <a:avLst/>
        </a:prstGeom>
      </xdr:spPr>
    </xdr:pic>
    <xdr:clientData/>
  </xdr:twoCellAnchor>
  <xdr:twoCellAnchor editAs="oneCell">
    <xdr:from>
      <xdr:col>0</xdr:col>
      <xdr:colOff>0</xdr:colOff>
      <xdr:row>648</xdr:row>
      <xdr:rowOff>0</xdr:rowOff>
    </xdr:from>
    <xdr:to>
      <xdr:col>9</xdr:col>
      <xdr:colOff>1379781</xdr:colOff>
      <xdr:row>670</xdr:row>
      <xdr:rowOff>104291</xdr:rowOff>
    </xdr:to>
    <xdr:pic>
      <xdr:nvPicPr>
        <xdr:cNvPr id="34" name="图片 33">
          <a:extLst>
            <a:ext uri="{FF2B5EF4-FFF2-40B4-BE49-F238E27FC236}">
              <a16:creationId xmlns="" xmlns:a16="http://schemas.microsoft.com/office/drawing/2014/main" id="{00000000-0008-0000-2900-000022000000}"/>
            </a:ext>
          </a:extLst>
        </xdr:cNvPr>
        <xdr:cNvPicPr>
          <a:picLocks noChangeAspect="1"/>
        </xdr:cNvPicPr>
      </xdr:nvPicPr>
      <xdr:blipFill>
        <a:blip xmlns:r="http://schemas.openxmlformats.org/officeDocument/2006/relationships" r:embed="rId32"/>
        <a:stretch>
          <a:fillRect/>
        </a:stretch>
      </xdr:blipFill>
      <xdr:spPr>
        <a:xfrm>
          <a:off x="0" y="111099600"/>
          <a:ext cx="10761906" cy="3876191"/>
        </a:xfrm>
        <a:prstGeom prst="rect">
          <a:avLst/>
        </a:prstGeom>
      </xdr:spPr>
    </xdr:pic>
    <xdr:clientData/>
  </xdr:twoCellAnchor>
  <xdr:twoCellAnchor editAs="oneCell">
    <xdr:from>
      <xdr:col>0</xdr:col>
      <xdr:colOff>0</xdr:colOff>
      <xdr:row>671</xdr:row>
      <xdr:rowOff>0</xdr:rowOff>
    </xdr:from>
    <xdr:to>
      <xdr:col>10</xdr:col>
      <xdr:colOff>189114</xdr:colOff>
      <xdr:row>691</xdr:row>
      <xdr:rowOff>37667</xdr:rowOff>
    </xdr:to>
    <xdr:pic>
      <xdr:nvPicPr>
        <xdr:cNvPr id="35" name="图片 34">
          <a:extLst>
            <a:ext uri="{FF2B5EF4-FFF2-40B4-BE49-F238E27FC236}">
              <a16:creationId xmlns="" xmlns:a16="http://schemas.microsoft.com/office/drawing/2014/main" id="{00000000-0008-0000-2900-000023000000}"/>
            </a:ext>
          </a:extLst>
        </xdr:cNvPr>
        <xdr:cNvPicPr>
          <a:picLocks noChangeAspect="1"/>
        </xdr:cNvPicPr>
      </xdr:nvPicPr>
      <xdr:blipFill>
        <a:blip xmlns:r="http://schemas.openxmlformats.org/officeDocument/2006/relationships" r:embed="rId33"/>
        <a:stretch>
          <a:fillRect/>
        </a:stretch>
      </xdr:blipFill>
      <xdr:spPr>
        <a:xfrm>
          <a:off x="0" y="115042950"/>
          <a:ext cx="11095239" cy="3466667"/>
        </a:xfrm>
        <a:prstGeom prst="rect">
          <a:avLst/>
        </a:prstGeom>
      </xdr:spPr>
    </xdr:pic>
    <xdr:clientData/>
  </xdr:twoCellAnchor>
  <xdr:twoCellAnchor editAs="oneCell">
    <xdr:from>
      <xdr:col>0</xdr:col>
      <xdr:colOff>0</xdr:colOff>
      <xdr:row>691</xdr:row>
      <xdr:rowOff>0</xdr:rowOff>
    </xdr:from>
    <xdr:to>
      <xdr:col>9</xdr:col>
      <xdr:colOff>1484542</xdr:colOff>
      <xdr:row>716</xdr:row>
      <xdr:rowOff>18512</xdr:rowOff>
    </xdr:to>
    <xdr:pic>
      <xdr:nvPicPr>
        <xdr:cNvPr id="36" name="图片 35">
          <a:extLst>
            <a:ext uri="{FF2B5EF4-FFF2-40B4-BE49-F238E27FC236}">
              <a16:creationId xmlns="" xmlns:a16="http://schemas.microsoft.com/office/drawing/2014/main" id="{00000000-0008-0000-2900-000024000000}"/>
            </a:ext>
          </a:extLst>
        </xdr:cNvPr>
        <xdr:cNvPicPr>
          <a:picLocks noChangeAspect="1"/>
        </xdr:cNvPicPr>
      </xdr:nvPicPr>
      <xdr:blipFill>
        <a:blip xmlns:r="http://schemas.openxmlformats.org/officeDocument/2006/relationships" r:embed="rId34"/>
        <a:stretch>
          <a:fillRect/>
        </a:stretch>
      </xdr:blipFill>
      <xdr:spPr>
        <a:xfrm>
          <a:off x="0" y="118471950"/>
          <a:ext cx="10866667" cy="4304762"/>
        </a:xfrm>
        <a:prstGeom prst="rect">
          <a:avLst/>
        </a:prstGeom>
      </xdr:spPr>
    </xdr:pic>
    <xdr:clientData/>
  </xdr:twoCellAnchor>
  <xdr:twoCellAnchor editAs="oneCell">
    <xdr:from>
      <xdr:col>0</xdr:col>
      <xdr:colOff>0</xdr:colOff>
      <xdr:row>716</xdr:row>
      <xdr:rowOff>0</xdr:rowOff>
    </xdr:from>
    <xdr:to>
      <xdr:col>9</xdr:col>
      <xdr:colOff>265495</xdr:colOff>
      <xdr:row>736</xdr:row>
      <xdr:rowOff>47191</xdr:rowOff>
    </xdr:to>
    <xdr:pic>
      <xdr:nvPicPr>
        <xdr:cNvPr id="37" name="图片 36">
          <a:extLst>
            <a:ext uri="{FF2B5EF4-FFF2-40B4-BE49-F238E27FC236}">
              <a16:creationId xmlns="" xmlns:a16="http://schemas.microsoft.com/office/drawing/2014/main" id="{00000000-0008-0000-2900-000025000000}"/>
            </a:ext>
          </a:extLst>
        </xdr:cNvPr>
        <xdr:cNvPicPr>
          <a:picLocks noChangeAspect="1"/>
        </xdr:cNvPicPr>
      </xdr:nvPicPr>
      <xdr:blipFill>
        <a:blip xmlns:r="http://schemas.openxmlformats.org/officeDocument/2006/relationships" r:embed="rId35"/>
        <a:stretch>
          <a:fillRect/>
        </a:stretch>
      </xdr:blipFill>
      <xdr:spPr>
        <a:xfrm>
          <a:off x="0" y="122758200"/>
          <a:ext cx="9647620" cy="3476191"/>
        </a:xfrm>
        <a:prstGeom prst="rect">
          <a:avLst/>
        </a:prstGeom>
      </xdr:spPr>
    </xdr:pic>
    <xdr:clientData/>
  </xdr:twoCellAnchor>
  <xdr:twoCellAnchor editAs="oneCell">
    <xdr:from>
      <xdr:col>0</xdr:col>
      <xdr:colOff>1</xdr:colOff>
      <xdr:row>737</xdr:row>
      <xdr:rowOff>0</xdr:rowOff>
    </xdr:from>
    <xdr:to>
      <xdr:col>4</xdr:col>
      <xdr:colOff>124694</xdr:colOff>
      <xdr:row>753</xdr:row>
      <xdr:rowOff>85725</xdr:rowOff>
    </xdr:to>
    <xdr:pic>
      <xdr:nvPicPr>
        <xdr:cNvPr id="38" name="图片 37">
          <a:extLst>
            <a:ext uri="{FF2B5EF4-FFF2-40B4-BE49-F238E27FC236}">
              <a16:creationId xmlns="" xmlns:a16="http://schemas.microsoft.com/office/drawing/2014/main" id="{00000000-0008-0000-2900-000026000000}"/>
            </a:ext>
          </a:extLst>
        </xdr:cNvPr>
        <xdr:cNvPicPr>
          <a:picLocks noChangeAspect="1"/>
        </xdr:cNvPicPr>
      </xdr:nvPicPr>
      <xdr:blipFill>
        <a:blip xmlns:r="http://schemas.openxmlformats.org/officeDocument/2006/relationships" r:embed="rId36"/>
        <a:stretch>
          <a:fillRect/>
        </a:stretch>
      </xdr:blipFill>
      <xdr:spPr>
        <a:xfrm>
          <a:off x="1" y="126358650"/>
          <a:ext cx="4106143" cy="2828925"/>
        </a:xfrm>
        <a:prstGeom prst="rect">
          <a:avLst/>
        </a:prstGeom>
      </xdr:spPr>
    </xdr:pic>
    <xdr:clientData/>
  </xdr:twoCellAnchor>
  <xdr:twoCellAnchor editAs="oneCell">
    <xdr:from>
      <xdr:col>0</xdr:col>
      <xdr:colOff>0</xdr:colOff>
      <xdr:row>758</xdr:row>
      <xdr:rowOff>76200</xdr:rowOff>
    </xdr:from>
    <xdr:to>
      <xdr:col>10</xdr:col>
      <xdr:colOff>93876</xdr:colOff>
      <xdr:row>789</xdr:row>
      <xdr:rowOff>18393</xdr:rowOff>
    </xdr:to>
    <xdr:pic>
      <xdr:nvPicPr>
        <xdr:cNvPr id="39" name="图片 38">
          <a:extLst>
            <a:ext uri="{FF2B5EF4-FFF2-40B4-BE49-F238E27FC236}">
              <a16:creationId xmlns="" xmlns:a16="http://schemas.microsoft.com/office/drawing/2014/main" id="{00000000-0008-0000-2900-000027000000}"/>
            </a:ext>
          </a:extLst>
        </xdr:cNvPr>
        <xdr:cNvPicPr>
          <a:picLocks noChangeAspect="1"/>
        </xdr:cNvPicPr>
      </xdr:nvPicPr>
      <xdr:blipFill>
        <a:blip xmlns:r="http://schemas.openxmlformats.org/officeDocument/2006/relationships" r:embed="rId37"/>
        <a:stretch>
          <a:fillRect/>
        </a:stretch>
      </xdr:blipFill>
      <xdr:spPr>
        <a:xfrm>
          <a:off x="0" y="130035300"/>
          <a:ext cx="11000001" cy="5257143"/>
        </a:xfrm>
        <a:prstGeom prst="rect">
          <a:avLst/>
        </a:prstGeom>
      </xdr:spPr>
    </xdr:pic>
    <xdr:clientData/>
  </xdr:twoCellAnchor>
  <xdr:twoCellAnchor editAs="oneCell">
    <xdr:from>
      <xdr:col>4</xdr:col>
      <xdr:colOff>0</xdr:colOff>
      <xdr:row>737</xdr:row>
      <xdr:rowOff>0</xdr:rowOff>
    </xdr:from>
    <xdr:to>
      <xdr:col>7</xdr:col>
      <xdr:colOff>351960</xdr:colOff>
      <xdr:row>756</xdr:row>
      <xdr:rowOff>132926</xdr:rowOff>
    </xdr:to>
    <xdr:pic>
      <xdr:nvPicPr>
        <xdr:cNvPr id="42" name="图片 41">
          <a:extLst>
            <a:ext uri="{FF2B5EF4-FFF2-40B4-BE49-F238E27FC236}">
              <a16:creationId xmlns="" xmlns:a16="http://schemas.microsoft.com/office/drawing/2014/main" id="{00000000-0008-0000-2900-00002A000000}"/>
            </a:ext>
          </a:extLst>
        </xdr:cNvPr>
        <xdr:cNvPicPr>
          <a:picLocks noChangeAspect="1"/>
        </xdr:cNvPicPr>
      </xdr:nvPicPr>
      <xdr:blipFill>
        <a:blip xmlns:r="http://schemas.openxmlformats.org/officeDocument/2006/relationships" r:embed="rId38"/>
        <a:stretch>
          <a:fillRect/>
        </a:stretch>
      </xdr:blipFill>
      <xdr:spPr>
        <a:xfrm>
          <a:off x="3981450" y="126358650"/>
          <a:ext cx="3723810" cy="3390476"/>
        </a:xfrm>
        <a:prstGeom prst="rect">
          <a:avLst/>
        </a:prstGeom>
      </xdr:spPr>
    </xdr:pic>
    <xdr:clientData/>
  </xdr:twoCellAnchor>
  <xdr:twoCellAnchor editAs="oneCell">
    <xdr:from>
      <xdr:col>7</xdr:col>
      <xdr:colOff>0</xdr:colOff>
      <xdr:row>737</xdr:row>
      <xdr:rowOff>0</xdr:rowOff>
    </xdr:from>
    <xdr:to>
      <xdr:col>11</xdr:col>
      <xdr:colOff>446985</xdr:colOff>
      <xdr:row>754</xdr:row>
      <xdr:rowOff>56779</xdr:rowOff>
    </xdr:to>
    <xdr:pic>
      <xdr:nvPicPr>
        <xdr:cNvPr id="43" name="图片 42">
          <a:extLst>
            <a:ext uri="{FF2B5EF4-FFF2-40B4-BE49-F238E27FC236}">
              <a16:creationId xmlns="" xmlns:a16="http://schemas.microsoft.com/office/drawing/2014/main" id="{00000000-0008-0000-2900-00002B000000}"/>
            </a:ext>
          </a:extLst>
        </xdr:cNvPr>
        <xdr:cNvPicPr>
          <a:picLocks noChangeAspect="1"/>
        </xdr:cNvPicPr>
      </xdr:nvPicPr>
      <xdr:blipFill>
        <a:blip xmlns:r="http://schemas.openxmlformats.org/officeDocument/2006/relationships" r:embed="rId39"/>
        <a:stretch>
          <a:fillRect/>
        </a:stretch>
      </xdr:blipFill>
      <xdr:spPr>
        <a:xfrm>
          <a:off x="7353300" y="126358650"/>
          <a:ext cx="5523810" cy="2971429"/>
        </a:xfrm>
        <a:prstGeom prst="rect">
          <a:avLst/>
        </a:prstGeom>
      </xdr:spPr>
    </xdr:pic>
    <xdr:clientData/>
  </xdr:twoCellAnchor>
  <xdr:twoCellAnchor editAs="oneCell">
    <xdr:from>
      <xdr:col>0</xdr:col>
      <xdr:colOff>0</xdr:colOff>
      <xdr:row>790</xdr:row>
      <xdr:rowOff>0</xdr:rowOff>
    </xdr:from>
    <xdr:to>
      <xdr:col>10</xdr:col>
      <xdr:colOff>141495</xdr:colOff>
      <xdr:row>803</xdr:row>
      <xdr:rowOff>37817</xdr:rowOff>
    </xdr:to>
    <xdr:pic>
      <xdr:nvPicPr>
        <xdr:cNvPr id="44" name="图片 43">
          <a:extLst>
            <a:ext uri="{FF2B5EF4-FFF2-40B4-BE49-F238E27FC236}">
              <a16:creationId xmlns="" xmlns:a16="http://schemas.microsoft.com/office/drawing/2014/main" id="{00000000-0008-0000-2900-00002C000000}"/>
            </a:ext>
          </a:extLst>
        </xdr:cNvPr>
        <xdr:cNvPicPr>
          <a:picLocks noChangeAspect="1"/>
        </xdr:cNvPicPr>
      </xdr:nvPicPr>
      <xdr:blipFill>
        <a:blip xmlns:r="http://schemas.openxmlformats.org/officeDocument/2006/relationships" r:embed="rId40"/>
        <a:stretch>
          <a:fillRect/>
        </a:stretch>
      </xdr:blipFill>
      <xdr:spPr>
        <a:xfrm>
          <a:off x="0" y="135445500"/>
          <a:ext cx="11047620" cy="2266667"/>
        </a:xfrm>
        <a:prstGeom prst="rect">
          <a:avLst/>
        </a:prstGeom>
      </xdr:spPr>
    </xdr:pic>
    <xdr:clientData/>
  </xdr:twoCellAnchor>
  <xdr:twoCellAnchor editAs="oneCell">
    <xdr:from>
      <xdr:col>0</xdr:col>
      <xdr:colOff>0</xdr:colOff>
      <xdr:row>805</xdr:row>
      <xdr:rowOff>0</xdr:rowOff>
    </xdr:from>
    <xdr:to>
      <xdr:col>10</xdr:col>
      <xdr:colOff>255781</xdr:colOff>
      <xdr:row>823</xdr:row>
      <xdr:rowOff>104376</xdr:rowOff>
    </xdr:to>
    <xdr:pic>
      <xdr:nvPicPr>
        <xdr:cNvPr id="45" name="图片 44">
          <a:extLst>
            <a:ext uri="{FF2B5EF4-FFF2-40B4-BE49-F238E27FC236}">
              <a16:creationId xmlns="" xmlns:a16="http://schemas.microsoft.com/office/drawing/2014/main" id="{00000000-0008-0000-2900-00002D000000}"/>
            </a:ext>
          </a:extLst>
        </xdr:cNvPr>
        <xdr:cNvPicPr>
          <a:picLocks noChangeAspect="1"/>
        </xdr:cNvPicPr>
      </xdr:nvPicPr>
      <xdr:blipFill>
        <a:blip xmlns:r="http://schemas.openxmlformats.org/officeDocument/2006/relationships" r:embed="rId41"/>
        <a:stretch>
          <a:fillRect/>
        </a:stretch>
      </xdr:blipFill>
      <xdr:spPr>
        <a:xfrm>
          <a:off x="0" y="138017250"/>
          <a:ext cx="11161906" cy="3190476"/>
        </a:xfrm>
        <a:prstGeom prst="rect">
          <a:avLst/>
        </a:prstGeom>
      </xdr:spPr>
    </xdr:pic>
    <xdr:clientData/>
  </xdr:twoCellAnchor>
  <xdr:twoCellAnchor editAs="oneCell">
    <xdr:from>
      <xdr:col>0</xdr:col>
      <xdr:colOff>0</xdr:colOff>
      <xdr:row>824</xdr:row>
      <xdr:rowOff>0</xdr:rowOff>
    </xdr:from>
    <xdr:to>
      <xdr:col>9</xdr:col>
      <xdr:colOff>1522638</xdr:colOff>
      <xdr:row>845</xdr:row>
      <xdr:rowOff>104312</xdr:rowOff>
    </xdr:to>
    <xdr:pic>
      <xdr:nvPicPr>
        <xdr:cNvPr id="46" name="图片 45">
          <a:extLst>
            <a:ext uri="{FF2B5EF4-FFF2-40B4-BE49-F238E27FC236}">
              <a16:creationId xmlns="" xmlns:a16="http://schemas.microsoft.com/office/drawing/2014/main" id="{00000000-0008-0000-2900-00002E000000}"/>
            </a:ext>
          </a:extLst>
        </xdr:cNvPr>
        <xdr:cNvPicPr>
          <a:picLocks noChangeAspect="1"/>
        </xdr:cNvPicPr>
      </xdr:nvPicPr>
      <xdr:blipFill>
        <a:blip xmlns:r="http://schemas.openxmlformats.org/officeDocument/2006/relationships" r:embed="rId42"/>
        <a:stretch>
          <a:fillRect/>
        </a:stretch>
      </xdr:blipFill>
      <xdr:spPr>
        <a:xfrm>
          <a:off x="0" y="141274800"/>
          <a:ext cx="10904763" cy="3704762"/>
        </a:xfrm>
        <a:prstGeom prst="rect">
          <a:avLst/>
        </a:prstGeom>
      </xdr:spPr>
    </xdr:pic>
    <xdr:clientData/>
  </xdr:twoCellAnchor>
  <xdr:twoCellAnchor editAs="oneCell">
    <xdr:from>
      <xdr:col>0</xdr:col>
      <xdr:colOff>0</xdr:colOff>
      <xdr:row>846</xdr:row>
      <xdr:rowOff>0</xdr:rowOff>
    </xdr:from>
    <xdr:to>
      <xdr:col>10</xdr:col>
      <xdr:colOff>93876</xdr:colOff>
      <xdr:row>858</xdr:row>
      <xdr:rowOff>161648</xdr:rowOff>
    </xdr:to>
    <xdr:pic>
      <xdr:nvPicPr>
        <xdr:cNvPr id="47" name="图片 46">
          <a:extLst>
            <a:ext uri="{FF2B5EF4-FFF2-40B4-BE49-F238E27FC236}">
              <a16:creationId xmlns="" xmlns:a16="http://schemas.microsoft.com/office/drawing/2014/main" id="{00000000-0008-0000-2900-00002F000000}"/>
            </a:ext>
          </a:extLst>
        </xdr:cNvPr>
        <xdr:cNvPicPr>
          <a:picLocks noChangeAspect="1"/>
        </xdr:cNvPicPr>
      </xdr:nvPicPr>
      <xdr:blipFill>
        <a:blip xmlns:r="http://schemas.openxmlformats.org/officeDocument/2006/relationships" r:embed="rId43"/>
        <a:stretch>
          <a:fillRect/>
        </a:stretch>
      </xdr:blipFill>
      <xdr:spPr>
        <a:xfrm>
          <a:off x="0" y="145046700"/>
          <a:ext cx="11000001" cy="2219048"/>
        </a:xfrm>
        <a:prstGeom prst="rect">
          <a:avLst/>
        </a:prstGeom>
      </xdr:spPr>
    </xdr:pic>
    <xdr:clientData/>
  </xdr:twoCellAnchor>
  <xdr:twoCellAnchor editAs="oneCell">
    <xdr:from>
      <xdr:col>0</xdr:col>
      <xdr:colOff>0</xdr:colOff>
      <xdr:row>862</xdr:row>
      <xdr:rowOff>0</xdr:rowOff>
    </xdr:from>
    <xdr:to>
      <xdr:col>10</xdr:col>
      <xdr:colOff>265304</xdr:colOff>
      <xdr:row>873</xdr:row>
      <xdr:rowOff>114050</xdr:rowOff>
    </xdr:to>
    <xdr:pic>
      <xdr:nvPicPr>
        <xdr:cNvPr id="48" name="图片 47">
          <a:extLst>
            <a:ext uri="{FF2B5EF4-FFF2-40B4-BE49-F238E27FC236}">
              <a16:creationId xmlns="" xmlns:a16="http://schemas.microsoft.com/office/drawing/2014/main" id="{00000000-0008-0000-2900-000030000000}"/>
            </a:ext>
          </a:extLst>
        </xdr:cNvPr>
        <xdr:cNvPicPr>
          <a:picLocks noChangeAspect="1"/>
        </xdr:cNvPicPr>
      </xdr:nvPicPr>
      <xdr:blipFill>
        <a:blip xmlns:r="http://schemas.openxmlformats.org/officeDocument/2006/relationships" r:embed="rId44"/>
        <a:stretch>
          <a:fillRect/>
        </a:stretch>
      </xdr:blipFill>
      <xdr:spPr>
        <a:xfrm>
          <a:off x="0" y="147789900"/>
          <a:ext cx="11171429" cy="2000000"/>
        </a:xfrm>
        <a:prstGeom prst="rect">
          <a:avLst/>
        </a:prstGeom>
      </xdr:spPr>
    </xdr:pic>
    <xdr:clientData/>
  </xdr:twoCellAnchor>
  <xdr:twoCellAnchor editAs="oneCell">
    <xdr:from>
      <xdr:col>0</xdr:col>
      <xdr:colOff>0</xdr:colOff>
      <xdr:row>874</xdr:row>
      <xdr:rowOff>0</xdr:rowOff>
    </xdr:from>
    <xdr:to>
      <xdr:col>9</xdr:col>
      <xdr:colOff>1370257</xdr:colOff>
      <xdr:row>896</xdr:row>
      <xdr:rowOff>123338</xdr:rowOff>
    </xdr:to>
    <xdr:pic>
      <xdr:nvPicPr>
        <xdr:cNvPr id="49" name="图片 48">
          <a:extLst>
            <a:ext uri="{FF2B5EF4-FFF2-40B4-BE49-F238E27FC236}">
              <a16:creationId xmlns="" xmlns:a16="http://schemas.microsoft.com/office/drawing/2014/main" id="{00000000-0008-0000-2900-000031000000}"/>
            </a:ext>
          </a:extLst>
        </xdr:cNvPr>
        <xdr:cNvPicPr>
          <a:picLocks noChangeAspect="1"/>
        </xdr:cNvPicPr>
      </xdr:nvPicPr>
      <xdr:blipFill>
        <a:blip xmlns:r="http://schemas.openxmlformats.org/officeDocument/2006/relationships" r:embed="rId45"/>
        <a:stretch>
          <a:fillRect/>
        </a:stretch>
      </xdr:blipFill>
      <xdr:spPr>
        <a:xfrm>
          <a:off x="0" y="149847300"/>
          <a:ext cx="10752382" cy="3895238"/>
        </a:xfrm>
        <a:prstGeom prst="rect">
          <a:avLst/>
        </a:prstGeom>
      </xdr:spPr>
    </xdr:pic>
    <xdr:clientData/>
  </xdr:twoCellAnchor>
  <xdr:twoCellAnchor editAs="oneCell">
    <xdr:from>
      <xdr:col>0</xdr:col>
      <xdr:colOff>0</xdr:colOff>
      <xdr:row>897</xdr:row>
      <xdr:rowOff>0</xdr:rowOff>
    </xdr:from>
    <xdr:to>
      <xdr:col>10</xdr:col>
      <xdr:colOff>131971</xdr:colOff>
      <xdr:row>917</xdr:row>
      <xdr:rowOff>75762</xdr:rowOff>
    </xdr:to>
    <xdr:pic>
      <xdr:nvPicPr>
        <xdr:cNvPr id="50" name="图片 49">
          <a:extLst>
            <a:ext uri="{FF2B5EF4-FFF2-40B4-BE49-F238E27FC236}">
              <a16:creationId xmlns="" xmlns:a16="http://schemas.microsoft.com/office/drawing/2014/main" id="{00000000-0008-0000-2900-000032000000}"/>
            </a:ext>
          </a:extLst>
        </xdr:cNvPr>
        <xdr:cNvPicPr>
          <a:picLocks noChangeAspect="1"/>
        </xdr:cNvPicPr>
      </xdr:nvPicPr>
      <xdr:blipFill>
        <a:blip xmlns:r="http://schemas.openxmlformats.org/officeDocument/2006/relationships" r:embed="rId46"/>
        <a:stretch>
          <a:fillRect/>
        </a:stretch>
      </xdr:blipFill>
      <xdr:spPr>
        <a:xfrm>
          <a:off x="0" y="153790650"/>
          <a:ext cx="11038096" cy="3504762"/>
        </a:xfrm>
        <a:prstGeom prst="rect">
          <a:avLst/>
        </a:prstGeom>
      </xdr:spPr>
    </xdr:pic>
    <xdr:clientData/>
  </xdr:twoCellAnchor>
  <xdr:twoCellAnchor editAs="oneCell">
    <xdr:from>
      <xdr:col>0</xdr:col>
      <xdr:colOff>0</xdr:colOff>
      <xdr:row>918</xdr:row>
      <xdr:rowOff>0</xdr:rowOff>
    </xdr:from>
    <xdr:to>
      <xdr:col>10</xdr:col>
      <xdr:colOff>198638</xdr:colOff>
      <xdr:row>946</xdr:row>
      <xdr:rowOff>47019</xdr:rowOff>
    </xdr:to>
    <xdr:pic>
      <xdr:nvPicPr>
        <xdr:cNvPr id="51" name="图片 50">
          <a:extLst>
            <a:ext uri="{FF2B5EF4-FFF2-40B4-BE49-F238E27FC236}">
              <a16:creationId xmlns="" xmlns:a16="http://schemas.microsoft.com/office/drawing/2014/main" id="{00000000-0008-0000-2900-000033000000}"/>
            </a:ext>
          </a:extLst>
        </xdr:cNvPr>
        <xdr:cNvPicPr>
          <a:picLocks noChangeAspect="1"/>
        </xdr:cNvPicPr>
      </xdr:nvPicPr>
      <xdr:blipFill>
        <a:blip xmlns:r="http://schemas.openxmlformats.org/officeDocument/2006/relationships" r:embed="rId47"/>
        <a:stretch>
          <a:fillRect/>
        </a:stretch>
      </xdr:blipFill>
      <xdr:spPr>
        <a:xfrm>
          <a:off x="0" y="157391100"/>
          <a:ext cx="11104763" cy="4847619"/>
        </a:xfrm>
        <a:prstGeom prst="rect">
          <a:avLst/>
        </a:prstGeom>
      </xdr:spPr>
    </xdr:pic>
    <xdr:clientData/>
  </xdr:twoCellAnchor>
  <xdr:twoCellAnchor editAs="oneCell">
    <xdr:from>
      <xdr:col>0</xdr:col>
      <xdr:colOff>0</xdr:colOff>
      <xdr:row>947</xdr:row>
      <xdr:rowOff>0</xdr:rowOff>
    </xdr:from>
    <xdr:to>
      <xdr:col>10</xdr:col>
      <xdr:colOff>236733</xdr:colOff>
      <xdr:row>978</xdr:row>
      <xdr:rowOff>113622</xdr:rowOff>
    </xdr:to>
    <xdr:pic>
      <xdr:nvPicPr>
        <xdr:cNvPr id="52" name="图片 51">
          <a:extLst>
            <a:ext uri="{FF2B5EF4-FFF2-40B4-BE49-F238E27FC236}">
              <a16:creationId xmlns="" xmlns:a16="http://schemas.microsoft.com/office/drawing/2014/main" id="{00000000-0008-0000-2900-000034000000}"/>
            </a:ext>
          </a:extLst>
        </xdr:cNvPr>
        <xdr:cNvPicPr>
          <a:picLocks noChangeAspect="1"/>
        </xdr:cNvPicPr>
      </xdr:nvPicPr>
      <xdr:blipFill>
        <a:blip xmlns:r="http://schemas.openxmlformats.org/officeDocument/2006/relationships" r:embed="rId48"/>
        <a:stretch>
          <a:fillRect/>
        </a:stretch>
      </xdr:blipFill>
      <xdr:spPr>
        <a:xfrm>
          <a:off x="0" y="162363150"/>
          <a:ext cx="11142858" cy="5428572"/>
        </a:xfrm>
        <a:prstGeom prst="rect">
          <a:avLst/>
        </a:prstGeom>
      </xdr:spPr>
    </xdr:pic>
    <xdr:clientData/>
  </xdr:twoCellAnchor>
  <xdr:twoCellAnchor editAs="oneCell">
    <xdr:from>
      <xdr:col>0</xdr:col>
      <xdr:colOff>0</xdr:colOff>
      <xdr:row>980</xdr:row>
      <xdr:rowOff>0</xdr:rowOff>
    </xdr:from>
    <xdr:to>
      <xdr:col>4</xdr:col>
      <xdr:colOff>295275</xdr:colOff>
      <xdr:row>997</xdr:row>
      <xdr:rowOff>45093</xdr:rowOff>
    </xdr:to>
    <xdr:pic>
      <xdr:nvPicPr>
        <xdr:cNvPr id="53" name="图片 52">
          <a:extLst>
            <a:ext uri="{FF2B5EF4-FFF2-40B4-BE49-F238E27FC236}">
              <a16:creationId xmlns="" xmlns:a16="http://schemas.microsoft.com/office/drawing/2014/main" id="{00000000-0008-0000-2900-000035000000}"/>
            </a:ext>
          </a:extLst>
        </xdr:cNvPr>
        <xdr:cNvPicPr>
          <a:picLocks noChangeAspect="1"/>
        </xdr:cNvPicPr>
      </xdr:nvPicPr>
      <xdr:blipFill>
        <a:blip xmlns:r="http://schemas.openxmlformats.org/officeDocument/2006/relationships" r:embed="rId49"/>
        <a:stretch>
          <a:fillRect/>
        </a:stretch>
      </xdr:blipFill>
      <xdr:spPr>
        <a:xfrm>
          <a:off x="0" y="168021000"/>
          <a:ext cx="4276725" cy="2959743"/>
        </a:xfrm>
        <a:prstGeom prst="rect">
          <a:avLst/>
        </a:prstGeom>
      </xdr:spPr>
    </xdr:pic>
    <xdr:clientData/>
  </xdr:twoCellAnchor>
  <xdr:twoCellAnchor editAs="oneCell">
    <xdr:from>
      <xdr:col>0</xdr:col>
      <xdr:colOff>0</xdr:colOff>
      <xdr:row>998</xdr:row>
      <xdr:rowOff>0</xdr:rowOff>
    </xdr:from>
    <xdr:to>
      <xdr:col>10</xdr:col>
      <xdr:colOff>141495</xdr:colOff>
      <xdr:row>1028</xdr:row>
      <xdr:rowOff>85072</xdr:rowOff>
    </xdr:to>
    <xdr:pic>
      <xdr:nvPicPr>
        <xdr:cNvPr id="54" name="图片 53">
          <a:extLst>
            <a:ext uri="{FF2B5EF4-FFF2-40B4-BE49-F238E27FC236}">
              <a16:creationId xmlns="" xmlns:a16="http://schemas.microsoft.com/office/drawing/2014/main" id="{00000000-0008-0000-2900-000036000000}"/>
            </a:ext>
          </a:extLst>
        </xdr:cNvPr>
        <xdr:cNvPicPr>
          <a:picLocks noChangeAspect="1"/>
        </xdr:cNvPicPr>
      </xdr:nvPicPr>
      <xdr:blipFill>
        <a:blip xmlns:r="http://schemas.openxmlformats.org/officeDocument/2006/relationships" r:embed="rId50"/>
        <a:stretch>
          <a:fillRect/>
        </a:stretch>
      </xdr:blipFill>
      <xdr:spPr>
        <a:xfrm>
          <a:off x="0" y="171107100"/>
          <a:ext cx="11047620" cy="5228572"/>
        </a:xfrm>
        <a:prstGeom prst="rect">
          <a:avLst/>
        </a:prstGeom>
      </xdr:spPr>
    </xdr:pic>
    <xdr:clientData/>
  </xdr:twoCellAnchor>
  <xdr:twoCellAnchor editAs="oneCell">
    <xdr:from>
      <xdr:col>4</xdr:col>
      <xdr:colOff>0</xdr:colOff>
      <xdr:row>980</xdr:row>
      <xdr:rowOff>0</xdr:rowOff>
    </xdr:from>
    <xdr:to>
      <xdr:col>8</xdr:col>
      <xdr:colOff>113731</xdr:colOff>
      <xdr:row>999</xdr:row>
      <xdr:rowOff>104355</xdr:rowOff>
    </xdr:to>
    <xdr:pic>
      <xdr:nvPicPr>
        <xdr:cNvPr id="55" name="图片 54">
          <a:extLst>
            <a:ext uri="{FF2B5EF4-FFF2-40B4-BE49-F238E27FC236}">
              <a16:creationId xmlns="" xmlns:a16="http://schemas.microsoft.com/office/drawing/2014/main" id="{00000000-0008-0000-2900-000037000000}"/>
            </a:ext>
          </a:extLst>
        </xdr:cNvPr>
        <xdr:cNvPicPr>
          <a:picLocks noChangeAspect="1"/>
        </xdr:cNvPicPr>
      </xdr:nvPicPr>
      <xdr:blipFill>
        <a:blip xmlns:r="http://schemas.openxmlformats.org/officeDocument/2006/relationships" r:embed="rId51"/>
        <a:stretch>
          <a:fillRect/>
        </a:stretch>
      </xdr:blipFill>
      <xdr:spPr>
        <a:xfrm>
          <a:off x="3981450" y="168021000"/>
          <a:ext cx="4552381" cy="3361905"/>
        </a:xfrm>
        <a:prstGeom prst="rect">
          <a:avLst/>
        </a:prstGeom>
      </xdr:spPr>
    </xdr:pic>
    <xdr:clientData/>
  </xdr:twoCellAnchor>
  <xdr:twoCellAnchor editAs="oneCell">
    <xdr:from>
      <xdr:col>8</xdr:col>
      <xdr:colOff>0</xdr:colOff>
      <xdr:row>980</xdr:row>
      <xdr:rowOff>0</xdr:rowOff>
    </xdr:from>
    <xdr:to>
      <xdr:col>10</xdr:col>
      <xdr:colOff>1228261</xdr:colOff>
      <xdr:row>991</xdr:row>
      <xdr:rowOff>47383</xdr:rowOff>
    </xdr:to>
    <xdr:pic>
      <xdr:nvPicPr>
        <xdr:cNvPr id="56" name="图片 55">
          <a:extLst>
            <a:ext uri="{FF2B5EF4-FFF2-40B4-BE49-F238E27FC236}">
              <a16:creationId xmlns="" xmlns:a16="http://schemas.microsoft.com/office/drawing/2014/main" id="{00000000-0008-0000-2900-000038000000}"/>
            </a:ext>
          </a:extLst>
        </xdr:cNvPr>
        <xdr:cNvPicPr>
          <a:picLocks noChangeAspect="1"/>
        </xdr:cNvPicPr>
      </xdr:nvPicPr>
      <xdr:blipFill>
        <a:blip xmlns:r="http://schemas.openxmlformats.org/officeDocument/2006/relationships" r:embed="rId52"/>
        <a:stretch>
          <a:fillRect/>
        </a:stretch>
      </xdr:blipFill>
      <xdr:spPr>
        <a:xfrm>
          <a:off x="8420100" y="168021000"/>
          <a:ext cx="3714286" cy="1933333"/>
        </a:xfrm>
        <a:prstGeom prst="rect">
          <a:avLst/>
        </a:prstGeom>
      </xdr:spPr>
    </xdr:pic>
    <xdr:clientData/>
  </xdr:twoCellAnchor>
  <xdr:twoCellAnchor editAs="oneCell">
    <xdr:from>
      <xdr:col>11</xdr:col>
      <xdr:colOff>0</xdr:colOff>
      <xdr:row>980</xdr:row>
      <xdr:rowOff>0</xdr:rowOff>
    </xdr:from>
    <xdr:to>
      <xdr:col>14</xdr:col>
      <xdr:colOff>1037524</xdr:colOff>
      <xdr:row>996</xdr:row>
      <xdr:rowOff>123467</xdr:rowOff>
    </xdr:to>
    <xdr:pic>
      <xdr:nvPicPr>
        <xdr:cNvPr id="57" name="图片 56">
          <a:extLst>
            <a:ext uri="{FF2B5EF4-FFF2-40B4-BE49-F238E27FC236}">
              <a16:creationId xmlns="" xmlns:a16="http://schemas.microsoft.com/office/drawing/2014/main" id="{00000000-0008-0000-2900-000039000000}"/>
            </a:ext>
          </a:extLst>
        </xdr:cNvPr>
        <xdr:cNvPicPr>
          <a:picLocks noChangeAspect="1"/>
        </xdr:cNvPicPr>
      </xdr:nvPicPr>
      <xdr:blipFill>
        <a:blip xmlns:r="http://schemas.openxmlformats.org/officeDocument/2006/relationships" r:embed="rId53"/>
        <a:stretch>
          <a:fillRect/>
        </a:stretch>
      </xdr:blipFill>
      <xdr:spPr>
        <a:xfrm>
          <a:off x="12430125" y="168021000"/>
          <a:ext cx="5609524" cy="2866667"/>
        </a:xfrm>
        <a:prstGeom prst="rect">
          <a:avLst/>
        </a:prstGeom>
      </xdr:spPr>
    </xdr:pic>
    <xdr:clientData/>
  </xdr:twoCellAnchor>
  <xdr:twoCellAnchor editAs="oneCell">
    <xdr:from>
      <xdr:col>0</xdr:col>
      <xdr:colOff>0</xdr:colOff>
      <xdr:row>1030</xdr:row>
      <xdr:rowOff>0</xdr:rowOff>
    </xdr:from>
    <xdr:to>
      <xdr:col>10</xdr:col>
      <xdr:colOff>236733</xdr:colOff>
      <xdr:row>1043</xdr:row>
      <xdr:rowOff>133055</xdr:rowOff>
    </xdr:to>
    <xdr:pic>
      <xdr:nvPicPr>
        <xdr:cNvPr id="58" name="图片 57">
          <a:extLst>
            <a:ext uri="{FF2B5EF4-FFF2-40B4-BE49-F238E27FC236}">
              <a16:creationId xmlns="" xmlns:a16="http://schemas.microsoft.com/office/drawing/2014/main" id="{00000000-0008-0000-2900-00003A000000}"/>
            </a:ext>
          </a:extLst>
        </xdr:cNvPr>
        <xdr:cNvPicPr>
          <a:picLocks noChangeAspect="1"/>
        </xdr:cNvPicPr>
      </xdr:nvPicPr>
      <xdr:blipFill>
        <a:blip xmlns:r="http://schemas.openxmlformats.org/officeDocument/2006/relationships" r:embed="rId54"/>
        <a:stretch>
          <a:fillRect/>
        </a:stretch>
      </xdr:blipFill>
      <xdr:spPr>
        <a:xfrm>
          <a:off x="0" y="176593500"/>
          <a:ext cx="11142858" cy="2361905"/>
        </a:xfrm>
        <a:prstGeom prst="rect">
          <a:avLst/>
        </a:prstGeom>
      </xdr:spPr>
    </xdr:pic>
    <xdr:clientData/>
  </xdr:twoCellAnchor>
  <xdr:twoCellAnchor editAs="oneCell">
    <xdr:from>
      <xdr:col>0</xdr:col>
      <xdr:colOff>0</xdr:colOff>
      <xdr:row>1046</xdr:row>
      <xdr:rowOff>0</xdr:rowOff>
    </xdr:from>
    <xdr:to>
      <xdr:col>10</xdr:col>
      <xdr:colOff>236733</xdr:colOff>
      <xdr:row>1069</xdr:row>
      <xdr:rowOff>104269</xdr:rowOff>
    </xdr:to>
    <xdr:pic>
      <xdr:nvPicPr>
        <xdr:cNvPr id="62" name="图片 61">
          <a:extLst>
            <a:ext uri="{FF2B5EF4-FFF2-40B4-BE49-F238E27FC236}">
              <a16:creationId xmlns="" xmlns:a16="http://schemas.microsoft.com/office/drawing/2014/main" id="{00000000-0008-0000-2900-00003E000000}"/>
            </a:ext>
          </a:extLst>
        </xdr:cNvPr>
        <xdr:cNvPicPr>
          <a:picLocks noChangeAspect="1"/>
        </xdr:cNvPicPr>
      </xdr:nvPicPr>
      <xdr:blipFill>
        <a:blip xmlns:r="http://schemas.openxmlformats.org/officeDocument/2006/relationships" r:embed="rId55"/>
        <a:stretch>
          <a:fillRect/>
        </a:stretch>
      </xdr:blipFill>
      <xdr:spPr>
        <a:xfrm>
          <a:off x="0" y="179336700"/>
          <a:ext cx="11142858" cy="4047619"/>
        </a:xfrm>
        <a:prstGeom prst="rect">
          <a:avLst/>
        </a:prstGeom>
      </xdr:spPr>
    </xdr:pic>
    <xdr:clientData/>
  </xdr:twoCellAnchor>
  <xdr:twoCellAnchor editAs="oneCell">
    <xdr:from>
      <xdr:col>0</xdr:col>
      <xdr:colOff>0</xdr:colOff>
      <xdr:row>1070</xdr:row>
      <xdr:rowOff>0</xdr:rowOff>
    </xdr:from>
    <xdr:to>
      <xdr:col>10</xdr:col>
      <xdr:colOff>36733</xdr:colOff>
      <xdr:row>1095</xdr:row>
      <xdr:rowOff>47084</xdr:rowOff>
    </xdr:to>
    <xdr:pic>
      <xdr:nvPicPr>
        <xdr:cNvPr id="63" name="图片 62">
          <a:extLst>
            <a:ext uri="{FF2B5EF4-FFF2-40B4-BE49-F238E27FC236}">
              <a16:creationId xmlns="" xmlns:a16="http://schemas.microsoft.com/office/drawing/2014/main" id="{00000000-0008-0000-2900-00003F000000}"/>
            </a:ext>
          </a:extLst>
        </xdr:cNvPr>
        <xdr:cNvPicPr>
          <a:picLocks noChangeAspect="1"/>
        </xdr:cNvPicPr>
      </xdr:nvPicPr>
      <xdr:blipFill>
        <a:blip xmlns:r="http://schemas.openxmlformats.org/officeDocument/2006/relationships" r:embed="rId56"/>
        <a:stretch>
          <a:fillRect/>
        </a:stretch>
      </xdr:blipFill>
      <xdr:spPr>
        <a:xfrm>
          <a:off x="0" y="183451500"/>
          <a:ext cx="10942858" cy="4333334"/>
        </a:xfrm>
        <a:prstGeom prst="rect">
          <a:avLst/>
        </a:prstGeom>
      </xdr:spPr>
    </xdr:pic>
    <xdr:clientData/>
  </xdr:twoCellAnchor>
  <xdr:twoCellAnchor editAs="oneCell">
    <xdr:from>
      <xdr:col>0</xdr:col>
      <xdr:colOff>0</xdr:colOff>
      <xdr:row>1096</xdr:row>
      <xdr:rowOff>0</xdr:rowOff>
    </xdr:from>
    <xdr:to>
      <xdr:col>10</xdr:col>
      <xdr:colOff>131971</xdr:colOff>
      <xdr:row>1117</xdr:row>
      <xdr:rowOff>18598</xdr:rowOff>
    </xdr:to>
    <xdr:pic>
      <xdr:nvPicPr>
        <xdr:cNvPr id="64" name="图片 63">
          <a:extLst>
            <a:ext uri="{FF2B5EF4-FFF2-40B4-BE49-F238E27FC236}">
              <a16:creationId xmlns="" xmlns:a16="http://schemas.microsoft.com/office/drawing/2014/main" id="{00000000-0008-0000-2900-000040000000}"/>
            </a:ext>
          </a:extLst>
        </xdr:cNvPr>
        <xdr:cNvPicPr>
          <a:picLocks noChangeAspect="1"/>
        </xdr:cNvPicPr>
      </xdr:nvPicPr>
      <xdr:blipFill>
        <a:blip xmlns:r="http://schemas.openxmlformats.org/officeDocument/2006/relationships" r:embed="rId57"/>
        <a:stretch>
          <a:fillRect/>
        </a:stretch>
      </xdr:blipFill>
      <xdr:spPr>
        <a:xfrm>
          <a:off x="0" y="187909200"/>
          <a:ext cx="11038096" cy="3619048"/>
        </a:xfrm>
        <a:prstGeom prst="rect">
          <a:avLst/>
        </a:prstGeom>
      </xdr:spPr>
    </xdr:pic>
    <xdr:clientData/>
  </xdr:twoCellAnchor>
  <xdr:twoCellAnchor editAs="oneCell">
    <xdr:from>
      <xdr:col>0</xdr:col>
      <xdr:colOff>0</xdr:colOff>
      <xdr:row>1120</xdr:row>
      <xdr:rowOff>0</xdr:rowOff>
    </xdr:from>
    <xdr:to>
      <xdr:col>10</xdr:col>
      <xdr:colOff>217685</xdr:colOff>
      <xdr:row>1140</xdr:row>
      <xdr:rowOff>113857</xdr:rowOff>
    </xdr:to>
    <xdr:pic>
      <xdr:nvPicPr>
        <xdr:cNvPr id="65" name="图片 64">
          <a:extLst>
            <a:ext uri="{FF2B5EF4-FFF2-40B4-BE49-F238E27FC236}">
              <a16:creationId xmlns="" xmlns:a16="http://schemas.microsoft.com/office/drawing/2014/main" id="{00000000-0008-0000-2900-000041000000}"/>
            </a:ext>
          </a:extLst>
        </xdr:cNvPr>
        <xdr:cNvPicPr>
          <a:picLocks noChangeAspect="1"/>
        </xdr:cNvPicPr>
      </xdr:nvPicPr>
      <xdr:blipFill>
        <a:blip xmlns:r="http://schemas.openxmlformats.org/officeDocument/2006/relationships" r:embed="rId58"/>
        <a:stretch>
          <a:fillRect/>
        </a:stretch>
      </xdr:blipFill>
      <xdr:spPr>
        <a:xfrm>
          <a:off x="0" y="192024000"/>
          <a:ext cx="11123810" cy="3542857"/>
        </a:xfrm>
        <a:prstGeom prst="rect">
          <a:avLst/>
        </a:prstGeom>
      </xdr:spPr>
    </xdr:pic>
    <xdr:clientData/>
  </xdr:twoCellAnchor>
  <xdr:twoCellAnchor editAs="oneCell">
    <xdr:from>
      <xdr:col>0</xdr:col>
      <xdr:colOff>0</xdr:colOff>
      <xdr:row>1141</xdr:row>
      <xdr:rowOff>0</xdr:rowOff>
    </xdr:from>
    <xdr:to>
      <xdr:col>10</xdr:col>
      <xdr:colOff>17685</xdr:colOff>
      <xdr:row>1166</xdr:row>
      <xdr:rowOff>75655</xdr:rowOff>
    </xdr:to>
    <xdr:pic>
      <xdr:nvPicPr>
        <xdr:cNvPr id="66" name="图片 65">
          <a:extLst>
            <a:ext uri="{FF2B5EF4-FFF2-40B4-BE49-F238E27FC236}">
              <a16:creationId xmlns="" xmlns:a16="http://schemas.microsoft.com/office/drawing/2014/main" id="{00000000-0008-0000-2900-000042000000}"/>
            </a:ext>
          </a:extLst>
        </xdr:cNvPr>
        <xdr:cNvPicPr>
          <a:picLocks noChangeAspect="1"/>
        </xdr:cNvPicPr>
      </xdr:nvPicPr>
      <xdr:blipFill>
        <a:blip xmlns:r="http://schemas.openxmlformats.org/officeDocument/2006/relationships" r:embed="rId59"/>
        <a:stretch>
          <a:fillRect/>
        </a:stretch>
      </xdr:blipFill>
      <xdr:spPr>
        <a:xfrm>
          <a:off x="0" y="195624450"/>
          <a:ext cx="10923810" cy="4361905"/>
        </a:xfrm>
        <a:prstGeom prst="rect">
          <a:avLst/>
        </a:prstGeom>
      </xdr:spPr>
    </xdr:pic>
    <xdr:clientData/>
  </xdr:twoCellAnchor>
  <xdr:twoCellAnchor editAs="oneCell">
    <xdr:from>
      <xdr:col>0</xdr:col>
      <xdr:colOff>0</xdr:colOff>
      <xdr:row>1167</xdr:row>
      <xdr:rowOff>0</xdr:rowOff>
    </xdr:from>
    <xdr:to>
      <xdr:col>10</xdr:col>
      <xdr:colOff>93876</xdr:colOff>
      <xdr:row>1181</xdr:row>
      <xdr:rowOff>104462</xdr:rowOff>
    </xdr:to>
    <xdr:pic>
      <xdr:nvPicPr>
        <xdr:cNvPr id="67" name="图片 66">
          <a:extLst>
            <a:ext uri="{FF2B5EF4-FFF2-40B4-BE49-F238E27FC236}">
              <a16:creationId xmlns="" xmlns:a16="http://schemas.microsoft.com/office/drawing/2014/main" id="{00000000-0008-0000-2900-000043000000}"/>
            </a:ext>
          </a:extLst>
        </xdr:cNvPr>
        <xdr:cNvPicPr>
          <a:picLocks noChangeAspect="1"/>
        </xdr:cNvPicPr>
      </xdr:nvPicPr>
      <xdr:blipFill>
        <a:blip xmlns:r="http://schemas.openxmlformats.org/officeDocument/2006/relationships" r:embed="rId60"/>
        <a:stretch>
          <a:fillRect/>
        </a:stretch>
      </xdr:blipFill>
      <xdr:spPr>
        <a:xfrm>
          <a:off x="0" y="200082150"/>
          <a:ext cx="11000001" cy="2504762"/>
        </a:xfrm>
        <a:prstGeom prst="rect">
          <a:avLst/>
        </a:prstGeom>
      </xdr:spPr>
    </xdr:pic>
    <xdr:clientData/>
  </xdr:twoCellAnchor>
  <xdr:twoCellAnchor editAs="oneCell">
    <xdr:from>
      <xdr:col>0</xdr:col>
      <xdr:colOff>0</xdr:colOff>
      <xdr:row>1186</xdr:row>
      <xdr:rowOff>0</xdr:rowOff>
    </xdr:from>
    <xdr:to>
      <xdr:col>10</xdr:col>
      <xdr:colOff>208161</xdr:colOff>
      <xdr:row>1207</xdr:row>
      <xdr:rowOff>37645</xdr:rowOff>
    </xdr:to>
    <xdr:pic>
      <xdr:nvPicPr>
        <xdr:cNvPr id="68" name="图片 67">
          <a:extLst>
            <a:ext uri="{FF2B5EF4-FFF2-40B4-BE49-F238E27FC236}">
              <a16:creationId xmlns="" xmlns:a16="http://schemas.microsoft.com/office/drawing/2014/main" id="{00000000-0008-0000-2900-000044000000}"/>
            </a:ext>
          </a:extLst>
        </xdr:cNvPr>
        <xdr:cNvPicPr>
          <a:picLocks noChangeAspect="1"/>
        </xdr:cNvPicPr>
      </xdr:nvPicPr>
      <xdr:blipFill>
        <a:blip xmlns:r="http://schemas.openxmlformats.org/officeDocument/2006/relationships" r:embed="rId61"/>
        <a:stretch>
          <a:fillRect/>
        </a:stretch>
      </xdr:blipFill>
      <xdr:spPr>
        <a:xfrm>
          <a:off x="0" y="203339700"/>
          <a:ext cx="11114286" cy="3638095"/>
        </a:xfrm>
        <a:prstGeom prst="rect">
          <a:avLst/>
        </a:prstGeom>
      </xdr:spPr>
    </xdr:pic>
    <xdr:clientData/>
  </xdr:twoCellAnchor>
  <xdr:twoCellAnchor editAs="oneCell">
    <xdr:from>
      <xdr:col>0</xdr:col>
      <xdr:colOff>0</xdr:colOff>
      <xdr:row>1207</xdr:row>
      <xdr:rowOff>0</xdr:rowOff>
    </xdr:from>
    <xdr:to>
      <xdr:col>9</xdr:col>
      <xdr:colOff>1503590</xdr:colOff>
      <xdr:row>1232</xdr:row>
      <xdr:rowOff>37560</xdr:rowOff>
    </xdr:to>
    <xdr:pic>
      <xdr:nvPicPr>
        <xdr:cNvPr id="69" name="图片 68">
          <a:extLst>
            <a:ext uri="{FF2B5EF4-FFF2-40B4-BE49-F238E27FC236}">
              <a16:creationId xmlns="" xmlns:a16="http://schemas.microsoft.com/office/drawing/2014/main" id="{00000000-0008-0000-2900-000045000000}"/>
            </a:ext>
          </a:extLst>
        </xdr:cNvPr>
        <xdr:cNvPicPr>
          <a:picLocks noChangeAspect="1"/>
        </xdr:cNvPicPr>
      </xdr:nvPicPr>
      <xdr:blipFill>
        <a:blip xmlns:r="http://schemas.openxmlformats.org/officeDocument/2006/relationships" r:embed="rId62"/>
        <a:stretch>
          <a:fillRect/>
        </a:stretch>
      </xdr:blipFill>
      <xdr:spPr>
        <a:xfrm>
          <a:off x="0" y="206940150"/>
          <a:ext cx="10885715" cy="4323810"/>
        </a:xfrm>
        <a:prstGeom prst="rect">
          <a:avLst/>
        </a:prstGeom>
      </xdr:spPr>
    </xdr:pic>
    <xdr:clientData/>
  </xdr:twoCellAnchor>
  <xdr:twoCellAnchor editAs="oneCell">
    <xdr:from>
      <xdr:col>0</xdr:col>
      <xdr:colOff>0</xdr:colOff>
      <xdr:row>1233</xdr:row>
      <xdr:rowOff>0</xdr:rowOff>
    </xdr:from>
    <xdr:to>
      <xdr:col>9</xdr:col>
      <xdr:colOff>1417876</xdr:colOff>
      <xdr:row>1263</xdr:row>
      <xdr:rowOff>151738</xdr:rowOff>
    </xdr:to>
    <xdr:pic>
      <xdr:nvPicPr>
        <xdr:cNvPr id="70" name="图片 69">
          <a:extLst>
            <a:ext uri="{FF2B5EF4-FFF2-40B4-BE49-F238E27FC236}">
              <a16:creationId xmlns="" xmlns:a16="http://schemas.microsoft.com/office/drawing/2014/main" id="{00000000-0008-0000-2900-000046000000}"/>
            </a:ext>
          </a:extLst>
        </xdr:cNvPr>
        <xdr:cNvPicPr>
          <a:picLocks noChangeAspect="1"/>
        </xdr:cNvPicPr>
      </xdr:nvPicPr>
      <xdr:blipFill>
        <a:blip xmlns:r="http://schemas.openxmlformats.org/officeDocument/2006/relationships" r:embed="rId63"/>
        <a:stretch>
          <a:fillRect/>
        </a:stretch>
      </xdr:blipFill>
      <xdr:spPr>
        <a:xfrm>
          <a:off x="0" y="211397850"/>
          <a:ext cx="10800001" cy="52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11</xdr:col>
      <xdr:colOff>408188</xdr:colOff>
      <xdr:row>37</xdr:row>
      <xdr:rowOff>18555</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2400300"/>
          <a:ext cx="11104763" cy="3961905"/>
        </a:xfrm>
        <a:prstGeom prst="rect">
          <a:avLst/>
        </a:prstGeom>
      </xdr:spPr>
    </xdr:pic>
    <xdr:clientData/>
  </xdr:twoCellAnchor>
  <xdr:twoCellAnchor editAs="oneCell">
    <xdr:from>
      <xdr:col>0</xdr:col>
      <xdr:colOff>0</xdr:colOff>
      <xdr:row>38</xdr:row>
      <xdr:rowOff>0</xdr:rowOff>
    </xdr:from>
    <xdr:to>
      <xdr:col>11</xdr:col>
      <xdr:colOff>303426</xdr:colOff>
      <xdr:row>63</xdr:row>
      <xdr:rowOff>85179</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515100"/>
          <a:ext cx="11000001" cy="4371429"/>
        </a:xfrm>
        <a:prstGeom prst="rect">
          <a:avLst/>
        </a:prstGeom>
      </xdr:spPr>
    </xdr:pic>
    <xdr:clientData/>
  </xdr:twoCellAnchor>
  <xdr:twoCellAnchor editAs="oneCell">
    <xdr:from>
      <xdr:col>0</xdr:col>
      <xdr:colOff>0</xdr:colOff>
      <xdr:row>64</xdr:row>
      <xdr:rowOff>0</xdr:rowOff>
    </xdr:from>
    <xdr:to>
      <xdr:col>11</xdr:col>
      <xdr:colOff>293902</xdr:colOff>
      <xdr:row>76</xdr:row>
      <xdr:rowOff>28314</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0972800"/>
          <a:ext cx="10990477" cy="2085714"/>
        </a:xfrm>
        <a:prstGeom prst="rect">
          <a:avLst/>
        </a:prstGeom>
      </xdr:spPr>
    </xdr:pic>
    <xdr:clientData/>
  </xdr:twoCellAnchor>
  <xdr:twoCellAnchor editAs="oneCell">
    <xdr:from>
      <xdr:col>0</xdr:col>
      <xdr:colOff>0</xdr:colOff>
      <xdr:row>77</xdr:row>
      <xdr:rowOff>0</xdr:rowOff>
    </xdr:from>
    <xdr:to>
      <xdr:col>11</xdr:col>
      <xdr:colOff>227235</xdr:colOff>
      <xdr:row>88</xdr:row>
      <xdr:rowOff>142622</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3201650"/>
          <a:ext cx="10923810" cy="2028572"/>
        </a:xfrm>
        <a:prstGeom prst="rect">
          <a:avLst/>
        </a:prstGeom>
      </xdr:spPr>
    </xdr:pic>
    <xdr:clientData/>
  </xdr:twoCellAnchor>
  <xdr:twoCellAnchor editAs="oneCell">
    <xdr:from>
      <xdr:col>0</xdr:col>
      <xdr:colOff>0</xdr:colOff>
      <xdr:row>93</xdr:row>
      <xdr:rowOff>0</xdr:rowOff>
    </xdr:from>
    <xdr:to>
      <xdr:col>11</xdr:col>
      <xdr:colOff>417711</xdr:colOff>
      <xdr:row>111</xdr:row>
      <xdr:rowOff>151995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15944850"/>
          <a:ext cx="11114286" cy="3238095"/>
        </a:xfrm>
        <a:prstGeom prst="rect">
          <a:avLst/>
        </a:prstGeom>
      </xdr:spPr>
    </xdr:pic>
    <xdr:clientData/>
  </xdr:twoCellAnchor>
  <xdr:twoCellAnchor editAs="oneCell">
    <xdr:from>
      <xdr:col>0</xdr:col>
      <xdr:colOff>0</xdr:colOff>
      <xdr:row>112</xdr:row>
      <xdr:rowOff>0</xdr:rowOff>
    </xdr:from>
    <xdr:to>
      <xdr:col>11</xdr:col>
      <xdr:colOff>255807</xdr:colOff>
      <xdr:row>137</xdr:row>
      <xdr:rowOff>37560</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19202400"/>
          <a:ext cx="10952382" cy="4323810"/>
        </a:xfrm>
        <a:prstGeom prst="rect">
          <a:avLst/>
        </a:prstGeom>
      </xdr:spPr>
    </xdr:pic>
    <xdr:clientData/>
  </xdr:twoCellAnchor>
  <xdr:twoCellAnchor editAs="oneCell">
    <xdr:from>
      <xdr:col>0</xdr:col>
      <xdr:colOff>0</xdr:colOff>
      <xdr:row>138</xdr:row>
      <xdr:rowOff>0</xdr:rowOff>
    </xdr:from>
    <xdr:to>
      <xdr:col>11</xdr:col>
      <xdr:colOff>170092</xdr:colOff>
      <xdr:row>144</xdr:row>
      <xdr:rowOff>161776</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0" y="23660100"/>
          <a:ext cx="10866667" cy="1190476"/>
        </a:xfrm>
        <a:prstGeom prst="rect">
          <a:avLst/>
        </a:prstGeom>
      </xdr:spPr>
    </xdr:pic>
    <xdr:clientData/>
  </xdr:twoCellAnchor>
  <xdr:twoCellAnchor editAs="oneCell">
    <xdr:from>
      <xdr:col>0</xdr:col>
      <xdr:colOff>0</xdr:colOff>
      <xdr:row>145</xdr:row>
      <xdr:rowOff>0</xdr:rowOff>
    </xdr:from>
    <xdr:to>
      <xdr:col>11</xdr:col>
      <xdr:colOff>341521</xdr:colOff>
      <xdr:row>154</xdr:row>
      <xdr:rowOff>161712</xdr:rowOff>
    </xdr:to>
    <xdr:pic>
      <xdr:nvPicPr>
        <xdr:cNvPr id="9" name="图片 8">
          <a:extLst>
            <a:ext uri="{FF2B5EF4-FFF2-40B4-BE49-F238E27FC236}">
              <a16:creationId xmlns=""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0" y="24860250"/>
          <a:ext cx="11038096" cy="1704762"/>
        </a:xfrm>
        <a:prstGeom prst="rect">
          <a:avLst/>
        </a:prstGeom>
      </xdr:spPr>
    </xdr:pic>
    <xdr:clientData/>
  </xdr:twoCellAnchor>
  <xdr:twoCellAnchor editAs="oneCell">
    <xdr:from>
      <xdr:col>0</xdr:col>
      <xdr:colOff>0</xdr:colOff>
      <xdr:row>155</xdr:row>
      <xdr:rowOff>0</xdr:rowOff>
    </xdr:from>
    <xdr:to>
      <xdr:col>11</xdr:col>
      <xdr:colOff>274854</xdr:colOff>
      <xdr:row>165</xdr:row>
      <xdr:rowOff>9310</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0" y="26574750"/>
          <a:ext cx="10971429" cy="1723810"/>
        </a:xfrm>
        <a:prstGeom prst="rect">
          <a:avLst/>
        </a:prstGeom>
      </xdr:spPr>
    </xdr:pic>
    <xdr:clientData/>
  </xdr:twoCellAnchor>
  <xdr:twoCellAnchor editAs="oneCell">
    <xdr:from>
      <xdr:col>0</xdr:col>
      <xdr:colOff>0</xdr:colOff>
      <xdr:row>169</xdr:row>
      <xdr:rowOff>0</xdr:rowOff>
    </xdr:from>
    <xdr:to>
      <xdr:col>11</xdr:col>
      <xdr:colOff>474854</xdr:colOff>
      <xdr:row>188</xdr:row>
      <xdr:rowOff>18641</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0" y="28975050"/>
          <a:ext cx="11171429" cy="3276191"/>
        </a:xfrm>
        <a:prstGeom prst="rect">
          <a:avLst/>
        </a:prstGeom>
      </xdr:spPr>
    </xdr:pic>
    <xdr:clientData/>
  </xdr:twoCellAnchor>
  <xdr:twoCellAnchor editAs="oneCell">
    <xdr:from>
      <xdr:col>0</xdr:col>
      <xdr:colOff>0</xdr:colOff>
      <xdr:row>189</xdr:row>
      <xdr:rowOff>0</xdr:rowOff>
    </xdr:from>
    <xdr:to>
      <xdr:col>11</xdr:col>
      <xdr:colOff>141521</xdr:colOff>
      <xdr:row>214</xdr:row>
      <xdr:rowOff>8988</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0" y="32404050"/>
          <a:ext cx="10838096" cy="4295238"/>
        </a:xfrm>
        <a:prstGeom prst="rect">
          <a:avLst/>
        </a:prstGeom>
      </xdr:spPr>
    </xdr:pic>
    <xdr:clientData/>
  </xdr:twoCellAnchor>
  <xdr:twoCellAnchor editAs="oneCell">
    <xdr:from>
      <xdr:col>0</xdr:col>
      <xdr:colOff>0</xdr:colOff>
      <xdr:row>215</xdr:row>
      <xdr:rowOff>0</xdr:rowOff>
    </xdr:from>
    <xdr:to>
      <xdr:col>11</xdr:col>
      <xdr:colOff>274854</xdr:colOff>
      <xdr:row>226</xdr:row>
      <xdr:rowOff>47383</xdr:rowOff>
    </xdr:to>
    <xdr:pic>
      <xdr:nvPicPr>
        <xdr:cNvPr id="13" name="图片 12">
          <a:extLst>
            <a:ext uri="{FF2B5EF4-FFF2-40B4-BE49-F238E27FC236}">
              <a16:creationId xmlns="" xmlns:a16="http://schemas.microsoft.com/office/drawing/2014/main" id="{00000000-0008-0000-2B00-00000D000000}"/>
            </a:ext>
          </a:extLst>
        </xdr:cNvPr>
        <xdr:cNvPicPr>
          <a:picLocks noChangeAspect="1"/>
        </xdr:cNvPicPr>
      </xdr:nvPicPr>
      <xdr:blipFill>
        <a:blip xmlns:r="http://schemas.openxmlformats.org/officeDocument/2006/relationships" r:embed="rId12"/>
        <a:stretch>
          <a:fillRect/>
        </a:stretch>
      </xdr:blipFill>
      <xdr:spPr>
        <a:xfrm>
          <a:off x="0" y="36861750"/>
          <a:ext cx="10971429" cy="1933333"/>
        </a:xfrm>
        <a:prstGeom prst="rect">
          <a:avLst/>
        </a:prstGeom>
      </xdr:spPr>
    </xdr:pic>
    <xdr:clientData/>
  </xdr:twoCellAnchor>
  <xdr:twoCellAnchor editAs="oneCell">
    <xdr:from>
      <xdr:col>0</xdr:col>
      <xdr:colOff>0</xdr:colOff>
      <xdr:row>227</xdr:row>
      <xdr:rowOff>0</xdr:rowOff>
    </xdr:from>
    <xdr:to>
      <xdr:col>11</xdr:col>
      <xdr:colOff>265331</xdr:colOff>
      <xdr:row>257</xdr:row>
      <xdr:rowOff>161262</xdr:rowOff>
    </xdr:to>
    <xdr:pic>
      <xdr:nvPicPr>
        <xdr:cNvPr id="14" name="图片 13">
          <a:extLst>
            <a:ext uri="{FF2B5EF4-FFF2-40B4-BE49-F238E27FC236}">
              <a16:creationId xmlns="" xmlns:a16="http://schemas.microsoft.com/office/drawing/2014/main" id="{00000000-0008-0000-2B00-00000E000000}"/>
            </a:ext>
          </a:extLst>
        </xdr:cNvPr>
        <xdr:cNvPicPr>
          <a:picLocks noChangeAspect="1"/>
        </xdr:cNvPicPr>
      </xdr:nvPicPr>
      <xdr:blipFill>
        <a:blip xmlns:r="http://schemas.openxmlformats.org/officeDocument/2006/relationships" r:embed="rId13"/>
        <a:stretch>
          <a:fillRect/>
        </a:stretch>
      </xdr:blipFill>
      <xdr:spPr>
        <a:xfrm>
          <a:off x="0" y="38919150"/>
          <a:ext cx="10961906" cy="5304762"/>
        </a:xfrm>
        <a:prstGeom prst="rect">
          <a:avLst/>
        </a:prstGeom>
      </xdr:spPr>
    </xdr:pic>
    <xdr:clientData/>
  </xdr:twoCellAnchor>
  <xdr:twoCellAnchor editAs="oneCell">
    <xdr:from>
      <xdr:col>0</xdr:col>
      <xdr:colOff>0</xdr:colOff>
      <xdr:row>262</xdr:row>
      <xdr:rowOff>0</xdr:rowOff>
    </xdr:from>
    <xdr:to>
      <xdr:col>11</xdr:col>
      <xdr:colOff>427235</xdr:colOff>
      <xdr:row>280</xdr:row>
      <xdr:rowOff>47234</xdr:rowOff>
    </xdr:to>
    <xdr:pic>
      <xdr:nvPicPr>
        <xdr:cNvPr id="15" name="图片 14">
          <a:extLst>
            <a:ext uri="{FF2B5EF4-FFF2-40B4-BE49-F238E27FC236}">
              <a16:creationId xmlns="" xmlns:a16="http://schemas.microsoft.com/office/drawing/2014/main" id="{00000000-0008-0000-2B00-00000F000000}"/>
            </a:ext>
          </a:extLst>
        </xdr:cNvPr>
        <xdr:cNvPicPr>
          <a:picLocks noChangeAspect="1"/>
        </xdr:cNvPicPr>
      </xdr:nvPicPr>
      <xdr:blipFill>
        <a:blip xmlns:r="http://schemas.openxmlformats.org/officeDocument/2006/relationships" r:embed="rId14"/>
        <a:stretch>
          <a:fillRect/>
        </a:stretch>
      </xdr:blipFill>
      <xdr:spPr>
        <a:xfrm>
          <a:off x="0" y="44919900"/>
          <a:ext cx="11123810" cy="3133334"/>
        </a:xfrm>
        <a:prstGeom prst="rect">
          <a:avLst/>
        </a:prstGeom>
      </xdr:spPr>
    </xdr:pic>
    <xdr:clientData/>
  </xdr:twoCellAnchor>
  <xdr:twoCellAnchor editAs="oneCell">
    <xdr:from>
      <xdr:col>0</xdr:col>
      <xdr:colOff>0</xdr:colOff>
      <xdr:row>281</xdr:row>
      <xdr:rowOff>0</xdr:rowOff>
    </xdr:from>
    <xdr:to>
      <xdr:col>11</xdr:col>
      <xdr:colOff>198664</xdr:colOff>
      <xdr:row>302</xdr:row>
      <xdr:rowOff>123360</xdr:rowOff>
    </xdr:to>
    <xdr:pic>
      <xdr:nvPicPr>
        <xdr:cNvPr id="16" name="图片 15">
          <a:extLst>
            <a:ext uri="{FF2B5EF4-FFF2-40B4-BE49-F238E27FC236}">
              <a16:creationId xmlns="" xmlns:a16="http://schemas.microsoft.com/office/drawing/2014/main" id="{00000000-0008-0000-2B00-000010000000}"/>
            </a:ext>
          </a:extLst>
        </xdr:cNvPr>
        <xdr:cNvPicPr>
          <a:picLocks noChangeAspect="1"/>
        </xdr:cNvPicPr>
      </xdr:nvPicPr>
      <xdr:blipFill>
        <a:blip xmlns:r="http://schemas.openxmlformats.org/officeDocument/2006/relationships" r:embed="rId15"/>
        <a:stretch>
          <a:fillRect/>
        </a:stretch>
      </xdr:blipFill>
      <xdr:spPr>
        <a:xfrm>
          <a:off x="0" y="48177450"/>
          <a:ext cx="10895239" cy="3723810"/>
        </a:xfrm>
        <a:prstGeom prst="rect">
          <a:avLst/>
        </a:prstGeom>
      </xdr:spPr>
    </xdr:pic>
    <xdr:clientData/>
  </xdr:twoCellAnchor>
  <xdr:twoCellAnchor editAs="oneCell">
    <xdr:from>
      <xdr:col>0</xdr:col>
      <xdr:colOff>0</xdr:colOff>
      <xdr:row>303</xdr:row>
      <xdr:rowOff>0</xdr:rowOff>
    </xdr:from>
    <xdr:to>
      <xdr:col>11</xdr:col>
      <xdr:colOff>246283</xdr:colOff>
      <xdr:row>308</xdr:row>
      <xdr:rowOff>161798</xdr:rowOff>
    </xdr:to>
    <xdr:pic>
      <xdr:nvPicPr>
        <xdr:cNvPr id="17" name="图片 16">
          <a:extLst>
            <a:ext uri="{FF2B5EF4-FFF2-40B4-BE49-F238E27FC236}">
              <a16:creationId xmlns="" xmlns:a16="http://schemas.microsoft.com/office/drawing/2014/main" id="{00000000-0008-0000-2B00-000011000000}"/>
            </a:ext>
          </a:extLst>
        </xdr:cNvPr>
        <xdr:cNvPicPr>
          <a:picLocks noChangeAspect="1"/>
        </xdr:cNvPicPr>
      </xdr:nvPicPr>
      <xdr:blipFill>
        <a:blip xmlns:r="http://schemas.openxmlformats.org/officeDocument/2006/relationships" r:embed="rId16"/>
        <a:stretch>
          <a:fillRect/>
        </a:stretch>
      </xdr:blipFill>
      <xdr:spPr>
        <a:xfrm>
          <a:off x="0" y="51949350"/>
          <a:ext cx="10942858" cy="1019048"/>
        </a:xfrm>
        <a:prstGeom prst="rect">
          <a:avLst/>
        </a:prstGeom>
      </xdr:spPr>
    </xdr:pic>
    <xdr:clientData/>
  </xdr:twoCellAnchor>
  <xdr:twoCellAnchor editAs="oneCell">
    <xdr:from>
      <xdr:col>0</xdr:col>
      <xdr:colOff>0</xdr:colOff>
      <xdr:row>309</xdr:row>
      <xdr:rowOff>0</xdr:rowOff>
    </xdr:from>
    <xdr:to>
      <xdr:col>11</xdr:col>
      <xdr:colOff>141521</xdr:colOff>
      <xdr:row>315</xdr:row>
      <xdr:rowOff>47491</xdr:rowOff>
    </xdr:to>
    <xdr:pic>
      <xdr:nvPicPr>
        <xdr:cNvPr id="18" name="图片 17">
          <a:extLst>
            <a:ext uri="{FF2B5EF4-FFF2-40B4-BE49-F238E27FC236}">
              <a16:creationId xmlns="" xmlns:a16="http://schemas.microsoft.com/office/drawing/2014/main" id="{00000000-0008-0000-2B00-000012000000}"/>
            </a:ext>
          </a:extLst>
        </xdr:cNvPr>
        <xdr:cNvPicPr>
          <a:picLocks noChangeAspect="1"/>
        </xdr:cNvPicPr>
      </xdr:nvPicPr>
      <xdr:blipFill>
        <a:blip xmlns:r="http://schemas.openxmlformats.org/officeDocument/2006/relationships" r:embed="rId17"/>
        <a:stretch>
          <a:fillRect/>
        </a:stretch>
      </xdr:blipFill>
      <xdr:spPr>
        <a:xfrm>
          <a:off x="0" y="52978050"/>
          <a:ext cx="10838096" cy="1076191"/>
        </a:xfrm>
        <a:prstGeom prst="rect">
          <a:avLst/>
        </a:prstGeom>
      </xdr:spPr>
    </xdr:pic>
    <xdr:clientData/>
  </xdr:twoCellAnchor>
  <xdr:twoCellAnchor editAs="oneCell">
    <xdr:from>
      <xdr:col>0</xdr:col>
      <xdr:colOff>0</xdr:colOff>
      <xdr:row>319</xdr:row>
      <xdr:rowOff>0</xdr:rowOff>
    </xdr:from>
    <xdr:to>
      <xdr:col>11</xdr:col>
      <xdr:colOff>522473</xdr:colOff>
      <xdr:row>339</xdr:row>
      <xdr:rowOff>47191</xdr:rowOff>
    </xdr:to>
    <xdr:pic>
      <xdr:nvPicPr>
        <xdr:cNvPr id="19" name="图片 18">
          <a:extLst>
            <a:ext uri="{FF2B5EF4-FFF2-40B4-BE49-F238E27FC236}">
              <a16:creationId xmlns="" xmlns:a16="http://schemas.microsoft.com/office/drawing/2014/main" id="{00000000-0008-0000-2B00-000013000000}"/>
            </a:ext>
          </a:extLst>
        </xdr:cNvPr>
        <xdr:cNvPicPr>
          <a:picLocks noChangeAspect="1"/>
        </xdr:cNvPicPr>
      </xdr:nvPicPr>
      <xdr:blipFill>
        <a:blip xmlns:r="http://schemas.openxmlformats.org/officeDocument/2006/relationships" r:embed="rId18"/>
        <a:stretch>
          <a:fillRect/>
        </a:stretch>
      </xdr:blipFill>
      <xdr:spPr>
        <a:xfrm>
          <a:off x="0" y="54692550"/>
          <a:ext cx="11219048" cy="3476191"/>
        </a:xfrm>
        <a:prstGeom prst="rect">
          <a:avLst/>
        </a:prstGeom>
      </xdr:spPr>
    </xdr:pic>
    <xdr:clientData/>
  </xdr:twoCellAnchor>
  <xdr:twoCellAnchor editAs="oneCell">
    <xdr:from>
      <xdr:col>0</xdr:col>
      <xdr:colOff>0</xdr:colOff>
      <xdr:row>340</xdr:row>
      <xdr:rowOff>0</xdr:rowOff>
    </xdr:from>
    <xdr:to>
      <xdr:col>11</xdr:col>
      <xdr:colOff>160569</xdr:colOff>
      <xdr:row>364</xdr:row>
      <xdr:rowOff>142343</xdr:rowOff>
    </xdr:to>
    <xdr:pic>
      <xdr:nvPicPr>
        <xdr:cNvPr id="20" name="图片 19">
          <a:extLst>
            <a:ext uri="{FF2B5EF4-FFF2-40B4-BE49-F238E27FC236}">
              <a16:creationId xmlns="" xmlns:a16="http://schemas.microsoft.com/office/drawing/2014/main" id="{00000000-0008-0000-2B00-000014000000}"/>
            </a:ext>
          </a:extLst>
        </xdr:cNvPr>
        <xdr:cNvPicPr>
          <a:picLocks noChangeAspect="1"/>
        </xdr:cNvPicPr>
      </xdr:nvPicPr>
      <xdr:blipFill>
        <a:blip xmlns:r="http://schemas.openxmlformats.org/officeDocument/2006/relationships" r:embed="rId19"/>
        <a:stretch>
          <a:fillRect/>
        </a:stretch>
      </xdr:blipFill>
      <xdr:spPr>
        <a:xfrm>
          <a:off x="0" y="58293000"/>
          <a:ext cx="10857144" cy="4257143"/>
        </a:xfrm>
        <a:prstGeom prst="rect">
          <a:avLst/>
        </a:prstGeom>
      </xdr:spPr>
    </xdr:pic>
    <xdr:clientData/>
  </xdr:twoCellAnchor>
  <xdr:twoCellAnchor editAs="oneCell">
    <xdr:from>
      <xdr:col>0</xdr:col>
      <xdr:colOff>0</xdr:colOff>
      <xdr:row>365</xdr:row>
      <xdr:rowOff>0</xdr:rowOff>
    </xdr:from>
    <xdr:to>
      <xdr:col>11</xdr:col>
      <xdr:colOff>246283</xdr:colOff>
      <xdr:row>385</xdr:row>
      <xdr:rowOff>94810</xdr:rowOff>
    </xdr:to>
    <xdr:pic>
      <xdr:nvPicPr>
        <xdr:cNvPr id="21" name="图片 20">
          <a:extLst>
            <a:ext uri="{FF2B5EF4-FFF2-40B4-BE49-F238E27FC236}">
              <a16:creationId xmlns="" xmlns:a16="http://schemas.microsoft.com/office/drawing/2014/main" id="{00000000-0008-0000-2B00-000015000000}"/>
            </a:ext>
          </a:extLst>
        </xdr:cNvPr>
        <xdr:cNvPicPr>
          <a:picLocks noChangeAspect="1"/>
        </xdr:cNvPicPr>
      </xdr:nvPicPr>
      <xdr:blipFill>
        <a:blip xmlns:r="http://schemas.openxmlformats.org/officeDocument/2006/relationships" r:embed="rId20"/>
        <a:stretch>
          <a:fillRect/>
        </a:stretch>
      </xdr:blipFill>
      <xdr:spPr>
        <a:xfrm>
          <a:off x="0" y="62579250"/>
          <a:ext cx="10942858" cy="3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bin"/><Relationship Id="rId1" Type="http://schemas.openxmlformats.org/officeDocument/2006/relationships/hyperlink" Target="http://www.bjyq.gov.cn/yanqing/zwgk/gfxwj/qzfbmwj/yq23207430/"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j.map.baidu.com/fb/CLPi"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1937</v>
      </c>
      <c r="B1" s="2191" t="s">
        <v>2034</v>
      </c>
    </row>
    <row r="2" spans="1:55" s="2195" customFormat="1" ht="15" thickTop="1">
      <c r="A2" s="2193" t="s">
        <v>1941</v>
      </c>
      <c r="B2" s="2194" t="str">
        <f>'预评函-封皮'!B37</f>
        <v>北京市延庆区南辛堡村、民主村、百眼泉村棚户区改造项目YQ00-0309-0017地块R2二类居住用地出让国有建设用地使用权抵押价格预评估</v>
      </c>
      <c r="AX2" s="2196"/>
      <c r="AZ2" s="2196"/>
      <c r="BA2" s="2197"/>
      <c r="BC2" s="2197"/>
    </row>
    <row r="3" spans="1:55">
      <c r="A3" s="2181" t="s">
        <v>1942</v>
      </c>
      <c r="B3" s="2182">
        <f>'预评函-封皮'!B40</f>
        <v>0</v>
      </c>
    </row>
    <row r="4" spans="1:55" s="2183" customFormat="1">
      <c r="A4" s="2181" t="s">
        <v>1943</v>
      </c>
      <c r="B4" s="2182" t="str">
        <f>'预评函-封皮'!B46</f>
        <v>吴薇、赵雯</v>
      </c>
      <c r="N4" s="2183" t="str">
        <f>'预评函-1'!A28</f>
        <v>本次估价的“抵押净值”是指估价对象“抵押价格”减去估价对象在估价期日以“土地销售收入”为基数计算的预计抵押权实现进行处置时需缴纳的各项费用、税金等相关费用后的价格。</v>
      </c>
    </row>
    <row r="5" spans="1:55" s="2192" customFormat="1" ht="15" thickBot="1">
      <c r="A5" s="2198" t="s">
        <v>1944</v>
      </c>
      <c r="B5" s="2199" t="str">
        <f>'预评函-封皮'!B49</f>
        <v>康正预评字号</v>
      </c>
    </row>
    <row r="6" spans="1:55" s="2200" customFormat="1" ht="15" thickTop="1">
      <c r="A6" s="2193" t="s">
        <v>1986</v>
      </c>
      <c r="B6" s="2194" t="str">
        <f>'预评函-1'!A4</f>
        <v>受贵公司委托，我公司对北京市延庆区南辛堡村、民主村、百眼泉村棚户区改造项目YQ00-0309-0017地块R2二类居住用地出让国有建设用地使用权抵押价格进行了预评估。</v>
      </c>
      <c r="AM6" s="2201"/>
    </row>
    <row r="7" spans="1:55">
      <c r="A7" s="2181" t="s">
        <v>1938</v>
      </c>
      <c r="B7" s="2182" t="str">
        <f>'预评函-1'!A6</f>
        <v>估价对象为使用的、位于北京市延庆区南辛堡村、民主村、百眼泉村棚户区改造项目YQ00-0309-0017地块R2二类居住用地出让国有建设用地使用权。根据《国有土地使用证》[]，估价对象（分摊）出让国有建设用地使用权面积为12997.77平方米。根据《建设工程规划许可证》[]、《出让合同》[]，估价对象规划建筑面积为28699.4252平方米。</v>
      </c>
    </row>
    <row r="8" spans="1:55">
      <c r="A8" s="2181" t="s">
        <v>1939</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1989</v>
      </c>
      <c r="B9" s="2182" t="str">
        <f>'预评函-1'!A9</f>
        <v>拟使用北京市延庆区南辛堡村、民主村、百眼泉村棚户区改造项目YQ00-0309-0017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1940</v>
      </c>
      <c r="B10" s="2182" t="str">
        <f>'预评函-1'!A11</f>
        <v>2024年11月19日（评估专业人员勘察现场之日）</v>
      </c>
    </row>
    <row r="11" spans="1:55">
      <c r="A11" s="2181" t="s">
        <v>1946</v>
      </c>
      <c r="B11" s="2182" t="str">
        <f>'预评函-1'!A14</f>
        <v>根据《国有土地使用证》[]，本次评估估价对象证载（地类）用途为。</v>
      </c>
    </row>
    <row r="12" spans="1:55">
      <c r="A12" s="2181" t="s">
        <v>1947</v>
      </c>
      <c r="B12" s="2182" t="str">
        <f>'预评函-1'!A15</f>
        <v>本次评估设定用途即为证载用途。</v>
      </c>
    </row>
    <row r="13" spans="1:55">
      <c r="A13" s="2181" t="s">
        <v>1948</v>
      </c>
      <c r="B13" s="2182" t="str">
        <f>'预评函-1'!A17</f>
        <v>根据委托估价方介绍及评估专业人员现场勘查，本次评估估价对象实际土地开发程度为红线外市政基础设施达“七通”（即、、、、、、）、宗地红线内场地平整。</v>
      </c>
    </row>
    <row r="14" spans="1:55">
      <c r="A14" s="2181" t="s">
        <v>1949</v>
      </c>
      <c r="B14" s="2182" t="str">
        <f>'预评函-1'!A18</f>
        <v>本次评估设定土地开发程度为红线外市政基础设施达“七通”、宗地红线内场地平整。</v>
      </c>
    </row>
    <row r="15" spans="1:55">
      <c r="A15" s="2181" t="s">
        <v>1945</v>
      </c>
      <c r="B15" s="2182" t="str">
        <f>'预评函-1'!A20</f>
        <v>根据《国有土地使用证》[]，估价对象（分摊）出让国有建设用地使用权面积为12997.77平方米。根据《建设工程规划许可证》[]、《出让合同》[]，估价对象规划建筑面积为28699.4252平方米。</v>
      </c>
    </row>
    <row r="16" spans="1:55">
      <c r="A16" s="2181" t="s">
        <v>1950</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10月21日车库2074年10月21日、仓储2074年10月21日。截至估价期日，出让国有建设用地使用权剩余土地使用年限为。</v>
      </c>
    </row>
    <row r="17" spans="1:48">
      <c r="A17" s="2181" t="s">
        <v>1951</v>
      </c>
      <c r="B17" s="2182" t="str">
        <f>'预评函-1'!A23</f>
        <v>本次评估设定估价对象剩余土地使用年限为。</v>
      </c>
    </row>
    <row r="18" spans="1:48">
      <c r="A18" s="2181" t="s">
        <v>1952</v>
      </c>
      <c r="B18" s="2182" t="str">
        <f>'预评函-1'!A25</f>
        <v>本次估价的“出让国有建设用地使用权价格”是指在估价对象土地所有权为国家所有，使用权性质为出让，在公开市场条件下、于估价期日2024年11月19日，在规划利用条件下、设定土地开发程度为红线外“七通”、宗地内场地平整，设定用途为，剩余土地使用年限为的出让国有建设用地使用权价格。</v>
      </c>
    </row>
    <row r="19" spans="1:48">
      <c r="A19" s="2181" t="s">
        <v>1953</v>
      </c>
      <c r="B19" s="2182" t="str">
        <f>'预评函-1'!A26</f>
        <v>本次估价的“抵押价格”是指估价对象在估价期日的“出让国有建设用地使用权价格”扣减估价师于估价期日所知悉的法定优先受偿款后的余额。</v>
      </c>
    </row>
    <row r="20" spans="1:48">
      <c r="A20" s="2181" t="s">
        <v>1954</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5" thickBot="1">
      <c r="A21" s="2198" t="s">
        <v>1955</v>
      </c>
      <c r="B21" s="21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8" t="s">
        <v>1956</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1957</v>
      </c>
      <c r="B23" s="2182" t="str">
        <f>'预评函-2'!K2</f>
        <v>估价期日：2024年11月19日</v>
      </c>
    </row>
    <row r="24" spans="1:48">
      <c r="A24" s="2181" t="s">
        <v>1958</v>
      </c>
      <c r="B24" s="2182" t="str">
        <f>'预评函-2'!R2</f>
        <v>估价期日的国有建设用地使用权性质：出让</v>
      </c>
    </row>
    <row r="25" spans="1:48">
      <c r="A25" s="2181" t="s">
        <v>2014</v>
      </c>
      <c r="B25" s="2182" t="str">
        <f>'预评函-2'!A3</f>
        <v>估价期日土地使用者</v>
      </c>
    </row>
    <row r="26" spans="1:48">
      <c r="A26" s="2181" t="s">
        <v>1990</v>
      </c>
      <c r="B26" s="2182" t="str">
        <f>'预评函-2'!A5</f>
        <v>中信开发</v>
      </c>
    </row>
    <row r="27" spans="1:48">
      <c r="A27" s="2181" t="s">
        <v>2015</v>
      </c>
      <c r="B27" s="2182" t="str">
        <f>'预评函-2'!B3</f>
        <v>宗地编号/不动产单元号</v>
      </c>
    </row>
    <row r="28" spans="1:48">
      <c r="A28" s="2181" t="s">
        <v>1991</v>
      </c>
      <c r="B28" s="2182" t="str">
        <f>'预评函-2'!B5</f>
        <v>11111111111</v>
      </c>
    </row>
    <row r="29" spans="1:48">
      <c r="A29" s="2181" t="s">
        <v>2017</v>
      </c>
      <c r="B29" s="2182">
        <f>'预评函-2'!C5</f>
        <v>22</v>
      </c>
    </row>
    <row r="30" spans="1:48">
      <c r="A30" s="2181" t="s">
        <v>2018</v>
      </c>
      <c r="B30" s="2182" t="str">
        <f>'预评函-2'!D3</f>
        <v>土地使用证编号/不动产权证书编号</v>
      </c>
    </row>
    <row r="31" spans="1:48">
      <c r="A31" s="2181" t="s">
        <v>1992</v>
      </c>
      <c r="B31" s="2182" t="str">
        <f>'预评函-2'!D5</f>
        <v>京国土字第111号</v>
      </c>
    </row>
    <row r="32" spans="1:48">
      <c r="A32" s="2181" t="s">
        <v>1993</v>
      </c>
      <c r="B32" s="2182">
        <f>'预评函-2'!E5</f>
        <v>0</v>
      </c>
      <c r="AV32" s="2184"/>
    </row>
    <row r="33" spans="1:2">
      <c r="A33" s="2181" t="s">
        <v>1994</v>
      </c>
      <c r="B33" s="2182">
        <f>'预评函-2'!F5</f>
        <v>258</v>
      </c>
    </row>
    <row r="34" spans="1:2">
      <c r="A34" s="2181" t="s">
        <v>1995</v>
      </c>
      <c r="B34" s="2182">
        <f>'预评函-2'!G5</f>
        <v>0</v>
      </c>
    </row>
    <row r="35" spans="1:2">
      <c r="A35" s="2181" t="s">
        <v>1996</v>
      </c>
      <c r="B35" s="2182">
        <f>'预评函-2'!H5</f>
        <v>1.5</v>
      </c>
    </row>
    <row r="36" spans="1:2">
      <c r="A36" s="2181" t="s">
        <v>1997</v>
      </c>
      <c r="B36" s="2182">
        <f>'预评函-2'!I5</f>
        <v>1.5</v>
      </c>
    </row>
    <row r="37" spans="1:2">
      <c r="A37" s="2181" t="s">
        <v>1998</v>
      </c>
      <c r="B37" s="2182">
        <f>'预评函-2'!J5</f>
        <v>1.5</v>
      </c>
    </row>
    <row r="38" spans="1:2">
      <c r="A38" s="2181" t="s">
        <v>1999</v>
      </c>
      <c r="B38" s="2182" t="str">
        <f>'预评函-2'!K5</f>
        <v>红线外七通、宗地红线内场地平整</v>
      </c>
    </row>
    <row r="39" spans="1:2">
      <c r="A39" s="2181" t="s">
        <v>2000</v>
      </c>
      <c r="B39" s="2182" t="str">
        <f>'预评函-2'!L5</f>
        <v>红线外七通、宗地红线内场地平整</v>
      </c>
    </row>
    <row r="40" spans="1:2">
      <c r="A40" s="2181" t="s">
        <v>2019</v>
      </c>
      <c r="B40" s="2182" t="str">
        <f>'预评函-2'!M3</f>
        <v>（剩余）土地使用年限/年</v>
      </c>
    </row>
    <row r="41" spans="1:2">
      <c r="A41" s="2181" t="s">
        <v>2001</v>
      </c>
      <c r="B41" s="2182">
        <f>'预评函-2'!M5</f>
        <v>0</v>
      </c>
    </row>
    <row r="42" spans="1:2">
      <c r="A42" s="2181" t="s">
        <v>2020</v>
      </c>
      <c r="B42" s="2182" t="str">
        <f>'预评函-2'!N3</f>
        <v>（分摊）出让国有建设用地使用权面积/㎡</v>
      </c>
    </row>
    <row r="43" spans="1:2">
      <c r="A43" s="2181" t="s">
        <v>2002</v>
      </c>
      <c r="B43" s="2182">
        <f>'预评函-2'!N5</f>
        <v>12997.77</v>
      </c>
    </row>
    <row r="44" spans="1:2">
      <c r="A44" s="2181" t="s">
        <v>2021</v>
      </c>
      <c r="B44" s="2182" t="str">
        <f>'预评函-2'!O3</f>
        <v>规划建筑面积/㎡</v>
      </c>
    </row>
    <row r="45" spans="1:2">
      <c r="A45" s="2181" t="s">
        <v>2003</v>
      </c>
      <c r="B45" s="2182">
        <f>'预评函-2'!O5</f>
        <v>28699.425200000001</v>
      </c>
    </row>
    <row r="46" spans="1:2">
      <c r="A46" s="2181" t="s">
        <v>2004</v>
      </c>
      <c r="B46" s="2182">
        <f ca="1">'预评函-2'!P5</f>
        <v>19202</v>
      </c>
    </row>
    <row r="47" spans="1:2">
      <c r="A47" s="2181" t="s">
        <v>2005</v>
      </c>
      <c r="B47" s="2182">
        <f ca="1">'预评函-2'!Q5</f>
        <v>8696</v>
      </c>
    </row>
    <row r="48" spans="1:2">
      <c r="A48" s="2181" t="s">
        <v>2006</v>
      </c>
      <c r="B48" s="2182">
        <f ca="1">'预评函-2'!R5</f>
        <v>24958</v>
      </c>
    </row>
    <row r="49" spans="1:2">
      <c r="A49" s="2181" t="s">
        <v>2022</v>
      </c>
      <c r="B49" s="2182" t="str">
        <f>'预评函-2'!A6</f>
        <v>抵押价格</v>
      </c>
    </row>
    <row r="50" spans="1:2">
      <c r="A50" s="2181" t="s">
        <v>2007</v>
      </c>
      <c r="B50" s="2182">
        <f ca="1">'预评函-2'!R6</f>
        <v>11739</v>
      </c>
    </row>
    <row r="51" spans="1:2">
      <c r="A51" s="2181" t="s">
        <v>2023</v>
      </c>
      <c r="B51" s="2182" t="str">
        <f>'预评函-2'!A7</f>
        <v>——</v>
      </c>
    </row>
    <row r="52" spans="1:2">
      <c r="A52" s="2181" t="s">
        <v>2008</v>
      </c>
      <c r="B52" s="2182" t="str">
        <f>'预评函-2'!R7</f>
        <v>——</v>
      </c>
    </row>
    <row r="53" spans="1:2">
      <c r="A53" s="2181" t="s">
        <v>2024</v>
      </c>
      <c r="B53" s="2182">
        <f>'预评函-2'!A8</f>
        <v>0</v>
      </c>
    </row>
    <row r="54" spans="1:2" s="2192" customFormat="1" ht="15" thickBot="1">
      <c r="A54" s="2198" t="s">
        <v>2009</v>
      </c>
      <c r="B54" s="2199" t="str">
        <f>'预评函-2'!R8</f>
        <v>——</v>
      </c>
    </row>
    <row r="55" spans="1:2" ht="15" thickTop="1">
      <c r="A55" s="2188" t="s">
        <v>1959</v>
      </c>
      <c r="B55" s="2189" t="str">
        <f>'预评函-3'!A2</f>
        <v>1.权利限制：根据估价对象《不动产权证书》原件、《国有土地使用权》复印件，截至估价期日，估价对象抵押权未见登记。未设定租赁等其他他项权利。</v>
      </c>
    </row>
    <row r="56" spans="1:2">
      <c r="A56" s="2181" t="s">
        <v>1960</v>
      </c>
      <c r="B56" s="2182" t="str">
        <f>'预评函-3'!A3</f>
        <v>2.基础设施条件：估价对象实际开发程度为红线外七通、宗地红线内场地平整；本次评估设定开发程度为红线外七通、宗地红线内场地平整。</v>
      </c>
    </row>
    <row r="57" spans="1:2">
      <c r="A57" s="2181" t="s">
        <v>1961</v>
      </c>
      <c r="B57" s="2182" t="str">
        <f>'预评函-3'!A4</f>
        <v>3.估价规划限制条件：详见《建设工程规划许可证》[]、《出让合同》[]。</v>
      </c>
    </row>
    <row r="58" spans="1:2" s="2192" customFormat="1" ht="15" thickBot="1">
      <c r="A58" s="2198" t="s">
        <v>2010</v>
      </c>
      <c r="B58" s="2199" t="str">
        <f>'预评函-3'!A5</f>
        <v>4.影响价格的其他限定条件：无。</v>
      </c>
    </row>
    <row r="59" spans="1:2" ht="15" thickTop="1">
      <c r="A59" s="2188" t="s">
        <v>1962</v>
      </c>
      <c r="B59" s="2189" t="str">
        <f>'预评函-3'!A8</f>
        <v>2.本《评估意见函》仅供金融机构进行内部审核使用，不做其他目的之用。</v>
      </c>
    </row>
    <row r="60" spans="1:2">
      <c r="A60" s="2181" t="s">
        <v>1963</v>
      </c>
      <c r="B60" s="2182" t="str">
        <f>'预评函-3'!A9</f>
        <v>3.抵押双方在办理抵押登记手续时，应使用本公司出具的正式《土地估价报告》，特提请报告使用者注意。</v>
      </c>
    </row>
    <row r="61" spans="1:2">
      <c r="A61" s="2181" t="s">
        <v>1965</v>
      </c>
      <c r="B61" s="2182" t="str">
        <f>'预评函-3'!A10</f>
        <v>4.估价师所知悉的法定优先受偿款情况为：</v>
      </c>
    </row>
    <row r="62" spans="1:2">
      <c r="A62" s="2181" t="s">
        <v>1964</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1966</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1967</v>
      </c>
      <c r="B64" s="2185" t="str">
        <f>'预评函-3'!A13</f>
        <v>（3）。</v>
      </c>
    </row>
    <row r="65" spans="1:2">
      <c r="A65" s="2181" t="s">
        <v>1968</v>
      </c>
      <c r="B65" s="2182" t="str">
        <f>'预评函-3'!A14</f>
        <v>综上，本次评估估价师知悉的法定优先受偿款为人民币13219万元整。</v>
      </c>
    </row>
    <row r="66" spans="1:2">
      <c r="A66" s="2181" t="s">
        <v>1969</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1970</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1973</v>
      </c>
      <c r="B68" s="2202">
        <f>'预评函-3'!D30</f>
        <v>42558</v>
      </c>
    </row>
    <row r="69" spans="1:2" ht="15" thickTop="1">
      <c r="A69" s="2188" t="s">
        <v>1971</v>
      </c>
      <c r="B69" s="2189" t="str">
        <f>'预评函-3'!A20</f>
        <v>吴薇</v>
      </c>
    </row>
    <row r="70" spans="1:2">
      <c r="A70" s="2181" t="s">
        <v>1971</v>
      </c>
      <c r="B70" s="2182">
        <f ca="1">'预评函-3'!B20</f>
        <v>2002110125</v>
      </c>
    </row>
    <row r="71" spans="1:2">
      <c r="A71" s="2181" t="s">
        <v>1972</v>
      </c>
      <c r="B71" s="2182" t="str">
        <f>'预评函-3'!A21</f>
        <v>赵雯</v>
      </c>
    </row>
    <row r="72" spans="1:2" s="2192" customFormat="1" ht="15" thickBot="1">
      <c r="A72" s="2198" t="s">
        <v>1972</v>
      </c>
      <c r="B72" s="2199">
        <f ca="1">'预评函-3'!B21</f>
        <v>2011110090</v>
      </c>
    </row>
    <row r="73" spans="1:2" ht="15" thickTop="1">
      <c r="A73" s="2188" t="s">
        <v>2031</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2032</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2033</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2063</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2673</v>
      </c>
      <c r="B1" s="3032"/>
      <c r="C1" s="3032"/>
      <c r="D1" s="3032"/>
      <c r="E1" s="3032"/>
      <c r="F1" s="3033"/>
    </row>
    <row r="2" spans="1:6">
      <c r="A2" s="3034"/>
      <c r="B2" s="3035"/>
      <c r="C2" s="3035"/>
      <c r="D2" s="3035"/>
      <c r="E2" s="3035"/>
      <c r="F2" s="3036"/>
    </row>
    <row r="3" spans="1:6">
      <c r="A3" s="2988" t="s">
        <v>2674</v>
      </c>
      <c r="B3" s="3037">
        <f>项目基本情况!D3</f>
        <v>45615</v>
      </c>
      <c r="C3" s="3038"/>
      <c r="D3" s="3038"/>
      <c r="E3" s="3038"/>
      <c r="F3" s="3036"/>
    </row>
    <row r="4" spans="1:6">
      <c r="A4" s="2988" t="s">
        <v>2675</v>
      </c>
      <c r="B4" s="3039" t="s">
        <v>2676</v>
      </c>
      <c r="C4" s="3039" t="s">
        <v>2677</v>
      </c>
      <c r="D4" s="3039" t="s">
        <v>2678</v>
      </c>
      <c r="E4" s="3039" t="s">
        <v>2679</v>
      </c>
      <c r="F4" s="3036"/>
    </row>
    <row r="5" spans="1:6">
      <c r="A5" s="3040"/>
      <c r="B5" s="3037"/>
      <c r="C5" s="3039">
        <f>ROUNDDOWN(MIN((B5-B3)/365,A5),2)</f>
        <v>-124.97</v>
      </c>
      <c r="D5" s="3041">
        <f>IF(ISERROR(ROUND(POWER(1+E5,A5-C5)*(POWER(1+E5,C5)-1)/(POWER(1+E5,A5)-1),3)),0,ROUND(POWER(1+E5,A5-C5)*(POWER(1+E5,C5)-1)/(POWER(1+E5,A5)-1),4))</f>
        <v>0</v>
      </c>
      <c r="E5" s="3042"/>
      <c r="F5" s="3036"/>
    </row>
    <row r="6" spans="1:6">
      <c r="A6" s="3040"/>
      <c r="B6" s="3037"/>
      <c r="C6" s="3039">
        <f>ROUNDDOWN(MIN((B6-B3)/365,A6),2)</f>
        <v>-124.97</v>
      </c>
      <c r="D6" s="3041">
        <f>IF(ISERROR(ROUND(POWER(1+E6,A6-C6)*(POWER(1+E6,C6)-1)/(POWER(1+E6,A6)-1),3)),0,ROUND(POWER(1+E6,A6-C6)*(POWER(1+E6,C6)-1)/(POWER(1+E6,A6)-1),4))</f>
        <v>0</v>
      </c>
      <c r="E6" s="3042"/>
      <c r="F6" s="3036"/>
    </row>
    <row r="7" spans="1:6">
      <c r="A7" s="3040"/>
      <c r="B7" s="3037"/>
      <c r="C7" s="3039">
        <f>ROUNDDOWN(MIN((B7-B3)/365,A7),2)</f>
        <v>-124.97</v>
      </c>
      <c r="D7" s="3041">
        <f>IF(ISERROR(ROUND(POWER(1+E7,A7-C7)*(POWER(1+E7,C7)-1)/(POWER(1+E7,A7)-1),3)),0,ROUND(POWER(1+E7,A7-C7)*(POWER(1+E7,C7)-1)/(POWER(1+E7,A7)-1),4))</f>
        <v>0</v>
      </c>
      <c r="E7" s="3042"/>
      <c r="F7" s="3036"/>
    </row>
    <row r="8" spans="1:6">
      <c r="A8" s="3034"/>
      <c r="B8" s="3035"/>
      <c r="C8" s="3035"/>
      <c r="D8" s="3035"/>
      <c r="E8" s="3035"/>
      <c r="F8" s="3036"/>
    </row>
    <row r="9" spans="1:6">
      <c r="A9" s="2988" t="s">
        <v>2680</v>
      </c>
      <c r="B9" s="3039"/>
      <c r="C9" s="3039"/>
      <c r="D9" s="3039"/>
      <c r="E9" s="3039"/>
      <c r="F9" s="3043"/>
    </row>
    <row r="10" spans="1:6">
      <c r="A10" s="2988" t="s">
        <v>2681</v>
      </c>
      <c r="B10" s="3039"/>
      <c r="C10" s="3039"/>
      <c r="D10" s="3039" t="s">
        <v>2679</v>
      </c>
      <c r="E10" s="3039"/>
      <c r="F10" s="3043" t="s">
        <v>2678</v>
      </c>
    </row>
    <row r="11" spans="1:6">
      <c r="A11" s="2988" t="s">
        <v>2682</v>
      </c>
      <c r="B11" s="3044"/>
      <c r="C11" s="3039" t="s">
        <v>2683</v>
      </c>
      <c r="D11" s="3044"/>
      <c r="E11" s="3039" t="s">
        <v>2684</v>
      </c>
      <c r="F11" s="3045">
        <f>ROUND(1-(1/(POWER(1+D11,B11))),4)</f>
        <v>0</v>
      </c>
    </row>
    <row r="12" spans="1:6">
      <c r="A12" s="2988" t="s">
        <v>2685</v>
      </c>
      <c r="B12" s="3044"/>
      <c r="C12" s="3039" t="s">
        <v>2686</v>
      </c>
      <c r="D12" s="3044"/>
      <c r="E12" s="3039" t="s">
        <v>2687</v>
      </c>
      <c r="F12" s="3045">
        <f>ROUND(1-(1/(POWER(1+D12,B12))),4)</f>
        <v>0</v>
      </c>
    </row>
    <row r="13" spans="1:6">
      <c r="A13" s="2988" t="s">
        <v>2688</v>
      </c>
      <c r="B13" s="3039"/>
      <c r="C13" s="3038"/>
      <c r="D13" s="3035"/>
      <c r="E13" s="3035"/>
      <c r="F13" s="3036"/>
    </row>
    <row r="14" spans="1:6">
      <c r="A14" s="2988" t="s">
        <v>2689</v>
      </c>
      <c r="B14" s="3044"/>
      <c r="C14" s="3038"/>
      <c r="D14" s="3035"/>
      <c r="E14" s="3035"/>
      <c r="F14" s="3036"/>
    </row>
    <row r="15" spans="1:6">
      <c r="A15" s="2988" t="s">
        <v>2690</v>
      </c>
      <c r="B15" s="3039" t="e">
        <f>ROUND(B14*F12/F11,2)</f>
        <v>#DIV/0!</v>
      </c>
      <c r="C15" s="3039" t="e">
        <f>ROUND(F12/F11,4)</f>
        <v>#DIV/0!</v>
      </c>
      <c r="D15" s="3035"/>
      <c r="E15" s="3035"/>
      <c r="F15" s="3036"/>
    </row>
    <row r="16" spans="1:6">
      <c r="A16" s="2988" t="s">
        <v>2691</v>
      </c>
      <c r="B16" s="3039"/>
      <c r="C16" s="3038"/>
      <c r="D16" s="3035"/>
      <c r="E16" s="3035"/>
      <c r="F16" s="3036"/>
    </row>
    <row r="17" spans="1:7">
      <c r="A17" s="2988" t="s">
        <v>2690</v>
      </c>
      <c r="B17" s="3044"/>
      <c r="C17" s="3038"/>
      <c r="D17" s="3035"/>
      <c r="E17" s="3035"/>
      <c r="F17" s="3036"/>
    </row>
    <row r="18" spans="1:7" ht="14.25" thickBot="1">
      <c r="A18" s="3046" t="s">
        <v>2689</v>
      </c>
      <c r="B18" s="3047" t="e">
        <f>ROUND(B17*F11/F12,2)</f>
        <v>#DIV/0!</v>
      </c>
      <c r="C18" s="3047" t="e">
        <f>ROUND(F11/F12,4)</f>
        <v>#DIV/0!</v>
      </c>
      <c r="D18" s="3048"/>
      <c r="E18" s="3048"/>
      <c r="F18" s="3049"/>
    </row>
    <row r="19" spans="1:7" ht="14.25" thickBot="1"/>
    <row r="20" spans="1:7">
      <c r="A20" s="3050" t="s">
        <v>2692</v>
      </c>
      <c r="B20" s="3051"/>
      <c r="C20" s="3051"/>
      <c r="D20" s="3051"/>
      <c r="E20" s="3051"/>
      <c r="F20" s="3051"/>
      <c r="G20" s="3052"/>
    </row>
    <row r="21" spans="1:7">
      <c r="A21" s="3053"/>
      <c r="B21" s="3054" t="s">
        <v>2693</v>
      </c>
      <c r="C21" s="3054" t="s">
        <v>2694</v>
      </c>
      <c r="D21" s="3054" t="s">
        <v>2695</v>
      </c>
      <c r="E21" s="3054" t="s">
        <v>2696</v>
      </c>
      <c r="F21" s="3054" t="s">
        <v>2697</v>
      </c>
      <c r="G21" s="3055" t="s">
        <v>2698</v>
      </c>
    </row>
    <row r="22" spans="1:7">
      <c r="A22" s="3053" t="s">
        <v>2699</v>
      </c>
      <c r="B22" s="3056">
        <v>50</v>
      </c>
      <c r="C22" s="3056">
        <v>32</v>
      </c>
      <c r="D22" s="3057">
        <v>0.05</v>
      </c>
      <c r="E22" s="3054">
        <f>ROUND(POWER(1+D22,B22-C22)*(POWER(1+D22,C22)-1)/(POWER(1+D22,B22)-1),3)</f>
        <v>0.86599999999999999</v>
      </c>
      <c r="F22" s="3057">
        <v>0.6</v>
      </c>
      <c r="G22" s="3055">
        <f>ROUND(100*(1-(1-E22)*F22),1)</f>
        <v>92</v>
      </c>
    </row>
    <row r="23" spans="1:7">
      <c r="A23" s="3058" t="s">
        <v>2700</v>
      </c>
      <c r="B23" s="3056">
        <v>50</v>
      </c>
      <c r="C23" s="3056">
        <v>35</v>
      </c>
      <c r="D23" s="3057">
        <v>0.05</v>
      </c>
      <c r="E23" s="3054">
        <f>ROUND(POWER(1+D23,B23-C23)*(POWER(1+D23,C23)-1)/(POWER(1+D23,B23)-1),3)</f>
        <v>0.89700000000000002</v>
      </c>
      <c r="F23" s="3057">
        <f>F22</f>
        <v>0.6</v>
      </c>
      <c r="G23" s="3055">
        <f>ROUND(100*(1-(1-E23)*F23),1)</f>
        <v>93.8</v>
      </c>
    </row>
    <row r="24" spans="1:7">
      <c r="A24" s="3058" t="s">
        <v>2701</v>
      </c>
      <c r="B24" s="3056">
        <v>50</v>
      </c>
      <c r="C24" s="3056">
        <v>25</v>
      </c>
      <c r="D24" s="3057">
        <v>0.05</v>
      </c>
      <c r="E24" s="3054">
        <f>ROUND(POWER(1+D24,B24-C24)*(POWER(1+D24,C24)-1)/(POWER(1+D24,B24)-1),3)</f>
        <v>0.77200000000000002</v>
      </c>
      <c r="F24" s="3057">
        <f>F23</f>
        <v>0.6</v>
      </c>
      <c r="G24" s="3055">
        <f>ROUND(100*(1-(1-E24)*F24),1)</f>
        <v>86.3</v>
      </c>
    </row>
    <row r="25" spans="1:7">
      <c r="A25" s="3058" t="s">
        <v>2702</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2703</v>
      </c>
      <c r="B27" s="3063"/>
      <c r="C27" s="3063"/>
      <c r="D27" s="3063"/>
      <c r="E27" s="3063"/>
      <c r="F27" s="3063"/>
      <c r="G27" s="3064"/>
    </row>
    <row r="28" spans="1:7">
      <c r="A28" s="3062" t="s">
        <v>2704</v>
      </c>
      <c r="B28" s="3063"/>
      <c r="C28" s="3063"/>
      <c r="D28" s="3063"/>
      <c r="E28" s="3063"/>
      <c r="F28" s="3063"/>
      <c r="G28" s="3064"/>
    </row>
    <row r="29" spans="1:7">
      <c r="A29" s="3062" t="s">
        <v>2705</v>
      </c>
      <c r="B29" s="3063"/>
      <c r="C29" s="3063"/>
      <c r="D29" s="3063"/>
      <c r="E29" s="3063"/>
      <c r="F29" s="3063"/>
      <c r="G29" s="3064"/>
    </row>
    <row r="30" spans="1:7">
      <c r="A30" s="3062" t="s">
        <v>2706</v>
      </c>
      <c r="B30" s="3063"/>
      <c r="C30" s="3063"/>
      <c r="D30" s="3063"/>
      <c r="E30" s="3063"/>
      <c r="F30" s="3063"/>
      <c r="G30" s="3064"/>
    </row>
    <row r="31" spans="1:7">
      <c r="A31" s="3062" t="s">
        <v>2707</v>
      </c>
      <c r="B31" s="3063"/>
      <c r="C31" s="3063"/>
      <c r="D31" s="3063"/>
      <c r="E31" s="3063"/>
      <c r="F31" s="3063"/>
      <c r="G31" s="3064"/>
    </row>
    <row r="32" spans="1:7">
      <c r="A32" s="3062" t="s">
        <v>2708</v>
      </c>
      <c r="B32" s="3063"/>
      <c r="C32" s="3063"/>
      <c r="D32" s="3063"/>
      <c r="E32" s="3063"/>
      <c r="F32" s="3063"/>
      <c r="G32" s="3064"/>
    </row>
    <row r="33" spans="1:7">
      <c r="A33" s="3062" t="s">
        <v>2709</v>
      </c>
      <c r="B33" s="3063"/>
      <c r="C33" s="3063"/>
      <c r="D33" s="3063"/>
      <c r="E33" s="3063"/>
      <c r="F33" s="3063"/>
      <c r="G33" s="3064"/>
    </row>
    <row r="34" spans="1:7">
      <c r="A34" s="3062" t="s">
        <v>2710</v>
      </c>
      <c r="B34" s="3063"/>
      <c r="C34" s="3063"/>
      <c r="D34" s="3063"/>
      <c r="E34" s="3063"/>
      <c r="F34" s="3063"/>
      <c r="G34" s="3064"/>
    </row>
    <row r="35" spans="1:7">
      <c r="A35" s="3062" t="s">
        <v>2711</v>
      </c>
      <c r="B35" s="3063"/>
      <c r="C35" s="3063"/>
      <c r="D35" s="3063"/>
      <c r="E35" s="3063"/>
      <c r="F35" s="3063"/>
      <c r="G35" s="3064"/>
    </row>
    <row r="36" spans="1:7">
      <c r="A36" s="3062" t="s">
        <v>2712</v>
      </c>
      <c r="B36" s="3063"/>
      <c r="C36" s="3063"/>
      <c r="D36" s="3063"/>
      <c r="E36" s="3063"/>
      <c r="F36" s="3063"/>
      <c r="G36" s="3064"/>
    </row>
    <row r="37" spans="1:7">
      <c r="A37" s="3062" t="s">
        <v>2713</v>
      </c>
      <c r="B37" s="3063"/>
      <c r="C37" s="3063"/>
      <c r="D37" s="3063"/>
      <c r="E37" s="3063"/>
      <c r="F37" s="3063"/>
      <c r="G37" s="3064"/>
    </row>
    <row r="38" spans="1:7">
      <c r="A38" s="3062" t="s">
        <v>2714</v>
      </c>
      <c r="B38" s="3063"/>
      <c r="C38" s="3063"/>
      <c r="D38" s="3063"/>
      <c r="E38" s="3063"/>
      <c r="F38" s="3063"/>
      <c r="G38" s="3064"/>
    </row>
    <row r="39" spans="1:7">
      <c r="A39" s="3062"/>
      <c r="B39" s="3063"/>
      <c r="C39" s="3063"/>
      <c r="D39" s="3063"/>
      <c r="E39" s="3063"/>
      <c r="F39" s="3063"/>
      <c r="G39" s="3064"/>
    </row>
    <row r="40" spans="1:7">
      <c r="A40" s="3065" t="s">
        <v>2715</v>
      </c>
      <c r="B40" s="3066"/>
      <c r="C40" s="3066"/>
      <c r="D40" s="3066"/>
      <c r="E40" s="3066"/>
      <c r="F40" s="3066"/>
      <c r="G40" s="3067"/>
    </row>
    <row r="41" spans="1:7">
      <c r="A41" s="3068" t="s">
        <v>2716</v>
      </c>
      <c r="B41" s="3069" t="s">
        <v>2717</v>
      </c>
      <c r="C41" s="3070" t="s">
        <v>2718</v>
      </c>
      <c r="D41" s="3070" t="s">
        <v>2719</v>
      </c>
      <c r="E41" s="3071"/>
      <c r="F41" s="3072"/>
      <c r="G41" s="3073"/>
    </row>
    <row r="42" spans="1:7">
      <c r="A42" s="3068" t="s">
        <v>2720</v>
      </c>
      <c r="B42" s="3069" t="s">
        <v>2721</v>
      </c>
      <c r="C42" s="3070" t="s">
        <v>2721</v>
      </c>
      <c r="D42" s="3074" t="s">
        <v>2722</v>
      </c>
      <c r="E42" s="3066" t="s">
        <v>2723</v>
      </c>
      <c r="F42" s="3066"/>
      <c r="G42" s="3067"/>
    </row>
    <row r="43" spans="1:7">
      <c r="A43" s="3068" t="s">
        <v>2724</v>
      </c>
      <c r="B43" s="3069" t="s">
        <v>2725</v>
      </c>
      <c r="C43" s="3070" t="s">
        <v>2726</v>
      </c>
      <c r="D43" s="3070" t="s">
        <v>2727</v>
      </c>
      <c r="E43" s="3071" t="s">
        <v>2728</v>
      </c>
      <c r="F43" s="3072"/>
      <c r="G43" s="3073"/>
    </row>
    <row r="44" spans="1:7">
      <c r="A44" s="3068" t="s">
        <v>2729</v>
      </c>
      <c r="B44" s="3069" t="s">
        <v>2730</v>
      </c>
      <c r="C44" s="3070" t="s">
        <v>2731</v>
      </c>
      <c r="D44" s="3074">
        <v>0.5</v>
      </c>
      <c r="E44" s="3071" t="s">
        <v>2732</v>
      </c>
      <c r="F44" s="3072"/>
      <c r="G44" s="3073"/>
    </row>
    <row r="45" spans="1:7" ht="14.25" thickBot="1">
      <c r="A45" s="3075" t="s">
        <v>2733</v>
      </c>
      <c r="B45" s="3076" t="s">
        <v>2721</v>
      </c>
      <c r="C45" s="3077" t="s">
        <v>2721</v>
      </c>
      <c r="D45" s="3077" t="s">
        <v>2734</v>
      </c>
      <c r="E45" s="3078" t="s">
        <v>2735</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19" sqref="C19"/>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35" t="str">
        <f>IF(B10="北京市","北京市",C10)&amp;F10&amp;A17&amp;"国有建设用地使用权"&amp;B9&amp;"预评估"</f>
        <v>北京市延庆区南辛堡村、民主村、百眼泉村棚户区改造项目YQ00-0309-0017地块R2二类居住用地出让国有建设用地使用权抵押价格预评估</v>
      </c>
      <c r="C1" s="3536"/>
      <c r="D1" s="3536"/>
      <c r="E1" s="3536"/>
      <c r="F1" s="3536"/>
      <c r="G1" s="3536"/>
      <c r="H1" s="3536"/>
      <c r="I1" s="3537"/>
      <c r="J1" s="2602"/>
      <c r="K1" s="1970" t="str">
        <f>IF(B10="北京市","北京市",C10)&amp;F10&amp;A17&amp;"国有建设用地使用权"&amp;B9</f>
        <v>北京市延庆区南辛堡村、民主村、百眼泉村棚户区改造项目YQ00-0309-0017地块R2二类居住用地出让国有建设用地使用权抵押价格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北京市延庆区南辛堡村、民主村、百眼泉村棚户区改造项目YQ00-0309-0017地块R2二类居住用地出让国有建设用地使用权</v>
      </c>
      <c r="L2" s="2582"/>
      <c r="M2" s="2582"/>
      <c r="N2" s="2583"/>
      <c r="O2" s="2584"/>
      <c r="P2" s="2583"/>
      <c r="Q2" s="2583"/>
      <c r="R2" s="2583"/>
      <c r="S2" s="2583"/>
      <c r="T2" s="2583"/>
      <c r="U2" s="2583"/>
    </row>
    <row r="3" spans="1:21">
      <c r="A3" s="1377" t="s">
        <v>1459</v>
      </c>
      <c r="B3" s="1378">
        <v>45615</v>
      </c>
      <c r="C3" s="2531" t="s">
        <v>1513</v>
      </c>
      <c r="D3" s="1378">
        <f>B3</f>
        <v>45615</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3272</v>
      </c>
      <c r="C4" s="1533">
        <f ca="1">SUMIF(土地估价师,B4,估价师及机构信息!E3:E17)</f>
        <v>2002110125</v>
      </c>
      <c r="D4" s="1530" t="s">
        <v>3273</v>
      </c>
      <c r="E4" s="1533">
        <f ca="1">SUMIF(土地估价师,D4,估价师及机构信息!E3:E17)</f>
        <v>2011110090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吴薇、赵雯</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1987</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1988</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t="s">
        <v>3274</v>
      </c>
      <c r="C8" s="1387"/>
      <c r="D8" s="3541" t="s">
        <v>1464</v>
      </c>
      <c r="E8" s="1531" t="s">
        <v>3275</v>
      </c>
      <c r="F8" s="1388"/>
      <c r="G8" s="2602"/>
      <c r="H8" s="2602"/>
      <c r="I8" s="2603"/>
      <c r="J8" s="2602"/>
      <c r="K8" s="2586"/>
      <c r="L8" s="2582"/>
      <c r="M8" s="2582"/>
      <c r="N8" s="2583"/>
      <c r="O8" s="2584"/>
      <c r="P8" s="2583"/>
      <c r="Q8" s="2583"/>
      <c r="R8" s="2583"/>
      <c r="S8" s="2583"/>
      <c r="T8" s="2583"/>
      <c r="U8" s="2583"/>
    </row>
    <row r="9" spans="1:21" ht="15" thickBot="1">
      <c r="A9" s="2533" t="s">
        <v>1463</v>
      </c>
      <c r="B9" s="1389" t="s">
        <v>3275</v>
      </c>
      <c r="C9" s="1390"/>
      <c r="D9" s="3542"/>
      <c r="E9" s="1389"/>
      <c r="F9" s="1446"/>
      <c r="G9" s="2605"/>
      <c r="H9" s="2605"/>
      <c r="I9" s="2606"/>
      <c r="J9" s="2602"/>
      <c r="K9" s="2586"/>
      <c r="L9" s="2582"/>
      <c r="M9" s="2582"/>
      <c r="N9" s="2583"/>
      <c r="O9" s="2584"/>
      <c r="P9" s="2583"/>
      <c r="Q9" s="2583"/>
      <c r="R9" s="2583"/>
      <c r="S9" s="2583"/>
      <c r="T9" s="2583"/>
      <c r="U9" s="2583"/>
    </row>
    <row r="10" spans="1:21" ht="15" thickTop="1">
      <c r="A10" s="2534" t="s">
        <v>1517</v>
      </c>
      <c r="B10" s="1424" t="s">
        <v>1465</v>
      </c>
      <c r="C10" s="1391"/>
      <c r="D10" s="1383"/>
      <c r="E10" s="1392" t="s">
        <v>1466</v>
      </c>
      <c r="F10" s="1393" t="s">
        <v>3322</v>
      </c>
      <c r="G10" s="1444"/>
      <c r="H10" s="1445"/>
      <c r="I10" s="1383"/>
      <c r="J10" s="2602"/>
      <c r="K10" s="2586"/>
      <c r="L10" s="2582"/>
      <c r="M10" s="2582"/>
      <c r="N10" s="2583"/>
      <c r="O10" s="2584"/>
      <c r="P10" s="2583"/>
      <c r="Q10" s="2583"/>
      <c r="R10" s="2583"/>
      <c r="S10" s="2583"/>
      <c r="T10" s="2583"/>
      <c r="U10" s="2583"/>
    </row>
    <row r="11" spans="1:21">
      <c r="A11" s="2535" t="s">
        <v>1518</v>
      </c>
      <c r="B11" s="1405" t="s">
        <v>3276</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538"/>
      <c r="C12" s="3539"/>
      <c r="D12" s="3540"/>
      <c r="E12" s="1406" t="s">
        <v>1579</v>
      </c>
      <c r="F12" s="3556" t="s">
        <v>2161</v>
      </c>
      <c r="G12" s="3557"/>
      <c r="H12" s="3557"/>
      <c r="I12" s="3558"/>
      <c r="J12" s="2602"/>
      <c r="K12" s="2586"/>
      <c r="L12" s="2582"/>
      <c r="M12" s="2582"/>
      <c r="N12" s="2583"/>
      <c r="O12" s="2584"/>
      <c r="P12" s="2583"/>
      <c r="Q12" s="2583"/>
      <c r="R12" s="2583"/>
      <c r="S12" s="2583"/>
      <c r="T12" s="2583"/>
      <c r="U12" s="2583"/>
    </row>
    <row r="13" spans="1:21">
      <c r="A13" s="1398" t="s">
        <v>1577</v>
      </c>
      <c r="B13" s="3538"/>
      <c r="C13" s="3539"/>
      <c r="D13" s="3540"/>
      <c r="E13" s="1406" t="s">
        <v>1579</v>
      </c>
      <c r="F13" s="3556" t="s">
        <v>2162</v>
      </c>
      <c r="G13" s="3557"/>
      <c r="H13" s="3557"/>
      <c r="I13" s="3558"/>
      <c r="J13" s="2602"/>
      <c r="K13" s="2586"/>
      <c r="L13" s="2582"/>
      <c r="M13" s="2582"/>
      <c r="N13" s="2583"/>
      <c r="O13" s="2584"/>
      <c r="P13" s="2583"/>
      <c r="Q13" s="2583"/>
      <c r="R13" s="2583"/>
      <c r="S13" s="2583"/>
      <c r="T13" s="2583"/>
      <c r="U13" s="2583"/>
    </row>
    <row r="14" spans="1:21">
      <c r="A14" s="1377"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2737</v>
      </c>
      <c r="J15" s="2602"/>
      <c r="K15" s="2586"/>
      <c r="L15" s="2582"/>
      <c r="M15" s="2582"/>
      <c r="N15" s="2583"/>
      <c r="O15" s="2584"/>
      <c r="P15" s="2583"/>
      <c r="Q15" s="2583"/>
      <c r="R15" s="2583"/>
      <c r="S15" s="2583"/>
      <c r="T15" s="2583"/>
      <c r="U15" s="2583"/>
    </row>
    <row r="16" spans="1:21" ht="42.75">
      <c r="A16" s="2536" t="s">
        <v>1467</v>
      </c>
      <c r="B16" s="1406" t="s">
        <v>1468</v>
      </c>
      <c r="C16" s="1465" t="s">
        <v>1469</v>
      </c>
      <c r="D16" s="1427" t="s">
        <v>2738</v>
      </c>
      <c r="E16" s="1427" t="s">
        <v>1212</v>
      </c>
      <c r="F16" s="1427" t="s">
        <v>2739</v>
      </c>
      <c r="G16" s="1427" t="s">
        <v>2740</v>
      </c>
      <c r="H16" s="1397" t="s">
        <v>776</v>
      </c>
      <c r="I16" s="1397" t="s">
        <v>2737</v>
      </c>
      <c r="J16" s="2602"/>
      <c r="K16" s="1397" t="str">
        <f>IF(D17="","",D16&amp;TEXT(D17,"yyyy年m月d日;;"))</f>
        <v>商业2064年10月21日</v>
      </c>
      <c r="L16" s="1406" t="str">
        <f>IF(OR(K16="",M16=""),"","、")</f>
        <v/>
      </c>
      <c r="M16" s="1397" t="str">
        <f>IF(E17="","",E16&amp;TEXT(E17,"yyyy年m月d日;;"))</f>
        <v/>
      </c>
      <c r="N16" s="1406" t="str">
        <f>IF(OR(M16="",O16=""),"","、")</f>
        <v/>
      </c>
      <c r="O16" s="1397" t="str">
        <f>IF(F17="","",F16&amp;TEXT(F17,"yyyy年m月d日;;"))</f>
        <v>车库2074年10月21日</v>
      </c>
      <c r="P16" s="1406" t="str">
        <f>IF(OR(O16="",Q16=""),"","、")</f>
        <v>、</v>
      </c>
      <c r="Q16" s="1397" t="str">
        <f>IF(G17="","",G16&amp;TEXT(G17,"yyyy年m月d日;;"))</f>
        <v>仓储2074年10月21日</v>
      </c>
      <c r="R16" s="1406" t="str">
        <f>IF(OR(Q16="",S16=""),"","、")</f>
        <v/>
      </c>
      <c r="S16" s="1397" t="str">
        <f>IF(H17="","",H16&amp;TEXT(H17,"yyyy年m月d日;;"))</f>
        <v/>
      </c>
      <c r="T16" s="1406" t="str">
        <f>IF(OR(S16="",U16=""),"","、")</f>
        <v/>
      </c>
      <c r="U16" s="1397" t="str">
        <f>IF(I17="","",I16&amp;TEXT(I17,"yyyy年m月d日;;"))</f>
        <v/>
      </c>
    </row>
    <row r="17" spans="1:21">
      <c r="A17" s="3081" t="s">
        <v>2741</v>
      </c>
      <c r="B17" s="2537" t="s">
        <v>1473</v>
      </c>
      <c r="C17" s="3080">
        <v>71153</v>
      </c>
      <c r="D17" s="3080">
        <v>60196</v>
      </c>
      <c r="E17" s="3080"/>
      <c r="F17" s="3080">
        <v>63848</v>
      </c>
      <c r="G17" s="3080">
        <v>63848</v>
      </c>
      <c r="H17" s="3080"/>
      <c r="I17" s="3080"/>
      <c r="J17" s="2602"/>
      <c r="K17" s="2581" t="str">
        <f>CONCATENATE(K16,L16,M16,N16,O16,P16,Q16,R16,S16,T16,,U16)</f>
        <v>商业2064年10月21日车库2074年10月21日、仓储2074年10月21日</v>
      </c>
      <c r="L17" s="2582"/>
      <c r="M17" s="2582"/>
      <c r="N17" s="2583"/>
      <c r="O17" s="2584"/>
      <c r="P17" s="2583"/>
      <c r="Q17" s="2583"/>
      <c r="R17" s="2583"/>
      <c r="S17" s="2583"/>
      <c r="T17" s="2583"/>
      <c r="U17" s="2583"/>
    </row>
    <row r="18" spans="1:21">
      <c r="A18" s="1462"/>
      <c r="B18" s="2537" t="s">
        <v>1474</v>
      </c>
      <c r="C18" s="1395">
        <v>70</v>
      </c>
      <c r="D18" s="1395">
        <v>40</v>
      </c>
      <c r="E18" s="1395"/>
      <c r="F18" s="1395">
        <v>50</v>
      </c>
      <c r="G18" s="1395">
        <v>50</v>
      </c>
      <c r="H18" s="1395"/>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69.959999999999994</v>
      </c>
      <c r="D19" s="1457">
        <f>IF(A17="出让",IF(D17="","",ROUNDDOWN(MIN((D17-$D$3)/365,D18),2)),D18)</f>
        <v>39.94</v>
      </c>
      <c r="E19" s="1396" t="str">
        <f>IF(A17="出让",IF(E17="","",ROUNDDOWN(MIN((E17-$D$3)/365,E18),2)),E18)</f>
        <v/>
      </c>
      <c r="F19" s="1396">
        <f>IF(A17="出让",IF(F17="","",ROUNDDOWN(MIN((F17-$D$3)/365,F18),2)),F18)</f>
        <v>49.95</v>
      </c>
      <c r="G19" s="1396">
        <f>IF(A17="出让",IF(G17="","",ROUNDDOWN(MIN((G17-$D$3)/365,G18),2)),G18)</f>
        <v>49.95</v>
      </c>
      <c r="H19" s="1396" t="str">
        <f>IF(A17="出让",IF(H17="","",ROUNDDOWN(MIN((H17-$D$3)/365,H18),2)),H18)</f>
        <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553"/>
      <c r="E20" s="3554"/>
      <c r="F20" s="3554"/>
      <c r="G20" s="3554"/>
      <c r="H20" s="3554"/>
      <c r="I20" s="3555"/>
      <c r="J20" s="2602"/>
      <c r="K20" s="2586"/>
      <c r="L20" s="2582"/>
      <c r="M20" s="2582"/>
      <c r="N20" s="2583"/>
      <c r="O20" s="2584"/>
      <c r="P20" s="2583"/>
      <c r="Q20" s="2583"/>
      <c r="R20" s="2583"/>
      <c r="S20" s="2583"/>
      <c r="T20" s="2583"/>
      <c r="U20" s="2583"/>
    </row>
    <row r="21" spans="1:21">
      <c r="A21" s="1462" t="s">
        <v>1476</v>
      </c>
      <c r="B21" s="1463" t="s">
        <v>1477</v>
      </c>
      <c r="C21" s="1458">
        <f>'数据-汇总表'!E3</f>
        <v>28699.425200000001</v>
      </c>
      <c r="D21" s="1459" t="s">
        <v>1478</v>
      </c>
      <c r="E21" s="3543" t="s">
        <v>1516</v>
      </c>
      <c r="F21" s="3544"/>
      <c r="G21" s="3544"/>
      <c r="H21" s="3544"/>
      <c r="I21" s="3545"/>
      <c r="J21" s="2602"/>
      <c r="K21" s="2586"/>
      <c r="L21" s="2582"/>
      <c r="M21" s="2582"/>
      <c r="N21" s="2583"/>
      <c r="O21" s="2584"/>
      <c r="P21" s="2583"/>
      <c r="Q21" s="2583"/>
      <c r="R21" s="2583"/>
      <c r="S21" s="2583"/>
      <c r="T21" s="2583"/>
      <c r="U21" s="2583"/>
    </row>
    <row r="22" spans="1:21">
      <c r="A22" s="2365" t="s">
        <v>877</v>
      </c>
      <c r="B22" s="1377" t="s">
        <v>1479</v>
      </c>
      <c r="C22" s="1397">
        <f>'数据-汇总表'!D3</f>
        <v>12997.77</v>
      </c>
      <c r="D22" s="1398" t="s">
        <v>1478</v>
      </c>
      <c r="E22" s="3543" t="s">
        <v>2163</v>
      </c>
      <c r="F22" s="3544"/>
      <c r="G22" s="3544"/>
      <c r="H22" s="3544"/>
      <c r="I22" s="3545"/>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46" t="s">
        <v>1484</v>
      </c>
      <c r="C24" s="3547"/>
      <c r="D24" s="3548" t="s">
        <v>1485</v>
      </c>
      <c r="E24" s="3549"/>
      <c r="F24" s="1413" t="s">
        <v>1486</v>
      </c>
      <c r="G24" s="2602"/>
      <c r="H24" s="2602"/>
      <c r="I24" s="2603"/>
      <c r="J24" s="2602"/>
      <c r="K24" s="3534"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28.5">
      <c r="A25" s="1450"/>
      <c r="B25" s="1447" t="s">
        <v>1682</v>
      </c>
      <c r="C25" s="1414" t="s">
        <v>1488</v>
      </c>
      <c r="D25" s="1415"/>
      <c r="E25" s="1416" t="s">
        <v>877</v>
      </c>
      <c r="F25" s="1417"/>
      <c r="G25" s="2602"/>
      <c r="H25" s="2602"/>
      <c r="I25" s="2603"/>
      <c r="J25" s="2602"/>
      <c r="K25" s="3534"/>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1489</v>
      </c>
      <c r="C26" s="1414" t="s">
        <v>1683</v>
      </c>
      <c r="D26" s="2602"/>
      <c r="E26" s="2602"/>
      <c r="F26" s="2607"/>
      <c r="G26" s="2602"/>
      <c r="H26" s="2602"/>
      <c r="I26" s="2603"/>
      <c r="J26" s="2602"/>
      <c r="K26" s="3534"/>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5" thickTop="1">
      <c r="A31" s="3520" t="s">
        <v>1519</v>
      </c>
      <c r="B31" s="1463" t="s">
        <v>1520</v>
      </c>
      <c r="C31" s="3559" t="s">
        <v>3277</v>
      </c>
      <c r="D31" s="3560"/>
      <c r="E31" s="2602"/>
      <c r="F31" s="2602"/>
      <c r="G31" s="2602"/>
      <c r="H31" s="2602"/>
      <c r="I31" s="2603"/>
      <c r="J31" s="2602"/>
      <c r="K31" s="2589"/>
      <c r="L31" s="2583"/>
      <c r="M31" s="2583"/>
      <c r="N31" s="2583"/>
      <c r="O31" s="2583"/>
      <c r="P31" s="2583"/>
      <c r="Q31" s="2583"/>
      <c r="R31" s="2583"/>
      <c r="S31" s="2583"/>
      <c r="T31" s="2583"/>
      <c r="U31" s="2583"/>
    </row>
    <row r="32" spans="1:21">
      <c r="A32" s="3520"/>
      <c r="B32" s="1377" t="s">
        <v>1521</v>
      </c>
      <c r="C32" s="1424" t="s">
        <v>3278</v>
      </c>
      <c r="D32" s="1425"/>
      <c r="E32" s="2602"/>
      <c r="F32" s="2602"/>
      <c r="G32" s="2602"/>
      <c r="H32" s="2602"/>
      <c r="I32" s="2603"/>
      <c r="J32" s="2602"/>
      <c r="K32" s="2589"/>
      <c r="L32" s="2583"/>
      <c r="M32" s="2583"/>
      <c r="N32" s="2583"/>
      <c r="O32" s="2583"/>
      <c r="P32" s="2583"/>
      <c r="Q32" s="2583"/>
      <c r="R32" s="2583"/>
      <c r="S32" s="2583"/>
      <c r="T32" s="2583"/>
      <c r="U32" s="2583"/>
    </row>
    <row r="33" spans="1:28">
      <c r="A33" s="3520"/>
      <c r="B33" s="1377" t="s">
        <v>1522</v>
      </c>
      <c r="C33" s="1426" t="s">
        <v>3279</v>
      </c>
      <c r="D33" s="1526"/>
      <c r="E33" s="2602"/>
      <c r="F33" s="2602"/>
      <c r="G33" s="2602"/>
      <c r="H33" s="2602"/>
      <c r="I33" s="2603"/>
      <c r="J33" s="2602"/>
      <c r="K33" s="2589"/>
      <c r="L33" s="2583"/>
      <c r="M33" s="2583"/>
      <c r="N33" s="2583"/>
      <c r="O33" s="2583"/>
      <c r="P33" s="2583"/>
      <c r="Q33" s="2583"/>
      <c r="R33" s="2583"/>
      <c r="S33" s="2583"/>
      <c r="T33" s="2583"/>
      <c r="U33" s="2583"/>
    </row>
    <row r="34" spans="1:28">
      <c r="A34" s="3521"/>
      <c r="B34" s="1377" t="s">
        <v>1523</v>
      </c>
      <c r="C34" s="3522"/>
      <c r="D34" s="3523"/>
      <c r="E34" s="2602"/>
      <c r="F34" s="2602"/>
      <c r="G34" s="2602"/>
      <c r="H34" s="2602"/>
      <c r="I34" s="2603"/>
      <c r="J34" s="2602"/>
      <c r="K34" s="2589"/>
      <c r="L34" s="2583"/>
      <c r="M34" s="2583"/>
      <c r="N34" s="2583"/>
      <c r="O34" s="2583"/>
      <c r="P34" s="2583"/>
      <c r="Q34" s="2583"/>
      <c r="R34" s="2583"/>
      <c r="S34" s="2583"/>
      <c r="T34" s="2583"/>
      <c r="U34" s="2583"/>
    </row>
    <row r="35" spans="1:28">
      <c r="A35" s="3524" t="s">
        <v>785</v>
      </c>
      <c r="B35" s="1427" t="s">
        <v>3280</v>
      </c>
      <c r="C35" s="1471" t="str">
        <f>IF(B35="场地平整","——","具体情况：")</f>
        <v>——</v>
      </c>
      <c r="D35" s="3526"/>
      <c r="E35" s="3527"/>
      <c r="F35" s="3527"/>
      <c r="G35" s="3527"/>
      <c r="H35" s="3527"/>
      <c r="I35" s="3528"/>
      <c r="J35" s="2602"/>
      <c r="K35" s="2590"/>
      <c r="L35" s="2582"/>
      <c r="M35" s="2582"/>
      <c r="N35" s="2583"/>
      <c r="O35" s="2584"/>
      <c r="P35" s="2583"/>
      <c r="Q35" s="2583"/>
      <c r="R35" s="2583"/>
      <c r="S35" s="2583"/>
      <c r="T35" s="2583"/>
      <c r="U35" s="2583"/>
    </row>
    <row r="36" spans="1:28">
      <c r="A36" s="3520"/>
      <c r="B36" s="3529" t="s">
        <v>1572</v>
      </c>
      <c r="C36" s="3530"/>
      <c r="D36" s="1486" t="s">
        <v>2772</v>
      </c>
      <c r="E36" s="3531"/>
      <c r="F36" s="3531"/>
      <c r="G36" s="1398" t="str">
        <f>IF(B35="场地未平整","估价结果处理","")</f>
        <v/>
      </c>
      <c r="H36" s="3532"/>
      <c r="I36" s="3532"/>
      <c r="J36" s="2602"/>
      <c r="K36" s="2590"/>
      <c r="L36" s="2582"/>
      <c r="M36" s="2582"/>
      <c r="N36" s="2583"/>
      <c r="O36" s="2584"/>
      <c r="P36" s="2583"/>
      <c r="Q36" s="2583"/>
      <c r="R36" s="2583"/>
      <c r="S36" s="2583"/>
      <c r="T36" s="2583"/>
      <c r="U36" s="2583"/>
    </row>
    <row r="37" spans="1:28" ht="28.5">
      <c r="A37" s="3520"/>
      <c r="B37" s="3550"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20"/>
      <c r="B38" s="3551"/>
      <c r="C38" s="1385" t="s">
        <v>788</v>
      </c>
      <c r="D38" s="1485">
        <f>ROUNDDOWN(MIN(('数据-取费表'!$B$2-D37)/365,D34),1)</f>
        <v>124.9</v>
      </c>
      <c r="E38" s="1432" t="s">
        <v>789</v>
      </c>
      <c r="F38" s="2602"/>
      <c r="G38" s="2602"/>
      <c r="H38" s="2602"/>
      <c r="I38" s="2603"/>
      <c r="J38" s="2602"/>
      <c r="K38" s="2590"/>
      <c r="L38" s="2583"/>
      <c r="M38" s="2583"/>
      <c r="N38" s="2583"/>
      <c r="O38" s="2583"/>
      <c r="P38" s="2583"/>
      <c r="Q38" s="2583"/>
      <c r="R38" s="2583"/>
      <c r="S38" s="2583"/>
      <c r="T38" s="2583"/>
      <c r="U38" s="2583"/>
    </row>
    <row r="39" spans="1:28">
      <c r="A39" s="3521"/>
      <c r="B39" s="3552"/>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1399"/>
      <c r="C40" s="1399"/>
      <c r="D40" s="1399"/>
      <c r="E40" s="1399"/>
      <c r="F40" s="1399"/>
      <c r="G40" s="1399"/>
      <c r="H40" s="1399"/>
      <c r="I40" s="2603"/>
      <c r="J40" s="2602"/>
      <c r="K40" s="1435">
        <f>COUNTIF(B40:H40,"——")</f>
        <v>0</v>
      </c>
      <c r="L40" s="1406" t="s">
        <v>1496</v>
      </c>
      <c r="M40" s="1403" t="s">
        <v>1497</v>
      </c>
      <c r="N40" s="1403" t="s">
        <v>1498</v>
      </c>
      <c r="O40" s="1403" t="s">
        <v>1499</v>
      </c>
      <c r="P40" s="1403" t="s">
        <v>1500</v>
      </c>
      <c r="Q40" s="1403" t="s">
        <v>1501</v>
      </c>
      <c r="R40" s="1403" t="s">
        <v>1502</v>
      </c>
      <c r="S40" s="3533" t="s">
        <v>1503</v>
      </c>
      <c r="T40" s="1406" t="str">
        <f>NUMBERSTRING(7-K40,1)&amp;"通"</f>
        <v>七通</v>
      </c>
      <c r="U40" s="2583"/>
    </row>
    <row r="41" spans="1:28">
      <c r="A41" s="1379"/>
      <c r="B41" s="3525" t="s">
        <v>1250</v>
      </c>
      <c r="C41" s="3525"/>
      <c r="D41" s="3525"/>
      <c r="E41" s="3525"/>
      <c r="F41" s="1436">
        <f>C10</f>
        <v>0</v>
      </c>
      <c r="G41" s="2602"/>
      <c r="H41" s="2602"/>
      <c r="I41" s="2603"/>
      <c r="J41" s="2602"/>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533"/>
      <c r="T41" s="1437" t="str">
        <f>IF(T40="一通",L41,IF(T40="二通",M41,IF(T40="三通",N41,IF(T40="四通",O41,IF(T40="五通",P41,IF(T40="六通",Q41,R41))))))</f>
        <v>、、、、、、</v>
      </c>
      <c r="U41" s="2583"/>
    </row>
    <row r="42" spans="1:28">
      <c r="A42" s="1439"/>
      <c r="B42" s="1465" t="s">
        <v>1422</v>
      </c>
      <c r="C42" s="1465" t="s">
        <v>1423</v>
      </c>
      <c r="D42" s="1465" t="s">
        <v>1424</v>
      </c>
      <c r="E42" s="1465" t="s">
        <v>2742</v>
      </c>
      <c r="F42" s="1465" t="s">
        <v>2743</v>
      </c>
      <c r="G42" s="2602"/>
      <c r="H42" s="2602"/>
      <c r="I42" s="2603"/>
      <c r="J42" s="2602"/>
      <c r="K42" s="2586"/>
      <c r="L42" s="2582"/>
      <c r="M42" s="2582"/>
      <c r="N42" s="2583"/>
      <c r="O42" s="2584"/>
      <c r="P42" s="2583"/>
      <c r="Q42" s="2583"/>
      <c r="R42" s="2583"/>
      <c r="S42" s="2583"/>
      <c r="T42" s="2583"/>
      <c r="U42" s="2583"/>
    </row>
    <row r="43" spans="1:28">
      <c r="A43" s="2558" t="s">
        <v>1235</v>
      </c>
      <c r="B43" s="1441" t="s">
        <v>1156</v>
      </c>
      <c r="C43" s="1441" t="s">
        <v>1156</v>
      </c>
      <c r="D43" s="1441" t="s">
        <v>1156</v>
      </c>
      <c r="E43" s="1441"/>
      <c r="F43" s="1441" t="s">
        <v>1156</v>
      </c>
      <c r="G43" s="2602"/>
      <c r="H43" s="2602"/>
      <c r="I43" s="2603"/>
      <c r="J43" s="2602"/>
      <c r="K43" s="2586"/>
      <c r="L43" s="2582"/>
      <c r="M43" s="2582"/>
      <c r="N43" s="2583"/>
      <c r="O43" s="2584"/>
      <c r="P43" s="2583"/>
      <c r="Q43" s="2583"/>
      <c r="R43" s="2583"/>
      <c r="S43" s="2583"/>
      <c r="T43" s="2583"/>
      <c r="U43" s="2583"/>
    </row>
    <row r="44" spans="1:28">
      <c r="A44" s="2558" t="s">
        <v>1236</v>
      </c>
      <c r="B44" s="1441" t="s">
        <v>2968</v>
      </c>
      <c r="C44" s="1441" t="s">
        <v>2968</v>
      </c>
      <c r="D44" s="1441" t="s">
        <v>2968</v>
      </c>
      <c r="E44" s="1486"/>
      <c r="F44" s="1486" t="s">
        <v>2968</v>
      </c>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1524</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U13" activePane="bottomRight" state="frozen"/>
      <selection pane="topRight" activeCell="E1" sqref="E1"/>
      <selection pane="bottomLeft" activeCell="A12" sqref="A12"/>
      <selection pane="bottomRight" activeCell="AZ5" sqref="AZ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5"/>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5" t="s">
        <v>1690</v>
      </c>
      <c r="BA2" s="1926" t="s">
        <v>1689</v>
      </c>
      <c r="BB2" s="37"/>
      <c r="BC2" s="37"/>
      <c r="BD2" s="37"/>
      <c r="BE2" s="37"/>
      <c r="BF2" s="37"/>
      <c r="BG2" s="37"/>
      <c r="BH2" s="37"/>
      <c r="BI2" s="37"/>
      <c r="BJ2" s="37"/>
      <c r="BK2" s="37"/>
      <c r="BL2" s="37"/>
      <c r="BM2" s="37"/>
      <c r="BN2" s="37"/>
      <c r="BO2" s="37"/>
      <c r="BP2" s="37"/>
      <c r="BQ2" s="37"/>
      <c r="BR2" s="37"/>
      <c r="BS2" s="37"/>
      <c r="BT2" s="37"/>
    </row>
    <row r="3" spans="1:72" s="15" customFormat="1" ht="12.75">
      <c r="A3" s="3462">
        <v>12997.772000000001</v>
      </c>
      <c r="B3" s="18">
        <f>IF(C3="否",G5-AT5,G5)</f>
        <v>28699.425200000001</v>
      </c>
      <c r="C3" s="19" t="s">
        <v>3279</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7"/>
      <c r="BB3" s="37"/>
      <c r="BC3" s="37"/>
      <c r="BD3" s="37"/>
      <c r="BE3" s="37"/>
      <c r="BF3" s="37"/>
      <c r="BG3" s="37"/>
      <c r="BH3" s="37"/>
      <c r="BI3" s="37"/>
      <c r="BJ3" s="37"/>
      <c r="BK3" s="37"/>
      <c r="BL3" s="37"/>
      <c r="BM3" s="37"/>
      <c r="BN3" s="37"/>
      <c r="BO3" s="37"/>
      <c r="BP3" s="37"/>
      <c r="BQ3" s="37"/>
      <c r="BR3" s="37"/>
      <c r="BS3" s="37"/>
      <c r="BT3" s="37"/>
    </row>
    <row r="4" spans="1:72" s="15" customFormat="1" ht="13.5" thickBot="1">
      <c r="A4" s="1036"/>
      <c r="B4" s="1037"/>
      <c r="C4" s="10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9"/>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2"/>
      <c r="C5" s="902"/>
      <c r="D5" s="908"/>
      <c r="E5" s="22" t="s">
        <v>0</v>
      </c>
      <c r="F5" s="22">
        <f>SUM(F13:F572)</f>
        <v>0</v>
      </c>
      <c r="G5" s="22">
        <f>SUM(G13:G572)</f>
        <v>30746.715200000002</v>
      </c>
      <c r="H5" s="22">
        <f t="shared" ref="H5:AT5" si="0">SUM(H13:H641)</f>
        <v>25667.83</v>
      </c>
      <c r="I5" s="22">
        <f t="shared" si="0"/>
        <v>20493.689999999999</v>
      </c>
      <c r="J5" s="22">
        <f t="shared" si="0"/>
        <v>0</v>
      </c>
      <c r="K5" s="22">
        <f t="shared" si="0"/>
        <v>5075.8500000000004</v>
      </c>
      <c r="L5" s="22">
        <f t="shared" si="0"/>
        <v>0</v>
      </c>
      <c r="M5" s="22">
        <f t="shared" si="0"/>
        <v>98.29</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3031.5951999999997</v>
      </c>
      <c r="AD5" s="22">
        <f t="shared" si="0"/>
        <v>130.78520000000003</v>
      </c>
      <c r="AE5" s="22">
        <f t="shared" si="0"/>
        <v>0</v>
      </c>
      <c r="AF5" s="22">
        <f t="shared" si="0"/>
        <v>488.65000000000003</v>
      </c>
      <c r="AG5" s="22">
        <f t="shared" si="0"/>
        <v>0</v>
      </c>
      <c r="AH5" s="22">
        <f t="shared" si="0"/>
        <v>101.96</v>
      </c>
      <c r="AI5" s="22">
        <f t="shared" si="0"/>
        <v>0</v>
      </c>
      <c r="AJ5" s="22">
        <f t="shared" si="0"/>
        <v>104.29</v>
      </c>
      <c r="AK5" s="22">
        <f t="shared" si="0"/>
        <v>0</v>
      </c>
      <c r="AL5" s="22">
        <f t="shared" si="0"/>
        <v>48.29</v>
      </c>
      <c r="AM5" s="22">
        <f t="shared" si="0"/>
        <v>0</v>
      </c>
      <c r="AN5" s="22">
        <f t="shared" si="0"/>
        <v>2157.62</v>
      </c>
      <c r="AO5" s="22">
        <f t="shared" si="0"/>
        <v>0</v>
      </c>
      <c r="AP5" s="22">
        <f t="shared" si="0"/>
        <v>0</v>
      </c>
      <c r="AQ5" s="22">
        <f t="shared" si="0"/>
        <v>0</v>
      </c>
      <c r="AR5" s="22">
        <f t="shared" si="0"/>
        <v>0</v>
      </c>
      <c r="AS5" s="22">
        <f t="shared" si="0"/>
        <v>0</v>
      </c>
      <c r="AT5" s="22">
        <f t="shared" si="0"/>
        <v>2047.29</v>
      </c>
      <c r="AU5" s="901"/>
      <c r="AV5" s="21" t="s">
        <v>134</v>
      </c>
      <c r="AW5" s="902"/>
      <c r="AX5" s="902"/>
      <c r="AY5" s="23" t="s">
        <v>2</v>
      </c>
      <c r="AZ5" s="24">
        <f t="shared" ref="AZ5:BT5" si="1">SUM(AZ13:AZ641)</f>
        <v>28699.425200000001</v>
      </c>
      <c r="BA5" s="24">
        <f t="shared" si="1"/>
        <v>25667.83</v>
      </c>
      <c r="BB5" s="24">
        <f t="shared" si="1"/>
        <v>20493.689999999999</v>
      </c>
      <c r="BC5" s="24">
        <f t="shared" si="1"/>
        <v>5075.8500000000004</v>
      </c>
      <c r="BD5" s="24">
        <f t="shared" si="1"/>
        <v>98.29</v>
      </c>
      <c r="BE5" s="24">
        <f t="shared" si="1"/>
        <v>0</v>
      </c>
      <c r="BF5" s="24">
        <f t="shared" si="1"/>
        <v>0</v>
      </c>
      <c r="BG5" s="24">
        <f t="shared" si="1"/>
        <v>0</v>
      </c>
      <c r="BH5" s="24">
        <f t="shared" si="1"/>
        <v>0</v>
      </c>
      <c r="BI5" s="24">
        <f t="shared" si="1"/>
        <v>0</v>
      </c>
      <c r="BJ5" s="24">
        <f t="shared" si="1"/>
        <v>0</v>
      </c>
      <c r="BK5" s="24">
        <f t="shared" si="1"/>
        <v>0</v>
      </c>
      <c r="BL5" s="24">
        <f t="shared" si="1"/>
        <v>3031.5951999999997</v>
      </c>
      <c r="BM5" s="24">
        <f t="shared" si="1"/>
        <v>130.78520000000003</v>
      </c>
      <c r="BN5" s="24">
        <f t="shared" si="1"/>
        <v>488.65000000000003</v>
      </c>
      <c r="BO5" s="24">
        <f t="shared" si="1"/>
        <v>101.96</v>
      </c>
      <c r="BP5" s="24">
        <f t="shared" si="1"/>
        <v>104.29</v>
      </c>
      <c r="BQ5" s="24">
        <f t="shared" si="1"/>
        <v>48.29</v>
      </c>
      <c r="BR5" s="24">
        <f t="shared" si="1"/>
        <v>2157.62</v>
      </c>
      <c r="BS5" s="24">
        <f t="shared" si="1"/>
        <v>0</v>
      </c>
      <c r="BT5" s="25">
        <f t="shared" si="1"/>
        <v>0</v>
      </c>
    </row>
    <row r="6" spans="1:72" s="32" customFormat="1" ht="12.75">
      <c r="A6" s="21" t="s">
        <v>135</v>
      </c>
      <c r="B6" s="26"/>
      <c r="C6" s="26"/>
      <c r="D6" s="27"/>
      <c r="E6" s="22">
        <f>H6+AC6+AT6</f>
        <v>12997.77</v>
      </c>
      <c r="F6" s="22" t="s">
        <v>0</v>
      </c>
      <c r="G6" s="22" t="s">
        <v>1</v>
      </c>
      <c r="H6" s="28">
        <f>SUMIF(I$12:AB$12,"总值",I6:AB6)</f>
        <v>11624.78</v>
      </c>
      <c r="I6" s="22">
        <f t="shared" ref="I6:AB6" si="2">ROUND($A$3*I5/$B$3,2)</f>
        <v>9281.4500000000007</v>
      </c>
      <c r="J6" s="22">
        <f t="shared" si="2"/>
        <v>0</v>
      </c>
      <c r="K6" s="22">
        <f t="shared" si="2"/>
        <v>2298.8200000000002</v>
      </c>
      <c r="L6" s="22">
        <f t="shared" si="2"/>
        <v>0</v>
      </c>
      <c r="M6" s="22">
        <f t="shared" si="2"/>
        <v>44.51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1372.99</v>
      </c>
      <c r="AD6" s="22">
        <f t="shared" ref="AD6:AS6" si="3">ROUND($A$3*AD5/$B$3,2)</f>
        <v>59.23</v>
      </c>
      <c r="AE6" s="22">
        <f t="shared" si="3"/>
        <v>0</v>
      </c>
      <c r="AF6" s="22">
        <f t="shared" si="3"/>
        <v>221.31</v>
      </c>
      <c r="AG6" s="22">
        <f t="shared" si="3"/>
        <v>0</v>
      </c>
      <c r="AH6" s="22">
        <f t="shared" si="3"/>
        <v>46.18</v>
      </c>
      <c r="AI6" s="22">
        <f t="shared" si="3"/>
        <v>0</v>
      </c>
      <c r="AJ6" s="22">
        <f t="shared" si="3"/>
        <v>47.23</v>
      </c>
      <c r="AK6" s="22">
        <f t="shared" si="3"/>
        <v>0</v>
      </c>
      <c r="AL6" s="22">
        <f t="shared" si="3"/>
        <v>21.87</v>
      </c>
      <c r="AM6" s="22">
        <f t="shared" si="3"/>
        <v>0</v>
      </c>
      <c r="AN6" s="22">
        <f t="shared" si="3"/>
        <v>977.17</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12997.77</v>
      </c>
      <c r="AZ6" s="22" t="s">
        <v>2</v>
      </c>
      <c r="BA6" s="22">
        <f>ROUND($AY$6*BA5/$AZ$5,2)</f>
        <v>11624.78</v>
      </c>
      <c r="BB6" s="22">
        <f>ROUND($AY$6*BB5/$AZ$5,2)</f>
        <v>9281.4500000000007</v>
      </c>
      <c r="BC6" s="22">
        <f t="shared" ref="BC6:BH6" si="4">ROUND($AY$6*BC5/$AZ$5,2)</f>
        <v>2298.8200000000002</v>
      </c>
      <c r="BD6" s="22">
        <f t="shared" si="4"/>
        <v>44.51</v>
      </c>
      <c r="BE6" s="22">
        <f t="shared" si="4"/>
        <v>0</v>
      </c>
      <c r="BF6" s="22">
        <f t="shared" si="4"/>
        <v>0</v>
      </c>
      <c r="BG6" s="22">
        <f t="shared" si="4"/>
        <v>0</v>
      </c>
      <c r="BH6" s="22">
        <f t="shared" si="4"/>
        <v>0</v>
      </c>
      <c r="BI6" s="22">
        <f t="shared" ref="BI6:BT6" si="5">ROUND($AY$6*BI5/$AZ$5,2)</f>
        <v>0</v>
      </c>
      <c r="BJ6" s="22">
        <f t="shared" si="5"/>
        <v>0</v>
      </c>
      <c r="BK6" s="22">
        <f t="shared" si="5"/>
        <v>0</v>
      </c>
      <c r="BL6" s="22">
        <f t="shared" si="5"/>
        <v>1372.99</v>
      </c>
      <c r="BM6" s="22">
        <f t="shared" si="5"/>
        <v>59.23</v>
      </c>
      <c r="BN6" s="22">
        <f t="shared" si="5"/>
        <v>221.31</v>
      </c>
      <c r="BO6" s="22">
        <f t="shared" si="5"/>
        <v>46.18</v>
      </c>
      <c r="BP6" s="22">
        <f t="shared" si="5"/>
        <v>47.23</v>
      </c>
      <c r="BQ6" s="22">
        <f t="shared" si="5"/>
        <v>21.87</v>
      </c>
      <c r="BR6" s="22">
        <f t="shared" si="5"/>
        <v>977.17</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9"/>
      <c r="AU7" s="35" t="s">
        <v>143</v>
      </c>
      <c r="AV7" s="36" t="s">
        <v>144</v>
      </c>
      <c r="AW7" s="37" t="s">
        <v>145</v>
      </c>
      <c r="AX7" s="36" t="s">
        <v>146</v>
      </c>
      <c r="AY7" s="902"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3"/>
      <c r="K8" s="913"/>
      <c r="L8" s="913"/>
      <c r="M8" s="913"/>
      <c r="N8" s="913"/>
      <c r="O8" s="913"/>
      <c r="P8" s="913"/>
      <c r="Q8" s="913"/>
      <c r="R8" s="913"/>
      <c r="S8" s="913"/>
      <c r="T8" s="913"/>
      <c r="U8" s="913"/>
      <c r="V8" s="44"/>
      <c r="W8" s="913"/>
      <c r="X8" s="913"/>
      <c r="Y8" s="913"/>
      <c r="Z8" s="913"/>
      <c r="AA8" s="44"/>
      <c r="AB8" s="45"/>
      <c r="AC8" s="46" t="s">
        <v>150</v>
      </c>
      <c r="AD8" s="47"/>
      <c r="AE8" s="38"/>
      <c r="AF8" s="913"/>
      <c r="AG8" s="913"/>
      <c r="AH8" s="913"/>
      <c r="AI8" s="913"/>
      <c r="AJ8" s="913"/>
      <c r="AK8" s="913"/>
      <c r="AL8" s="913"/>
      <c r="AM8" s="913"/>
      <c r="AN8" s="913"/>
      <c r="AO8" s="913"/>
      <c r="AP8" s="913"/>
      <c r="AQ8" s="913"/>
      <c r="AR8" s="913"/>
      <c r="AS8" s="914"/>
      <c r="AT8" s="1914" t="s">
        <v>793</v>
      </c>
      <c r="AU8" s="40" t="s">
        <v>151</v>
      </c>
      <c r="AV8" s="50"/>
      <c r="AW8" s="865"/>
      <c r="AX8" s="50"/>
      <c r="AY8" s="37" t="s">
        <v>152</v>
      </c>
      <c r="AZ8" s="912" t="s">
        <v>153</v>
      </c>
      <c r="BA8" s="913"/>
      <c r="BB8" s="913"/>
      <c r="BC8" s="913"/>
      <c r="BD8" s="913"/>
      <c r="BE8" s="913"/>
      <c r="BF8" s="913"/>
      <c r="BG8" s="913"/>
      <c r="BH8" s="913"/>
      <c r="BI8" s="913"/>
      <c r="BJ8" s="913"/>
      <c r="BK8" s="913"/>
      <c r="BL8" s="913"/>
      <c r="BM8" s="913"/>
      <c r="BN8" s="913"/>
      <c r="BO8" s="913"/>
      <c r="BP8" s="913"/>
      <c r="BQ8" s="913"/>
      <c r="BR8" s="913"/>
      <c r="BS8" s="913"/>
      <c r="BT8" s="51"/>
    </row>
    <row r="9" spans="1:72" s="52" customFormat="1" ht="12.75">
      <c r="A9" s="40"/>
      <c r="B9" s="40"/>
      <c r="C9" s="40"/>
      <c r="D9" s="40"/>
      <c r="E9" s="40"/>
      <c r="F9" s="40"/>
      <c r="G9" s="50"/>
      <c r="H9" s="53" t="s">
        <v>154</v>
      </c>
      <c r="I9" s="2303" t="s">
        <v>3282</v>
      </c>
      <c r="J9" s="46"/>
      <c r="K9" s="2303" t="s">
        <v>3284</v>
      </c>
      <c r="L9" s="46"/>
      <c r="M9" s="2303" t="s">
        <v>3284</v>
      </c>
      <c r="N9" s="46"/>
      <c r="O9" s="54"/>
      <c r="P9" s="46"/>
      <c r="Q9" s="54"/>
      <c r="R9" s="46"/>
      <c r="S9" s="54"/>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30" t="s">
        <v>157</v>
      </c>
      <c r="AQ9" s="1032"/>
      <c r="AR9" s="1030" t="s">
        <v>158</v>
      </c>
      <c r="AS9" s="1915"/>
      <c r="AT9" s="40"/>
      <c r="AU9" s="40" t="s">
        <v>160</v>
      </c>
      <c r="AV9" s="50"/>
      <c r="AW9" s="865"/>
      <c r="AX9" s="50"/>
      <c r="AY9" s="57"/>
      <c r="AZ9" s="57" t="s">
        <v>161</v>
      </c>
      <c r="BA9" s="58" t="s">
        <v>162</v>
      </c>
      <c r="BB9" s="59"/>
      <c r="BC9" s="907"/>
      <c r="BD9" s="907"/>
      <c r="BE9" s="907"/>
      <c r="BF9" s="907"/>
      <c r="BG9" s="907"/>
      <c r="BH9" s="907"/>
      <c r="BI9" s="907"/>
      <c r="BJ9" s="907"/>
      <c r="BK9" s="60"/>
      <c r="BL9" s="21" t="s">
        <v>163</v>
      </c>
      <c r="BM9" s="913"/>
      <c r="BN9" s="43"/>
      <c r="BO9" s="913"/>
      <c r="BP9" s="913"/>
      <c r="BQ9" s="913"/>
      <c r="BR9" s="913"/>
      <c r="BS9" s="913"/>
      <c r="BT9" s="51"/>
    </row>
    <row r="10" spans="1:72" s="52" customFormat="1" ht="12.75">
      <c r="A10" s="40"/>
      <c r="B10" s="40"/>
      <c r="C10" s="40"/>
      <c r="D10" s="40"/>
      <c r="E10" s="40"/>
      <c r="F10" s="40"/>
      <c r="G10" s="50"/>
      <c r="H10" s="57"/>
      <c r="I10" s="2303" t="s">
        <v>851</v>
      </c>
      <c r="J10" s="46"/>
      <c r="K10" s="2305" t="s">
        <v>2739</v>
      </c>
      <c r="L10" s="46"/>
      <c r="M10" s="2305" t="s">
        <v>2740</v>
      </c>
      <c r="N10" s="46"/>
      <c r="O10" s="61"/>
      <c r="P10" s="46"/>
      <c r="Q10" s="61"/>
      <c r="R10" s="46"/>
      <c r="S10" s="61"/>
      <c r="T10" s="46"/>
      <c r="U10" s="61"/>
      <c r="V10" s="46"/>
      <c r="W10" s="61"/>
      <c r="X10" s="46"/>
      <c r="Y10" s="61"/>
      <c r="Z10" s="46"/>
      <c r="AA10" s="61"/>
      <c r="AB10" s="46"/>
      <c r="AC10" s="50"/>
      <c r="AD10" s="1900" t="s">
        <v>1674</v>
      </c>
      <c r="AE10" s="1922"/>
      <c r="AF10" s="1900" t="s">
        <v>1674</v>
      </c>
      <c r="AG10" s="1922"/>
      <c r="AH10" s="1900" t="s">
        <v>1675</v>
      </c>
      <c r="AI10" s="1922"/>
      <c r="AJ10" s="21" t="s">
        <v>1688</v>
      </c>
      <c r="AK10" s="1919"/>
      <c r="AL10" s="1900" t="s">
        <v>1676</v>
      </c>
      <c r="AM10" s="1901"/>
      <c r="AN10" s="21" t="s">
        <v>164</v>
      </c>
      <c r="AO10" s="56"/>
      <c r="AP10" s="1030" t="s">
        <v>165</v>
      </c>
      <c r="AQ10" s="1032"/>
      <c r="AR10" s="1030" t="s">
        <v>165</v>
      </c>
      <c r="AS10" s="1032"/>
      <c r="AT10" s="40"/>
      <c r="AU10" s="40"/>
      <c r="AV10" s="50"/>
      <c r="AW10" s="865"/>
      <c r="AX10" s="50"/>
      <c r="AY10" s="57"/>
      <c r="AZ10" s="57"/>
      <c r="BA10" s="62" t="s">
        <v>159</v>
      </c>
      <c r="BB10" s="63" t="str">
        <f>I9</f>
        <v>地上</v>
      </c>
      <c r="BC10" s="64" t="str">
        <f>K9</f>
        <v>地下</v>
      </c>
      <c r="BD10" s="64" t="str">
        <f>M9</f>
        <v>地下</v>
      </c>
      <c r="BE10" s="64">
        <f>O9</f>
        <v>0</v>
      </c>
      <c r="BF10" s="64">
        <f>Q9</f>
        <v>0</v>
      </c>
      <c r="BG10" s="64">
        <f>S9</f>
        <v>0</v>
      </c>
      <c r="BH10" s="64">
        <f>U9</f>
        <v>0</v>
      </c>
      <c r="BI10" s="64">
        <f>W9</f>
        <v>0</v>
      </c>
      <c r="BJ10" s="64">
        <f>Y9</f>
        <v>0</v>
      </c>
      <c r="BK10" s="64">
        <f>AA9</f>
        <v>0</v>
      </c>
      <c r="BL10" s="49" t="s">
        <v>159</v>
      </c>
      <c r="BM10" s="912" t="str">
        <f>AD9</f>
        <v>地上</v>
      </c>
      <c r="BN10" s="64" t="str">
        <f>AF9</f>
        <v>地下</v>
      </c>
      <c r="BO10" s="912" t="str">
        <f>AH9</f>
        <v>地上</v>
      </c>
      <c r="BP10" s="64" t="str">
        <f>AJ9</f>
        <v>地下</v>
      </c>
      <c r="BQ10" s="912" t="str">
        <f>AL9</f>
        <v>地上</v>
      </c>
      <c r="BR10" s="64" t="str">
        <f>AN9</f>
        <v>地下</v>
      </c>
      <c r="BS10" s="912" t="str">
        <f>AP9</f>
        <v>地上</v>
      </c>
      <c r="BT10" s="910" t="str">
        <f>AR9</f>
        <v>地下</v>
      </c>
    </row>
    <row r="11" spans="1:72" s="52" customFormat="1" ht="12.75">
      <c r="A11" s="40"/>
      <c r="B11" s="40"/>
      <c r="C11" s="40"/>
      <c r="D11" s="40"/>
      <c r="E11" s="40"/>
      <c r="F11" s="40"/>
      <c r="G11" s="50"/>
      <c r="H11" s="62"/>
      <c r="I11" s="2304" t="s">
        <v>3283</v>
      </c>
      <c r="J11" s="66"/>
      <c r="K11" s="2304"/>
      <c r="L11" s="66"/>
      <c r="M11" s="65"/>
      <c r="N11" s="66"/>
      <c r="O11" s="65"/>
      <c r="P11" s="66"/>
      <c r="Q11" s="65"/>
      <c r="R11" s="66"/>
      <c r="S11" s="65"/>
      <c r="T11" s="66"/>
      <c r="U11" s="65"/>
      <c r="V11" s="66"/>
      <c r="W11" s="65"/>
      <c r="X11" s="66"/>
      <c r="Y11" s="65"/>
      <c r="Z11" s="66"/>
      <c r="AA11" s="65"/>
      <c r="AB11" s="66"/>
      <c r="AC11" s="50"/>
      <c r="AD11" s="1920" t="s">
        <v>1687</v>
      </c>
      <c r="AE11" s="914"/>
      <c r="AF11" s="1920" t="s">
        <v>1687</v>
      </c>
      <c r="AG11" s="914"/>
      <c r="AH11" s="1920" t="s">
        <v>1686</v>
      </c>
      <c r="AI11" s="1921"/>
      <c r="AJ11" s="1920" t="s">
        <v>1686</v>
      </c>
      <c r="AK11" s="1919"/>
      <c r="AL11" s="912"/>
      <c r="AM11" s="914"/>
      <c r="AN11" s="912"/>
      <c r="AO11" s="914"/>
      <c r="AP11" s="1031"/>
      <c r="AQ11" s="1033"/>
      <c r="AR11" s="1031"/>
      <c r="AS11" s="1033"/>
      <c r="AT11" s="865"/>
      <c r="AU11" s="40"/>
      <c r="AV11" s="50"/>
      <c r="AW11" s="865"/>
      <c r="AX11" s="50"/>
      <c r="AY11" s="57"/>
      <c r="AZ11" s="57"/>
      <c r="BA11" s="57"/>
      <c r="BB11" s="45" t="str">
        <f>I10</f>
        <v>住宅</v>
      </c>
      <c r="BC11" s="45" t="str">
        <f>K10</f>
        <v>车库</v>
      </c>
      <c r="BD11" s="45" t="str">
        <f>M10</f>
        <v>仓储</v>
      </c>
      <c r="BE11" s="45">
        <f>O10</f>
        <v>0</v>
      </c>
      <c r="BF11" s="45">
        <f>Q10</f>
        <v>0</v>
      </c>
      <c r="BG11" s="45">
        <f>S10</f>
        <v>0</v>
      </c>
      <c r="BH11" s="45">
        <f>U10</f>
        <v>0</v>
      </c>
      <c r="BI11" s="45">
        <f>W10</f>
        <v>0</v>
      </c>
      <c r="BJ11" s="45">
        <f>Y10</f>
        <v>0</v>
      </c>
      <c r="BK11" s="45">
        <f>AA10</f>
        <v>0</v>
      </c>
      <c r="BL11" s="50"/>
      <c r="BM11" s="912" t="str">
        <f>AD10</f>
        <v>公共配套设施</v>
      </c>
      <c r="BN11" s="912" t="str">
        <f>AF10</f>
        <v>公共配套设施</v>
      </c>
      <c r="BO11" s="48" t="str">
        <f>AH10</f>
        <v>物业管理用房</v>
      </c>
      <c r="BP11" s="48" t="str">
        <f>AJ10</f>
        <v>物业管理用房</v>
      </c>
      <c r="BQ11" s="48" t="str">
        <f>AL10</f>
        <v>设备及其他</v>
      </c>
      <c r="BR11" s="48" t="str">
        <f>AN10</f>
        <v>设备及其他</v>
      </c>
      <c r="BS11" s="49" t="str">
        <f>AP10</f>
        <v>未注明</v>
      </c>
      <c r="BT11" s="909" t="str">
        <f>AR10</f>
        <v>未注明</v>
      </c>
    </row>
    <row r="12" spans="1:72" s="15" customFormat="1" ht="12.75">
      <c r="A12" s="67"/>
      <c r="B12" s="67"/>
      <c r="C12" s="67"/>
      <c r="D12" s="67"/>
      <c r="E12" s="67"/>
      <c r="F12" s="67"/>
      <c r="G12" s="68"/>
      <c r="H12" s="69"/>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0"/>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1"/>
      <c r="AU12" s="67"/>
      <c r="AV12" s="72"/>
      <c r="AW12" s="37"/>
      <c r="AX12" s="72"/>
      <c r="AY12" s="73"/>
      <c r="AZ12" s="57"/>
      <c r="BA12" s="62"/>
      <c r="BB12" s="48" t="str">
        <f>I11</f>
        <v>平层住宅</v>
      </c>
      <c r="BC12" s="74">
        <f>K11</f>
        <v>0</v>
      </c>
      <c r="BD12" s="74">
        <f>M11</f>
        <v>0</v>
      </c>
      <c r="BE12" s="45">
        <f>O11</f>
        <v>0</v>
      </c>
      <c r="BF12" s="45">
        <f>Q11</f>
        <v>0</v>
      </c>
      <c r="BG12" s="45">
        <f>S11</f>
        <v>0</v>
      </c>
      <c r="BH12" s="45">
        <f>U11</f>
        <v>0</v>
      </c>
      <c r="BI12" s="45">
        <f>W11</f>
        <v>0</v>
      </c>
      <c r="BJ12" s="45">
        <f>Y11</f>
        <v>0</v>
      </c>
      <c r="BK12" s="45">
        <f>AA11</f>
        <v>0</v>
      </c>
      <c r="BL12" s="50"/>
      <c r="BM12" s="912" t="str">
        <f>AD11</f>
        <v>（住宅）</v>
      </c>
      <c r="BN12" s="912" t="str">
        <f>AF11</f>
        <v>（住宅）</v>
      </c>
      <c r="BO12" s="48" t="str">
        <f>AH11</f>
        <v>（住宅、计出让金）</v>
      </c>
      <c r="BP12" s="48" t="str">
        <f>AJ11</f>
        <v>（住宅、计出让金）</v>
      </c>
      <c r="BQ12" s="48">
        <f>AL11</f>
        <v>0</v>
      </c>
      <c r="BR12" s="48">
        <f>AN11</f>
        <v>0</v>
      </c>
      <c r="BS12" s="49">
        <f>AP11</f>
        <v>0</v>
      </c>
      <c r="BT12" s="909">
        <f>AR11</f>
        <v>0</v>
      </c>
    </row>
    <row r="13" spans="1:72" s="15" customFormat="1" ht="12.75">
      <c r="A13" s="2299"/>
      <c r="B13" s="2299"/>
      <c r="C13" s="2299"/>
      <c r="D13" s="2300" t="s">
        <v>3281</v>
      </c>
      <c r="E13" s="22">
        <f t="shared" ref="E13:E20" si="6">IF($C$3="是",ROUND($A$3*G13/$B$3,2),ROUND($A$3*(G13-AT13)/$B$3,2))</f>
        <v>12997.77</v>
      </c>
      <c r="F13" s="75"/>
      <c r="G13" s="76">
        <f t="shared" ref="G13:G20" si="7">H13+AC13+AT13</f>
        <v>30746.715200000002</v>
      </c>
      <c r="H13" s="28">
        <f t="shared" ref="H13:H20" si="8">SUMIF(I$12:AB$12,"总值",I13:AB13)</f>
        <v>25667.83</v>
      </c>
      <c r="I13" s="2302">
        <f>工规面积指标!D30</f>
        <v>20493.689999999999</v>
      </c>
      <c r="J13" s="2302"/>
      <c r="K13" s="2302">
        <f>工规面积指标!E31</f>
        <v>5075.8500000000004</v>
      </c>
      <c r="L13" s="2302"/>
      <c r="M13" s="2302">
        <f>工规面积指标!E32</f>
        <v>98.29</v>
      </c>
      <c r="N13" s="77"/>
      <c r="O13" s="77"/>
      <c r="P13" s="77"/>
      <c r="Q13" s="77"/>
      <c r="R13" s="77"/>
      <c r="S13" s="77"/>
      <c r="T13" s="77"/>
      <c r="U13" s="77"/>
      <c r="V13" s="77"/>
      <c r="W13" s="77"/>
      <c r="X13" s="77"/>
      <c r="Y13" s="77"/>
      <c r="Z13" s="77"/>
      <c r="AA13" s="77"/>
      <c r="AB13" s="77"/>
      <c r="AC13" s="22">
        <f t="shared" ref="AC13:AC20" si="9">SUMIF(AD$12:AS$12,"总值",AD13:AS13)</f>
        <v>3031.5951999999997</v>
      </c>
      <c r="AD13" s="2306">
        <f>工规面积指标!D35-AH13</f>
        <v>130.78520000000003</v>
      </c>
      <c r="AE13" s="2306"/>
      <c r="AF13" s="2306">
        <f>工规面积指标!E35-AJ13</f>
        <v>488.65000000000003</v>
      </c>
      <c r="AG13" s="2306"/>
      <c r="AH13" s="2306">
        <f>工规面积指标!F22</f>
        <v>101.96</v>
      </c>
      <c r="AI13" s="2306"/>
      <c r="AJ13" s="2306">
        <f>工规面积指标!M22</f>
        <v>104.29</v>
      </c>
      <c r="AK13" s="2306"/>
      <c r="AL13" s="2306">
        <f>工规面积指标!D34</f>
        <v>48.29</v>
      </c>
      <c r="AM13" s="2306"/>
      <c r="AN13" s="2306">
        <f>工规面积指标!E34</f>
        <v>2157.62</v>
      </c>
      <c r="AO13" s="2306"/>
      <c r="AP13" s="2306"/>
      <c r="AQ13" s="2306"/>
      <c r="AR13" s="2306"/>
      <c r="AS13" s="2306"/>
      <c r="AT13" s="2307">
        <f>工规面积指标!J22+工规面积指标!Q22</f>
        <v>2047.29</v>
      </c>
      <c r="AU13" s="2308"/>
      <c r="AV13" s="14">
        <f t="shared" ref="AV13:AX20" si="10">A13</f>
        <v>0</v>
      </c>
      <c r="AW13" s="14">
        <f t="shared" si="10"/>
        <v>0</v>
      </c>
      <c r="AX13" s="14">
        <f t="shared" si="10"/>
        <v>0</v>
      </c>
      <c r="AY13" s="908">
        <f t="shared" ref="AY13:AY20" si="11">ROUND($AY$6*AZ13/$AZ$5,2)</f>
        <v>12997.77</v>
      </c>
      <c r="AZ13" s="22">
        <f t="shared" ref="AZ13:AZ20" si="12">BA13+BL13</f>
        <v>28699.425200000001</v>
      </c>
      <c r="BA13" s="22">
        <f t="shared" ref="BA13:BA20" si="13">SUM(BB13:BK13)</f>
        <v>25667.83</v>
      </c>
      <c r="BB13" s="22">
        <f t="shared" ref="BB13:BB20" si="14">IF($D13="是",I13-J13,0)</f>
        <v>20493.689999999999</v>
      </c>
      <c r="BC13" s="22">
        <f t="shared" ref="BC13:BC20" si="15">IF($D13="是",K13-L13,0)</f>
        <v>5075.8500000000004</v>
      </c>
      <c r="BD13" s="22">
        <f t="shared" ref="BD13:BD20" si="16">IF($D13="是",M13-N13,0)</f>
        <v>98.29</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3031.5951999999997</v>
      </c>
      <c r="BM13" s="22">
        <f t="shared" ref="BM13:BM20" si="25">IF($D13="是",AD13-AE13,0)</f>
        <v>130.78520000000003</v>
      </c>
      <c r="BN13" s="22">
        <f t="shared" ref="BN13:BN20" si="26">IF($D13="是",AF13-AG13,0)</f>
        <v>488.65000000000003</v>
      </c>
      <c r="BO13" s="22">
        <f t="shared" ref="BO13:BO20" si="27">IF($D13="是",AH13-AI13,0)</f>
        <v>101.96</v>
      </c>
      <c r="BP13" s="22">
        <f t="shared" ref="BP13:BP20" si="28">IF($D13="是",AJ13-AK13,0)</f>
        <v>104.29</v>
      </c>
      <c r="BQ13" s="22">
        <f t="shared" ref="BQ13:BQ20" si="29">IF($D13="是",AL13-AM13,0)</f>
        <v>48.29</v>
      </c>
      <c r="BR13" s="22">
        <f t="shared" ref="BR13:BR20" si="30">IF($D13="是",AN13-AO13,0)</f>
        <v>2157.62</v>
      </c>
      <c r="BS13" s="22">
        <f t="shared" ref="BS13:BS20" si="31">IF($D13="是",AP13-AQ13,0)</f>
        <v>0</v>
      </c>
      <c r="BT13" s="31">
        <f t="shared" ref="BT13:BT20" si="32">IF($D13="是",AR13-AS13,0)</f>
        <v>0</v>
      </c>
    </row>
    <row r="14" spans="1:72" s="15" customFormat="1" ht="12.75">
      <c r="A14" s="2299"/>
      <c r="B14" s="2299"/>
      <c r="C14" s="2301"/>
      <c r="D14" s="2300"/>
      <c r="E14" s="22">
        <f t="shared" si="6"/>
        <v>0</v>
      </c>
      <c r="F14" s="75"/>
      <c r="G14" s="76">
        <f t="shared" si="7"/>
        <v>0</v>
      </c>
      <c r="H14" s="28">
        <f t="shared" si="8"/>
        <v>0</v>
      </c>
      <c r="I14" s="2302"/>
      <c r="J14" s="2302"/>
      <c r="K14" s="2302"/>
      <c r="L14" s="2302"/>
      <c r="M14" s="2302"/>
      <c r="N14" s="77"/>
      <c r="O14" s="77"/>
      <c r="P14" s="77"/>
      <c r="Q14" s="77"/>
      <c r="R14" s="77"/>
      <c r="S14" s="77"/>
      <c r="T14" s="77"/>
      <c r="U14" s="77"/>
      <c r="V14" s="77"/>
      <c r="W14" s="77"/>
      <c r="X14" s="77"/>
      <c r="Y14" s="77"/>
      <c r="Z14" s="77"/>
      <c r="AA14" s="77"/>
      <c r="AB14" s="77"/>
      <c r="AC14" s="22">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9"/>
      <c r="B15" s="2299"/>
      <c r="C15" s="2301"/>
      <c r="D15" s="2300"/>
      <c r="E15" s="22">
        <f t="shared" si="6"/>
        <v>0</v>
      </c>
      <c r="F15" s="75"/>
      <c r="G15" s="76">
        <f t="shared" si="7"/>
        <v>0</v>
      </c>
      <c r="H15" s="28">
        <f t="shared" si="8"/>
        <v>0</v>
      </c>
      <c r="I15" s="2302"/>
      <c r="J15" s="2302"/>
      <c r="K15" s="2302"/>
      <c r="L15" s="2302"/>
      <c r="M15" s="2302"/>
      <c r="N15" s="77"/>
      <c r="O15" s="77"/>
      <c r="P15" s="77"/>
      <c r="Q15" s="77"/>
      <c r="R15" s="77"/>
      <c r="S15" s="77"/>
      <c r="T15" s="77"/>
      <c r="U15" s="77"/>
      <c r="V15" s="77"/>
      <c r="W15" s="77"/>
      <c r="X15" s="77"/>
      <c r="Y15" s="77"/>
      <c r="Z15" s="77"/>
      <c r="AA15" s="77"/>
      <c r="AB15" s="77"/>
      <c r="AC15" s="22">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9"/>
      <c r="B16" s="2299"/>
      <c r="C16" s="2301"/>
      <c r="D16" s="2300"/>
      <c r="E16" s="22">
        <f t="shared" si="6"/>
        <v>0</v>
      </c>
      <c r="F16" s="75"/>
      <c r="G16" s="76">
        <f t="shared" si="7"/>
        <v>0</v>
      </c>
      <c r="H16" s="28">
        <f t="shared" si="8"/>
        <v>0</v>
      </c>
      <c r="I16" s="2302"/>
      <c r="J16" s="2302"/>
      <c r="K16" s="2302"/>
      <c r="L16" s="2302"/>
      <c r="M16" s="2302"/>
      <c r="N16" s="77"/>
      <c r="O16" s="77"/>
      <c r="P16" s="77"/>
      <c r="Q16" s="77"/>
      <c r="R16" s="77"/>
      <c r="S16" s="77"/>
      <c r="T16" s="77"/>
      <c r="U16" s="77"/>
      <c r="V16" s="77"/>
      <c r="W16" s="77"/>
      <c r="X16" s="77"/>
      <c r="Y16" s="77"/>
      <c r="Z16" s="77"/>
      <c r="AA16" s="77"/>
      <c r="AB16" s="77"/>
      <c r="AC16" s="22">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9"/>
      <c r="B17" s="2299"/>
      <c r="C17" s="2301"/>
      <c r="D17" s="2300"/>
      <c r="E17" s="22">
        <f t="shared" si="6"/>
        <v>0</v>
      </c>
      <c r="F17" s="75"/>
      <c r="G17" s="76">
        <f t="shared" si="7"/>
        <v>0</v>
      </c>
      <c r="H17" s="28">
        <f t="shared" si="8"/>
        <v>0</v>
      </c>
      <c r="I17" s="2302"/>
      <c r="J17" s="2302"/>
      <c r="K17" s="2302"/>
      <c r="L17" s="2302"/>
      <c r="M17" s="2302"/>
      <c r="N17" s="77"/>
      <c r="O17" s="77"/>
      <c r="P17" s="77"/>
      <c r="Q17" s="77"/>
      <c r="R17" s="77"/>
      <c r="S17" s="77"/>
      <c r="T17" s="77"/>
      <c r="U17" s="77"/>
      <c r="V17" s="77"/>
      <c r="W17" s="77"/>
      <c r="X17" s="77"/>
      <c r="Y17" s="77"/>
      <c r="Z17" s="77"/>
      <c r="AA17" s="77"/>
      <c r="AB17" s="77"/>
      <c r="AC17" s="22">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300"/>
      <c r="E18" s="80">
        <f t="shared" si="6"/>
        <v>0</v>
      </c>
      <c r="F18" s="81"/>
      <c r="G18" s="82">
        <f t="shared" si="7"/>
        <v>0</v>
      </c>
      <c r="H18" s="83">
        <f t="shared" si="8"/>
        <v>0</v>
      </c>
      <c r="I18" s="1179"/>
      <c r="J18" s="84"/>
      <c r="K18" s="1179"/>
      <c r="L18" s="84"/>
      <c r="M18" s="84"/>
      <c r="N18" s="84"/>
      <c r="O18" s="84"/>
      <c r="P18" s="84"/>
      <c r="Q18" s="84"/>
      <c r="R18" s="84"/>
      <c r="S18" s="84"/>
      <c r="T18" s="84"/>
      <c r="U18" s="84"/>
      <c r="V18" s="84"/>
      <c r="W18" s="84"/>
      <c r="X18" s="84"/>
      <c r="Y18" s="84"/>
      <c r="Z18" s="84"/>
      <c r="AA18" s="84"/>
      <c r="AB18" s="84"/>
      <c r="AC18" s="80">
        <f t="shared" si="9"/>
        <v>0</v>
      </c>
      <c r="AD18" s="85"/>
      <c r="AE18" s="85"/>
      <c r="AF18" s="1179"/>
      <c r="AG18" s="85"/>
      <c r="AH18" s="85"/>
      <c r="AI18" s="85"/>
      <c r="AJ18" s="85"/>
      <c r="AK18" s="85"/>
      <c r="AL18" s="1156"/>
      <c r="AM18" s="85"/>
      <c r="AN18" s="1179"/>
      <c r="AO18" s="85"/>
      <c r="AP18" s="85"/>
      <c r="AQ18" s="85"/>
      <c r="AR18" s="85"/>
      <c r="AS18" s="85"/>
      <c r="AT18" s="81"/>
      <c r="AU18" s="86"/>
      <c r="AV18" s="816">
        <f t="shared" si="10"/>
        <v>0</v>
      </c>
      <c r="AW18" s="816">
        <f t="shared" si="10"/>
        <v>0</v>
      </c>
      <c r="AX18" s="816">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1"/>
      <c r="C19" s="1179"/>
      <c r="D19" s="2300"/>
      <c r="E19" s="80">
        <f t="shared" si="6"/>
        <v>0</v>
      </c>
      <c r="F19" s="81"/>
      <c r="G19" s="82">
        <f t="shared" si="7"/>
        <v>0</v>
      </c>
      <c r="H19" s="83">
        <f t="shared" si="8"/>
        <v>0</v>
      </c>
      <c r="I19" s="1179"/>
      <c r="J19" s="84"/>
      <c r="K19" s="1179"/>
      <c r="L19" s="84"/>
      <c r="M19" s="84"/>
      <c r="N19" s="84"/>
      <c r="O19" s="84"/>
      <c r="P19" s="84"/>
      <c r="Q19" s="84"/>
      <c r="R19" s="84"/>
      <c r="S19" s="84"/>
      <c r="T19" s="84"/>
      <c r="U19" s="84"/>
      <c r="V19" s="84"/>
      <c r="W19" s="84"/>
      <c r="X19" s="84"/>
      <c r="Y19" s="84"/>
      <c r="Z19" s="84"/>
      <c r="AA19" s="84"/>
      <c r="AB19" s="84"/>
      <c r="AC19" s="80">
        <f t="shared" si="9"/>
        <v>0</v>
      </c>
      <c r="AD19" s="85"/>
      <c r="AE19" s="85"/>
      <c r="AF19" s="1179"/>
      <c r="AG19" s="85"/>
      <c r="AH19" s="85"/>
      <c r="AI19" s="85"/>
      <c r="AJ19" s="85"/>
      <c r="AK19" s="85"/>
      <c r="AL19" s="85"/>
      <c r="AM19" s="85"/>
      <c r="AN19" s="1179"/>
      <c r="AO19" s="85"/>
      <c r="AP19" s="85"/>
      <c r="AQ19" s="85"/>
      <c r="AR19" s="85"/>
      <c r="AS19" s="85"/>
      <c r="AT19" s="81"/>
      <c r="AU19" s="86"/>
      <c r="AV19" s="816">
        <f t="shared" si="10"/>
        <v>0</v>
      </c>
      <c r="AW19" s="816">
        <f t="shared" si="10"/>
        <v>0</v>
      </c>
      <c r="AX19" s="816">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1"/>
      <c r="C20" s="1179"/>
      <c r="D20" s="2300"/>
      <c r="E20" s="80">
        <f t="shared" si="6"/>
        <v>0</v>
      </c>
      <c r="F20" s="81"/>
      <c r="G20" s="82">
        <f t="shared" si="7"/>
        <v>0</v>
      </c>
      <c r="H20" s="83">
        <f t="shared" si="8"/>
        <v>0</v>
      </c>
      <c r="I20" s="1179"/>
      <c r="J20" s="84"/>
      <c r="K20" s="1179"/>
      <c r="L20" s="84"/>
      <c r="M20" s="84"/>
      <c r="N20" s="84"/>
      <c r="O20" s="84"/>
      <c r="P20" s="84"/>
      <c r="Q20" s="84"/>
      <c r="R20" s="84"/>
      <c r="S20" s="84"/>
      <c r="T20" s="84"/>
      <c r="U20" s="84"/>
      <c r="V20" s="84"/>
      <c r="W20" s="84"/>
      <c r="X20" s="84"/>
      <c r="Y20" s="84"/>
      <c r="Z20" s="84"/>
      <c r="AA20" s="84"/>
      <c r="AB20" s="84"/>
      <c r="AC20" s="80">
        <f t="shared" si="9"/>
        <v>0</v>
      </c>
      <c r="AD20" s="85"/>
      <c r="AE20" s="85"/>
      <c r="AF20" s="1179"/>
      <c r="AG20" s="85"/>
      <c r="AH20" s="85"/>
      <c r="AI20" s="85"/>
      <c r="AJ20" s="85"/>
      <c r="AK20" s="85"/>
      <c r="AL20" s="85"/>
      <c r="AM20" s="85"/>
      <c r="AN20" s="1179"/>
      <c r="AO20" s="85"/>
      <c r="AP20" s="85"/>
      <c r="AQ20" s="85"/>
      <c r="AR20" s="85"/>
      <c r="AS20" s="85"/>
      <c r="AT20" s="81"/>
      <c r="AU20" s="86"/>
      <c r="AV20" s="816">
        <f t="shared" si="10"/>
        <v>0</v>
      </c>
      <c r="AW20" s="816">
        <f t="shared" si="10"/>
        <v>0</v>
      </c>
      <c r="AX20" s="816">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8"/>
      <c r="C21" s="1179"/>
      <c r="D21" s="2300"/>
      <c r="E21" s="80">
        <f t="shared" ref="E21:E112" si="33">IF($C$3="是",ROUND($A$3*G21/$B$3,2),ROUND($A$3*(G21-AT21)/$B$3,2))</f>
        <v>0</v>
      </c>
      <c r="F21" s="81"/>
      <c r="G21" s="82">
        <f t="shared" ref="G21:G109" si="34">H21+AC21+AT21</f>
        <v>0</v>
      </c>
      <c r="H21" s="83">
        <f t="shared" ref="H21:H109" si="35">SUMIF(I$12:AB$12,"总值",I21:AB21)</f>
        <v>0</v>
      </c>
      <c r="I21" s="1179"/>
      <c r="J21" s="84"/>
      <c r="K21" s="1179"/>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80"/>
      <c r="AG21" s="85"/>
      <c r="AH21" s="85"/>
      <c r="AI21" s="85"/>
      <c r="AJ21" s="85"/>
      <c r="AK21" s="85"/>
      <c r="AL21" s="85"/>
      <c r="AM21" s="85"/>
      <c r="AN21" s="1156"/>
      <c r="AO21" s="85"/>
      <c r="AP21" s="85"/>
      <c r="AQ21" s="85"/>
      <c r="AR21" s="85"/>
      <c r="AS21" s="85"/>
      <c r="AT21" s="81"/>
      <c r="AU21" s="86"/>
      <c r="AV21" s="816">
        <f t="shared" ref="AV21:AV112" si="37">A21</f>
        <v>0</v>
      </c>
      <c r="AW21" s="816">
        <f t="shared" ref="AW21:AW112" si="38">B21</f>
        <v>0</v>
      </c>
      <c r="AX21" s="816">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8"/>
      <c r="C22" s="1179"/>
      <c r="D22" s="2300"/>
      <c r="E22" s="80">
        <f t="shared" si="33"/>
        <v>0</v>
      </c>
      <c r="F22" s="81"/>
      <c r="G22" s="82">
        <f t="shared" si="34"/>
        <v>0</v>
      </c>
      <c r="H22" s="83">
        <f t="shared" si="35"/>
        <v>0</v>
      </c>
      <c r="I22" s="1179"/>
      <c r="J22" s="84"/>
      <c r="K22" s="1179"/>
      <c r="L22" s="84"/>
      <c r="M22" s="1156"/>
      <c r="N22" s="84"/>
      <c r="O22" s="84"/>
      <c r="P22" s="84"/>
      <c r="Q22" s="84"/>
      <c r="R22" s="84"/>
      <c r="S22" s="84"/>
      <c r="T22" s="84"/>
      <c r="U22" s="84"/>
      <c r="V22" s="84"/>
      <c r="W22" s="84"/>
      <c r="X22" s="84"/>
      <c r="Y22" s="84"/>
      <c r="Z22" s="84"/>
      <c r="AA22" s="84"/>
      <c r="AB22" s="84"/>
      <c r="AC22" s="80">
        <f t="shared" si="36"/>
        <v>0</v>
      </c>
      <c r="AD22" s="1156"/>
      <c r="AE22" s="85"/>
      <c r="AF22" s="1180"/>
      <c r="AG22" s="85"/>
      <c r="AH22" s="85"/>
      <c r="AI22" s="85"/>
      <c r="AJ22" s="85"/>
      <c r="AK22" s="85"/>
      <c r="AL22" s="1156"/>
      <c r="AM22" s="85"/>
      <c r="AN22" s="1156"/>
      <c r="AO22" s="85"/>
      <c r="AP22" s="85"/>
      <c r="AQ22" s="85"/>
      <c r="AR22" s="85"/>
      <c r="AS22" s="85"/>
      <c r="AT22" s="81"/>
      <c r="AU22" s="86"/>
      <c r="AV22" s="816">
        <f t="shared" si="37"/>
        <v>0</v>
      </c>
      <c r="AW22" s="816">
        <f t="shared" si="38"/>
        <v>0</v>
      </c>
      <c r="AX22" s="816">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8"/>
      <c r="C23" s="1179"/>
      <c r="D23" s="2300"/>
      <c r="E23" s="80">
        <f t="shared" si="33"/>
        <v>0</v>
      </c>
      <c r="F23" s="81"/>
      <c r="G23" s="82">
        <f t="shared" si="34"/>
        <v>0</v>
      </c>
      <c r="H23" s="83">
        <f t="shared" si="35"/>
        <v>0</v>
      </c>
      <c r="I23" s="1179"/>
      <c r="J23" s="84"/>
      <c r="K23" s="1179"/>
      <c r="L23" s="84"/>
      <c r="M23" s="1156"/>
      <c r="N23" s="84"/>
      <c r="O23" s="84"/>
      <c r="P23" s="84"/>
      <c r="Q23" s="84"/>
      <c r="R23" s="84"/>
      <c r="S23" s="84"/>
      <c r="T23" s="84"/>
      <c r="U23" s="84"/>
      <c r="V23" s="84"/>
      <c r="W23" s="84"/>
      <c r="X23" s="84"/>
      <c r="Y23" s="84"/>
      <c r="Z23" s="84"/>
      <c r="AA23" s="84"/>
      <c r="AB23" s="84"/>
      <c r="AC23" s="80">
        <f t="shared" si="36"/>
        <v>0</v>
      </c>
      <c r="AD23" s="85"/>
      <c r="AE23" s="85"/>
      <c r="AF23" s="1180"/>
      <c r="AG23" s="85"/>
      <c r="AH23" s="85"/>
      <c r="AI23" s="85"/>
      <c r="AJ23" s="85"/>
      <c r="AK23" s="85"/>
      <c r="AL23" s="1156"/>
      <c r="AM23" s="85"/>
      <c r="AN23" s="1156"/>
      <c r="AO23" s="85"/>
      <c r="AP23" s="85"/>
      <c r="AQ23" s="85"/>
      <c r="AR23" s="85"/>
      <c r="AS23" s="85"/>
      <c r="AT23" s="81"/>
      <c r="AU23" s="86"/>
      <c r="AV23" s="816">
        <f t="shared" si="37"/>
        <v>0</v>
      </c>
      <c r="AW23" s="816">
        <f t="shared" si="38"/>
        <v>0</v>
      </c>
      <c r="AX23" s="816">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8"/>
      <c r="C24" s="1179"/>
      <c r="D24" s="2300"/>
      <c r="E24" s="80">
        <f t="shared" si="33"/>
        <v>0</v>
      </c>
      <c r="F24" s="81"/>
      <c r="G24" s="82">
        <f t="shared" si="34"/>
        <v>0</v>
      </c>
      <c r="H24" s="83">
        <f t="shared" si="35"/>
        <v>0</v>
      </c>
      <c r="I24" s="1179"/>
      <c r="J24" s="84"/>
      <c r="K24" s="1179"/>
      <c r="L24" s="84"/>
      <c r="M24" s="84"/>
      <c r="N24" s="84"/>
      <c r="O24" s="1156"/>
      <c r="P24" s="84"/>
      <c r="Q24" s="84"/>
      <c r="R24" s="84"/>
      <c r="S24" s="84"/>
      <c r="T24" s="84"/>
      <c r="U24" s="84"/>
      <c r="V24" s="84"/>
      <c r="W24" s="84"/>
      <c r="X24" s="84"/>
      <c r="Y24" s="84"/>
      <c r="Z24" s="84"/>
      <c r="AA24" s="84"/>
      <c r="AB24" s="84"/>
      <c r="AC24" s="80">
        <f t="shared" si="36"/>
        <v>0</v>
      </c>
      <c r="AD24" s="85"/>
      <c r="AE24" s="85"/>
      <c r="AF24" s="1180"/>
      <c r="AG24" s="85"/>
      <c r="AH24" s="85"/>
      <c r="AI24" s="85"/>
      <c r="AJ24" s="85"/>
      <c r="AK24" s="85"/>
      <c r="AL24" s="85"/>
      <c r="AM24" s="85"/>
      <c r="AN24" s="1156"/>
      <c r="AO24" s="85"/>
      <c r="AP24" s="85"/>
      <c r="AQ24" s="85"/>
      <c r="AR24" s="85"/>
      <c r="AS24" s="85"/>
      <c r="AT24" s="81"/>
      <c r="AU24" s="86"/>
      <c r="AV24" s="816">
        <f t="shared" si="37"/>
        <v>0</v>
      </c>
      <c r="AW24" s="816">
        <f t="shared" si="38"/>
        <v>0</v>
      </c>
      <c r="AX24" s="816">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8"/>
      <c r="C25" s="1179"/>
      <c r="D25" s="2300"/>
      <c r="E25" s="80">
        <f t="shared" si="33"/>
        <v>0</v>
      </c>
      <c r="F25" s="81"/>
      <c r="G25" s="82">
        <f t="shared" si="34"/>
        <v>0</v>
      </c>
      <c r="H25" s="83">
        <f t="shared" si="35"/>
        <v>0</v>
      </c>
      <c r="I25" s="1179"/>
      <c r="J25" s="84"/>
      <c r="K25" s="1179"/>
      <c r="L25" s="84"/>
      <c r="M25" s="84"/>
      <c r="N25" s="84"/>
      <c r="O25" s="84"/>
      <c r="P25" s="84"/>
      <c r="Q25" s="84"/>
      <c r="R25" s="84"/>
      <c r="S25" s="84"/>
      <c r="T25" s="84"/>
      <c r="U25" s="84"/>
      <c r="V25" s="84"/>
      <c r="W25" s="84"/>
      <c r="X25" s="84"/>
      <c r="Y25" s="84"/>
      <c r="Z25" s="84"/>
      <c r="AA25" s="84"/>
      <c r="AB25" s="84"/>
      <c r="AC25" s="80">
        <f t="shared" si="36"/>
        <v>0</v>
      </c>
      <c r="AD25" s="85"/>
      <c r="AE25" s="85"/>
      <c r="AF25" s="1180"/>
      <c r="AG25" s="85"/>
      <c r="AH25" s="85"/>
      <c r="AI25" s="85"/>
      <c r="AJ25" s="85"/>
      <c r="AK25" s="85"/>
      <c r="AL25" s="85"/>
      <c r="AM25" s="85"/>
      <c r="AN25" s="85"/>
      <c r="AO25" s="85"/>
      <c r="AP25" s="85"/>
      <c r="AQ25" s="85"/>
      <c r="AR25" s="85"/>
      <c r="AS25" s="85"/>
      <c r="AT25" s="81"/>
      <c r="AU25" s="86"/>
      <c r="AV25" s="816">
        <f t="shared" si="37"/>
        <v>0</v>
      </c>
      <c r="AW25" s="816">
        <f t="shared" si="38"/>
        <v>0</v>
      </c>
      <c r="AX25" s="816">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8"/>
      <c r="C26" s="1179"/>
      <c r="D26" s="2300"/>
      <c r="E26" s="80">
        <f t="shared" si="33"/>
        <v>0</v>
      </c>
      <c r="F26" s="81"/>
      <c r="G26" s="82">
        <f t="shared" si="34"/>
        <v>0</v>
      </c>
      <c r="H26" s="83">
        <f t="shared" si="35"/>
        <v>0</v>
      </c>
      <c r="I26" s="1179"/>
      <c r="J26" s="84"/>
      <c r="K26" s="1179"/>
      <c r="L26" s="84"/>
      <c r="M26" s="84"/>
      <c r="N26" s="84"/>
      <c r="O26" s="84"/>
      <c r="P26" s="84"/>
      <c r="Q26" s="84"/>
      <c r="R26" s="84"/>
      <c r="S26" s="84"/>
      <c r="T26" s="84"/>
      <c r="U26" s="84"/>
      <c r="V26" s="84"/>
      <c r="W26" s="84"/>
      <c r="X26" s="84"/>
      <c r="Y26" s="84"/>
      <c r="Z26" s="84"/>
      <c r="AA26" s="84"/>
      <c r="AB26" s="84"/>
      <c r="AC26" s="80">
        <f t="shared" si="36"/>
        <v>0</v>
      </c>
      <c r="AD26" s="85"/>
      <c r="AE26" s="85"/>
      <c r="AF26" s="1180"/>
      <c r="AG26" s="85"/>
      <c r="AH26" s="85"/>
      <c r="AI26" s="85"/>
      <c r="AJ26" s="85"/>
      <c r="AK26" s="85"/>
      <c r="AL26" s="85"/>
      <c r="AM26" s="85"/>
      <c r="AN26" s="85"/>
      <c r="AO26" s="85"/>
      <c r="AP26" s="85"/>
      <c r="AQ26" s="85"/>
      <c r="AR26" s="85"/>
      <c r="AS26" s="85"/>
      <c r="AT26" s="81"/>
      <c r="AU26" s="86"/>
      <c r="AV26" s="816">
        <f t="shared" si="37"/>
        <v>0</v>
      </c>
      <c r="AW26" s="816">
        <f t="shared" si="38"/>
        <v>0</v>
      </c>
      <c r="AX26" s="816">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8"/>
      <c r="C27" s="1179"/>
      <c r="D27" s="2300"/>
      <c r="E27" s="80">
        <f t="shared" si="33"/>
        <v>0</v>
      </c>
      <c r="F27" s="81"/>
      <c r="G27" s="82">
        <f t="shared" si="34"/>
        <v>0</v>
      </c>
      <c r="H27" s="83">
        <f t="shared" si="35"/>
        <v>0</v>
      </c>
      <c r="I27" s="1179"/>
      <c r="J27" s="84"/>
      <c r="K27" s="1179"/>
      <c r="L27" s="84"/>
      <c r="M27" s="84"/>
      <c r="N27" s="84"/>
      <c r="O27" s="84"/>
      <c r="P27" s="84"/>
      <c r="Q27" s="84"/>
      <c r="R27" s="84"/>
      <c r="S27" s="84"/>
      <c r="T27" s="84"/>
      <c r="U27" s="84"/>
      <c r="V27" s="84"/>
      <c r="W27" s="84"/>
      <c r="X27" s="84"/>
      <c r="Y27" s="84"/>
      <c r="Z27" s="84"/>
      <c r="AA27" s="84"/>
      <c r="AB27" s="84"/>
      <c r="AC27" s="80">
        <f t="shared" si="36"/>
        <v>0</v>
      </c>
      <c r="AD27" s="85"/>
      <c r="AE27" s="85"/>
      <c r="AF27" s="1180"/>
      <c r="AG27" s="85"/>
      <c r="AH27" s="85"/>
      <c r="AI27" s="85"/>
      <c r="AJ27" s="85"/>
      <c r="AK27" s="85"/>
      <c r="AL27" s="85"/>
      <c r="AM27" s="85"/>
      <c r="AN27" s="85"/>
      <c r="AO27" s="85"/>
      <c r="AP27" s="85"/>
      <c r="AQ27" s="85"/>
      <c r="AR27" s="85"/>
      <c r="AS27" s="85"/>
      <c r="AT27" s="81"/>
      <c r="AU27" s="86"/>
      <c r="AV27" s="816">
        <f t="shared" si="37"/>
        <v>0</v>
      </c>
      <c r="AW27" s="816">
        <f t="shared" si="38"/>
        <v>0</v>
      </c>
      <c r="AX27" s="816">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8"/>
      <c r="C28" s="1179"/>
      <c r="D28" s="2300"/>
      <c r="E28" s="80">
        <f t="shared" si="33"/>
        <v>0</v>
      </c>
      <c r="F28" s="81"/>
      <c r="G28" s="82">
        <f t="shared" si="34"/>
        <v>0</v>
      </c>
      <c r="H28" s="83">
        <f t="shared" si="35"/>
        <v>0</v>
      </c>
      <c r="I28" s="1179"/>
      <c r="J28" s="84"/>
      <c r="K28" s="1179"/>
      <c r="L28" s="84"/>
      <c r="M28" s="84"/>
      <c r="N28" s="84"/>
      <c r="O28" s="84"/>
      <c r="P28" s="84"/>
      <c r="Q28" s="84"/>
      <c r="R28" s="84"/>
      <c r="S28" s="84"/>
      <c r="T28" s="84"/>
      <c r="U28" s="84"/>
      <c r="V28" s="84"/>
      <c r="W28" s="84"/>
      <c r="X28" s="84"/>
      <c r="Y28" s="84"/>
      <c r="Z28" s="84"/>
      <c r="AA28" s="84"/>
      <c r="AB28" s="84"/>
      <c r="AC28" s="80">
        <f t="shared" si="36"/>
        <v>0</v>
      </c>
      <c r="AD28" s="85"/>
      <c r="AE28" s="85"/>
      <c r="AF28" s="1179"/>
      <c r="AG28" s="85"/>
      <c r="AH28" s="85"/>
      <c r="AI28" s="85"/>
      <c r="AJ28" s="85"/>
      <c r="AK28" s="85"/>
      <c r="AL28" s="85"/>
      <c r="AM28" s="85"/>
      <c r="AN28" s="85"/>
      <c r="AO28" s="85"/>
      <c r="AP28" s="85"/>
      <c r="AQ28" s="85"/>
      <c r="AR28" s="85"/>
      <c r="AS28" s="85"/>
      <c r="AT28" s="81"/>
      <c r="AU28" s="86"/>
      <c r="AV28" s="816">
        <f t="shared" si="37"/>
        <v>0</v>
      </c>
      <c r="AW28" s="816">
        <f t="shared" si="38"/>
        <v>0</v>
      </c>
      <c r="AX28" s="816">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8"/>
      <c r="C29" s="1179"/>
      <c r="D29" s="2300"/>
      <c r="E29" s="80">
        <f t="shared" si="33"/>
        <v>0</v>
      </c>
      <c r="F29" s="81"/>
      <c r="G29" s="82">
        <f t="shared" si="34"/>
        <v>0</v>
      </c>
      <c r="H29" s="83">
        <f t="shared" si="35"/>
        <v>0</v>
      </c>
      <c r="I29" s="1179"/>
      <c r="J29" s="84"/>
      <c r="K29" s="1179"/>
      <c r="L29" s="84"/>
      <c r="M29" s="84"/>
      <c r="N29" s="84"/>
      <c r="O29" s="84"/>
      <c r="P29" s="84"/>
      <c r="Q29" s="84"/>
      <c r="R29" s="84"/>
      <c r="S29" s="84"/>
      <c r="T29" s="84"/>
      <c r="U29" s="84"/>
      <c r="V29" s="84"/>
      <c r="W29" s="84"/>
      <c r="X29" s="84"/>
      <c r="Y29" s="84"/>
      <c r="Z29" s="84"/>
      <c r="AA29" s="84"/>
      <c r="AB29" s="84"/>
      <c r="AC29" s="80">
        <f t="shared" si="36"/>
        <v>0</v>
      </c>
      <c r="AD29" s="85"/>
      <c r="AE29" s="85"/>
      <c r="AF29" s="1179"/>
      <c r="AG29" s="85"/>
      <c r="AH29" s="85"/>
      <c r="AI29" s="85"/>
      <c r="AJ29" s="85"/>
      <c r="AK29" s="85"/>
      <c r="AL29" s="85"/>
      <c r="AM29" s="85"/>
      <c r="AN29" s="85"/>
      <c r="AO29" s="85"/>
      <c r="AP29" s="85"/>
      <c r="AQ29" s="85"/>
      <c r="AR29" s="85"/>
      <c r="AS29" s="85"/>
      <c r="AT29" s="81"/>
      <c r="AU29" s="86"/>
      <c r="AV29" s="816">
        <f t="shared" si="37"/>
        <v>0</v>
      </c>
      <c r="AW29" s="816">
        <f t="shared" si="38"/>
        <v>0</v>
      </c>
      <c r="AX29" s="816">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8"/>
      <c r="C30" s="1179"/>
      <c r="D30" s="2300"/>
      <c r="E30" s="80">
        <f t="shared" si="33"/>
        <v>0</v>
      </c>
      <c r="F30" s="81"/>
      <c r="G30" s="82">
        <f t="shared" si="34"/>
        <v>0</v>
      </c>
      <c r="H30" s="83">
        <f t="shared" si="35"/>
        <v>0</v>
      </c>
      <c r="I30" s="1179"/>
      <c r="J30" s="84"/>
      <c r="K30" s="1179"/>
      <c r="L30" s="84"/>
      <c r="M30" s="84"/>
      <c r="N30" s="84"/>
      <c r="O30" s="84"/>
      <c r="P30" s="84"/>
      <c r="Q30" s="84"/>
      <c r="R30" s="84"/>
      <c r="S30" s="84"/>
      <c r="T30" s="84"/>
      <c r="U30" s="84"/>
      <c r="V30" s="84"/>
      <c r="W30" s="84"/>
      <c r="X30" s="84"/>
      <c r="Y30" s="84"/>
      <c r="Z30" s="84"/>
      <c r="AA30" s="84"/>
      <c r="AB30" s="84"/>
      <c r="AC30" s="80">
        <f t="shared" si="36"/>
        <v>0</v>
      </c>
      <c r="AD30" s="85"/>
      <c r="AE30" s="85"/>
      <c r="AF30" s="1179"/>
      <c r="AG30" s="85"/>
      <c r="AH30" s="85"/>
      <c r="AI30" s="85"/>
      <c r="AJ30" s="85"/>
      <c r="AK30" s="85"/>
      <c r="AL30" s="85"/>
      <c r="AM30" s="85"/>
      <c r="AN30" s="85"/>
      <c r="AO30" s="85"/>
      <c r="AP30" s="85"/>
      <c r="AQ30" s="85"/>
      <c r="AR30" s="85"/>
      <c r="AS30" s="85"/>
      <c r="AT30" s="81"/>
      <c r="AU30" s="86"/>
      <c r="AV30" s="816">
        <f t="shared" si="37"/>
        <v>0</v>
      </c>
      <c r="AW30" s="816">
        <f t="shared" si="38"/>
        <v>0</v>
      </c>
      <c r="AX30" s="816">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8"/>
      <c r="C31" s="1179"/>
      <c r="D31" s="2300"/>
      <c r="E31" s="80">
        <f t="shared" si="33"/>
        <v>0</v>
      </c>
      <c r="F31" s="81"/>
      <c r="G31" s="82">
        <f t="shared" si="34"/>
        <v>0</v>
      </c>
      <c r="H31" s="83">
        <f t="shared" si="35"/>
        <v>0</v>
      </c>
      <c r="I31" s="1179"/>
      <c r="J31" s="84"/>
      <c r="K31" s="1179"/>
      <c r="L31" s="84"/>
      <c r="M31" s="84"/>
      <c r="N31" s="84"/>
      <c r="O31" s="84"/>
      <c r="P31" s="84"/>
      <c r="Q31" s="84"/>
      <c r="R31" s="84"/>
      <c r="S31" s="84"/>
      <c r="T31" s="84"/>
      <c r="U31" s="84"/>
      <c r="V31" s="84"/>
      <c r="W31" s="84"/>
      <c r="X31" s="84"/>
      <c r="Y31" s="84"/>
      <c r="Z31" s="84"/>
      <c r="AA31" s="84"/>
      <c r="AB31" s="84"/>
      <c r="AC31" s="80">
        <f t="shared" si="36"/>
        <v>0</v>
      </c>
      <c r="AD31" s="85"/>
      <c r="AE31" s="85"/>
      <c r="AF31" s="1179"/>
      <c r="AG31" s="85"/>
      <c r="AH31" s="85"/>
      <c r="AI31" s="85"/>
      <c r="AJ31" s="85"/>
      <c r="AK31" s="85"/>
      <c r="AL31" s="85"/>
      <c r="AM31" s="85"/>
      <c r="AN31" s="85"/>
      <c r="AO31" s="85"/>
      <c r="AP31" s="85"/>
      <c r="AQ31" s="85"/>
      <c r="AR31" s="85"/>
      <c r="AS31" s="85"/>
      <c r="AT31" s="81"/>
      <c r="AU31" s="86"/>
      <c r="AV31" s="816">
        <f t="shared" si="37"/>
        <v>0</v>
      </c>
      <c r="AW31" s="816">
        <f t="shared" si="38"/>
        <v>0</v>
      </c>
      <c r="AX31" s="816">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8"/>
      <c r="C32" s="1179"/>
      <c r="D32" s="2300"/>
      <c r="E32" s="80">
        <f t="shared" si="33"/>
        <v>0</v>
      </c>
      <c r="F32" s="81"/>
      <c r="G32" s="82">
        <f t="shared" si="34"/>
        <v>0</v>
      </c>
      <c r="H32" s="83">
        <f t="shared" si="35"/>
        <v>0</v>
      </c>
      <c r="I32" s="1179"/>
      <c r="J32" s="84"/>
      <c r="K32" s="1179"/>
      <c r="L32" s="84"/>
      <c r="M32" s="84"/>
      <c r="N32" s="84"/>
      <c r="O32" s="84"/>
      <c r="P32" s="84"/>
      <c r="Q32" s="84"/>
      <c r="R32" s="84"/>
      <c r="S32" s="84"/>
      <c r="T32" s="84"/>
      <c r="U32" s="84"/>
      <c r="V32" s="84"/>
      <c r="W32" s="84"/>
      <c r="X32" s="84"/>
      <c r="Y32" s="84"/>
      <c r="Z32" s="84"/>
      <c r="AA32" s="84"/>
      <c r="AB32" s="84"/>
      <c r="AC32" s="80">
        <f t="shared" si="36"/>
        <v>0</v>
      </c>
      <c r="AD32" s="85"/>
      <c r="AE32" s="85"/>
      <c r="AF32" s="1179"/>
      <c r="AG32" s="85"/>
      <c r="AH32" s="85"/>
      <c r="AI32" s="85"/>
      <c r="AJ32" s="85"/>
      <c r="AK32" s="85"/>
      <c r="AL32" s="85"/>
      <c r="AM32" s="85"/>
      <c r="AN32" s="85"/>
      <c r="AO32" s="85"/>
      <c r="AP32" s="85"/>
      <c r="AQ32" s="85"/>
      <c r="AR32" s="85"/>
      <c r="AS32" s="85"/>
      <c r="AT32" s="81"/>
      <c r="AU32" s="86"/>
      <c r="AV32" s="816">
        <f t="shared" si="37"/>
        <v>0</v>
      </c>
      <c r="AW32" s="816">
        <f t="shared" si="38"/>
        <v>0</v>
      </c>
      <c r="AX32" s="816">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8"/>
      <c r="C33" s="1179"/>
      <c r="D33" s="2300"/>
      <c r="E33" s="80">
        <f t="shared" si="33"/>
        <v>0</v>
      </c>
      <c r="F33" s="81"/>
      <c r="G33" s="82">
        <f t="shared" si="34"/>
        <v>0</v>
      </c>
      <c r="H33" s="83">
        <f t="shared" si="35"/>
        <v>0</v>
      </c>
      <c r="I33" s="1179"/>
      <c r="J33" s="84"/>
      <c r="K33" s="1179"/>
      <c r="L33" s="84"/>
      <c r="M33" s="84"/>
      <c r="N33" s="84"/>
      <c r="O33" s="84"/>
      <c r="P33" s="84"/>
      <c r="Q33" s="84"/>
      <c r="R33" s="84"/>
      <c r="S33" s="84"/>
      <c r="T33" s="84"/>
      <c r="U33" s="84"/>
      <c r="V33" s="84"/>
      <c r="W33" s="84"/>
      <c r="X33" s="84"/>
      <c r="Y33" s="84"/>
      <c r="Z33" s="84"/>
      <c r="AA33" s="84"/>
      <c r="AB33" s="84"/>
      <c r="AC33" s="80">
        <f t="shared" si="36"/>
        <v>0</v>
      </c>
      <c r="AD33" s="85"/>
      <c r="AE33" s="85"/>
      <c r="AF33" s="1179"/>
      <c r="AG33" s="85"/>
      <c r="AH33" s="85"/>
      <c r="AI33" s="85"/>
      <c r="AJ33" s="85"/>
      <c r="AK33" s="85"/>
      <c r="AL33" s="85"/>
      <c r="AM33" s="85"/>
      <c r="AN33" s="85"/>
      <c r="AO33" s="85"/>
      <c r="AP33" s="85"/>
      <c r="AQ33" s="85"/>
      <c r="AR33" s="85"/>
      <c r="AS33" s="85"/>
      <c r="AT33" s="81"/>
      <c r="AU33" s="86"/>
      <c r="AV33" s="816">
        <f t="shared" si="37"/>
        <v>0</v>
      </c>
      <c r="AW33" s="816">
        <f t="shared" si="38"/>
        <v>0</v>
      </c>
      <c r="AX33" s="816">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8"/>
      <c r="C34" s="1179"/>
      <c r="D34" s="2300"/>
      <c r="E34" s="80">
        <f t="shared" si="33"/>
        <v>0</v>
      </c>
      <c r="F34" s="81"/>
      <c r="G34" s="82">
        <f t="shared" si="34"/>
        <v>0</v>
      </c>
      <c r="H34" s="83">
        <f t="shared" si="35"/>
        <v>0</v>
      </c>
      <c r="I34" s="1179"/>
      <c r="J34" s="84"/>
      <c r="K34" s="1179"/>
      <c r="L34" s="84"/>
      <c r="M34" s="84"/>
      <c r="N34" s="84"/>
      <c r="O34" s="84"/>
      <c r="P34" s="84"/>
      <c r="Q34" s="84"/>
      <c r="R34" s="84"/>
      <c r="S34" s="84"/>
      <c r="T34" s="84"/>
      <c r="U34" s="84"/>
      <c r="V34" s="84"/>
      <c r="W34" s="84"/>
      <c r="X34" s="84"/>
      <c r="Y34" s="84"/>
      <c r="Z34" s="84"/>
      <c r="AA34" s="84"/>
      <c r="AB34" s="84"/>
      <c r="AC34" s="80">
        <f t="shared" si="36"/>
        <v>0</v>
      </c>
      <c r="AD34" s="85"/>
      <c r="AE34" s="85"/>
      <c r="AF34" s="1179"/>
      <c r="AG34" s="85"/>
      <c r="AH34" s="85"/>
      <c r="AI34" s="85"/>
      <c r="AJ34" s="85"/>
      <c r="AK34" s="85"/>
      <c r="AL34" s="85"/>
      <c r="AM34" s="85"/>
      <c r="AN34" s="85"/>
      <c r="AO34" s="85"/>
      <c r="AP34" s="85"/>
      <c r="AQ34" s="85"/>
      <c r="AR34" s="85"/>
      <c r="AS34" s="85"/>
      <c r="AT34" s="81"/>
      <c r="AU34" s="86"/>
      <c r="AV34" s="816">
        <f t="shared" si="37"/>
        <v>0</v>
      </c>
      <c r="AW34" s="816">
        <f t="shared" si="38"/>
        <v>0</v>
      </c>
      <c r="AX34" s="816">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8"/>
      <c r="C35" s="1179"/>
      <c r="D35" s="2300"/>
      <c r="E35" s="80">
        <f t="shared" si="33"/>
        <v>0</v>
      </c>
      <c r="F35" s="81"/>
      <c r="G35" s="82">
        <f t="shared" si="34"/>
        <v>0</v>
      </c>
      <c r="H35" s="83">
        <f t="shared" si="35"/>
        <v>0</v>
      </c>
      <c r="I35" s="1179"/>
      <c r="J35" s="84"/>
      <c r="K35" s="1179"/>
      <c r="L35" s="84"/>
      <c r="M35" s="84"/>
      <c r="N35" s="84"/>
      <c r="O35" s="84"/>
      <c r="P35" s="84"/>
      <c r="Q35" s="84"/>
      <c r="R35" s="84"/>
      <c r="S35" s="84"/>
      <c r="T35" s="84"/>
      <c r="U35" s="84"/>
      <c r="V35" s="84"/>
      <c r="W35" s="84"/>
      <c r="X35" s="84"/>
      <c r="Y35" s="84"/>
      <c r="Z35" s="84"/>
      <c r="AA35" s="84"/>
      <c r="AB35" s="84"/>
      <c r="AC35" s="80">
        <f t="shared" si="36"/>
        <v>0</v>
      </c>
      <c r="AD35" s="85"/>
      <c r="AE35" s="85"/>
      <c r="AF35" s="1179"/>
      <c r="AG35" s="85"/>
      <c r="AH35" s="85"/>
      <c r="AI35" s="85"/>
      <c r="AJ35" s="85"/>
      <c r="AK35" s="85"/>
      <c r="AL35" s="85"/>
      <c r="AM35" s="85"/>
      <c r="AN35" s="85"/>
      <c r="AO35" s="85"/>
      <c r="AP35" s="85"/>
      <c r="AQ35" s="85"/>
      <c r="AR35" s="85"/>
      <c r="AS35" s="85"/>
      <c r="AT35" s="81"/>
      <c r="AU35" s="86"/>
      <c r="AV35" s="816">
        <f t="shared" si="37"/>
        <v>0</v>
      </c>
      <c r="AW35" s="816">
        <f t="shared" si="38"/>
        <v>0</v>
      </c>
      <c r="AX35" s="816">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8"/>
      <c r="C36" s="1179"/>
      <c r="D36" s="2300"/>
      <c r="E36" s="80">
        <f t="shared" si="33"/>
        <v>0</v>
      </c>
      <c r="F36" s="81"/>
      <c r="G36" s="82">
        <f t="shared" si="34"/>
        <v>0</v>
      </c>
      <c r="H36" s="83">
        <f t="shared" si="35"/>
        <v>0</v>
      </c>
      <c r="I36" s="1179"/>
      <c r="J36" s="84"/>
      <c r="K36" s="1179"/>
      <c r="L36" s="84"/>
      <c r="M36" s="84"/>
      <c r="N36" s="84"/>
      <c r="O36" s="84"/>
      <c r="P36" s="84"/>
      <c r="Q36" s="84"/>
      <c r="R36" s="84"/>
      <c r="S36" s="84"/>
      <c r="T36" s="84"/>
      <c r="U36" s="84"/>
      <c r="V36" s="84"/>
      <c r="W36" s="84"/>
      <c r="X36" s="84"/>
      <c r="Y36" s="84"/>
      <c r="Z36" s="84"/>
      <c r="AA36" s="84"/>
      <c r="AB36" s="84"/>
      <c r="AC36" s="80">
        <f t="shared" si="36"/>
        <v>0</v>
      </c>
      <c r="AD36" s="85"/>
      <c r="AE36" s="85"/>
      <c r="AF36" s="1179"/>
      <c r="AG36" s="85"/>
      <c r="AH36" s="85"/>
      <c r="AI36" s="85"/>
      <c r="AJ36" s="85"/>
      <c r="AK36" s="85"/>
      <c r="AL36" s="85"/>
      <c r="AM36" s="85"/>
      <c r="AN36" s="85"/>
      <c r="AO36" s="85"/>
      <c r="AP36" s="85"/>
      <c r="AQ36" s="85"/>
      <c r="AR36" s="85"/>
      <c r="AS36" s="85"/>
      <c r="AT36" s="81"/>
      <c r="AU36" s="86"/>
      <c r="AV36" s="816">
        <f t="shared" si="37"/>
        <v>0</v>
      </c>
      <c r="AW36" s="816">
        <f t="shared" si="38"/>
        <v>0</v>
      </c>
      <c r="AX36" s="816">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8"/>
      <c r="C37" s="1179"/>
      <c r="D37" s="2300"/>
      <c r="E37" s="80">
        <f t="shared" si="33"/>
        <v>0</v>
      </c>
      <c r="F37" s="81"/>
      <c r="G37" s="82">
        <f t="shared" si="34"/>
        <v>0</v>
      </c>
      <c r="H37" s="83">
        <f t="shared" si="35"/>
        <v>0</v>
      </c>
      <c r="I37" s="1179"/>
      <c r="J37" s="84"/>
      <c r="K37" s="1179"/>
      <c r="L37" s="84"/>
      <c r="M37" s="84"/>
      <c r="N37" s="84"/>
      <c r="O37" s="84"/>
      <c r="P37" s="84"/>
      <c r="Q37" s="84"/>
      <c r="R37" s="84"/>
      <c r="S37" s="84"/>
      <c r="T37" s="84"/>
      <c r="U37" s="84"/>
      <c r="V37" s="84"/>
      <c r="W37" s="84"/>
      <c r="X37" s="84"/>
      <c r="Y37" s="84"/>
      <c r="Z37" s="84"/>
      <c r="AA37" s="84"/>
      <c r="AB37" s="84"/>
      <c r="AC37" s="80">
        <f t="shared" si="36"/>
        <v>0</v>
      </c>
      <c r="AD37" s="85"/>
      <c r="AE37" s="85"/>
      <c r="AF37" s="1179"/>
      <c r="AG37" s="85"/>
      <c r="AH37" s="85"/>
      <c r="AI37" s="85"/>
      <c r="AJ37" s="85"/>
      <c r="AK37" s="85"/>
      <c r="AL37" s="85"/>
      <c r="AM37" s="85"/>
      <c r="AN37" s="85"/>
      <c r="AO37" s="85"/>
      <c r="AP37" s="85"/>
      <c r="AQ37" s="85"/>
      <c r="AR37" s="85"/>
      <c r="AS37" s="85"/>
      <c r="AT37" s="81"/>
      <c r="AU37" s="86"/>
      <c r="AV37" s="816">
        <f t="shared" si="37"/>
        <v>0</v>
      </c>
      <c r="AW37" s="816">
        <f t="shared" si="38"/>
        <v>0</v>
      </c>
      <c r="AX37" s="816">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8"/>
      <c r="C38" s="1179"/>
      <c r="D38" s="2300"/>
      <c r="E38" s="80">
        <f t="shared" si="33"/>
        <v>0</v>
      </c>
      <c r="F38" s="81"/>
      <c r="G38" s="82">
        <f t="shared" si="34"/>
        <v>0</v>
      </c>
      <c r="H38" s="83">
        <f t="shared" si="35"/>
        <v>0</v>
      </c>
      <c r="I38" s="1179"/>
      <c r="J38" s="84"/>
      <c r="K38" s="1179"/>
      <c r="L38" s="84"/>
      <c r="M38" s="84"/>
      <c r="N38" s="84"/>
      <c r="O38" s="84"/>
      <c r="P38" s="84"/>
      <c r="Q38" s="84"/>
      <c r="R38" s="84"/>
      <c r="S38" s="84"/>
      <c r="T38" s="84"/>
      <c r="U38" s="84"/>
      <c r="V38" s="84"/>
      <c r="W38" s="84"/>
      <c r="X38" s="84"/>
      <c r="Y38" s="84"/>
      <c r="Z38" s="84"/>
      <c r="AA38" s="84"/>
      <c r="AB38" s="84"/>
      <c r="AC38" s="80">
        <f t="shared" si="36"/>
        <v>0</v>
      </c>
      <c r="AD38" s="85"/>
      <c r="AE38" s="85"/>
      <c r="AF38" s="1179"/>
      <c r="AG38" s="85"/>
      <c r="AH38" s="85"/>
      <c r="AI38" s="85"/>
      <c r="AJ38" s="85"/>
      <c r="AK38" s="85"/>
      <c r="AL38" s="85"/>
      <c r="AM38" s="85"/>
      <c r="AN38" s="85"/>
      <c r="AO38" s="85"/>
      <c r="AP38" s="85"/>
      <c r="AQ38" s="85"/>
      <c r="AR38" s="85"/>
      <c r="AS38" s="85"/>
      <c r="AT38" s="81"/>
      <c r="AU38" s="86"/>
      <c r="AV38" s="816">
        <f t="shared" si="37"/>
        <v>0</v>
      </c>
      <c r="AW38" s="816">
        <f t="shared" si="38"/>
        <v>0</v>
      </c>
      <c r="AX38" s="816">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8"/>
      <c r="C39" s="1179"/>
      <c r="D39" s="2300"/>
      <c r="E39" s="80">
        <f t="shared" si="33"/>
        <v>0</v>
      </c>
      <c r="F39" s="81"/>
      <c r="G39" s="82">
        <f t="shared" si="34"/>
        <v>0</v>
      </c>
      <c r="H39" s="83">
        <f t="shared" si="35"/>
        <v>0</v>
      </c>
      <c r="I39" s="1179"/>
      <c r="J39" s="84"/>
      <c r="K39" s="1179"/>
      <c r="L39" s="84"/>
      <c r="M39" s="84"/>
      <c r="N39" s="84"/>
      <c r="O39" s="84"/>
      <c r="P39" s="84"/>
      <c r="Q39" s="84"/>
      <c r="R39" s="84"/>
      <c r="S39" s="84"/>
      <c r="T39" s="84"/>
      <c r="U39" s="84"/>
      <c r="V39" s="84"/>
      <c r="W39" s="84"/>
      <c r="X39" s="84"/>
      <c r="Y39" s="84"/>
      <c r="Z39" s="84"/>
      <c r="AA39" s="84"/>
      <c r="AB39" s="84"/>
      <c r="AC39" s="80">
        <f t="shared" si="36"/>
        <v>0</v>
      </c>
      <c r="AD39" s="85"/>
      <c r="AE39" s="85"/>
      <c r="AF39" s="1179"/>
      <c r="AG39" s="85"/>
      <c r="AH39" s="85"/>
      <c r="AI39" s="85"/>
      <c r="AJ39" s="85"/>
      <c r="AK39" s="85"/>
      <c r="AL39" s="85"/>
      <c r="AM39" s="85"/>
      <c r="AN39" s="85"/>
      <c r="AO39" s="85"/>
      <c r="AP39" s="85"/>
      <c r="AQ39" s="85"/>
      <c r="AR39" s="85"/>
      <c r="AS39" s="85"/>
      <c r="AT39" s="81"/>
      <c r="AU39" s="86"/>
      <c r="AV39" s="816">
        <f t="shared" si="37"/>
        <v>0</v>
      </c>
      <c r="AW39" s="816">
        <f t="shared" si="38"/>
        <v>0</v>
      </c>
      <c r="AX39" s="816">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8"/>
      <c r="C40" s="1179"/>
      <c r="D40" s="2300"/>
      <c r="E40" s="80">
        <f t="shared" si="33"/>
        <v>0</v>
      </c>
      <c r="F40" s="81"/>
      <c r="G40" s="82">
        <f t="shared" si="34"/>
        <v>0</v>
      </c>
      <c r="H40" s="83">
        <f t="shared" si="35"/>
        <v>0</v>
      </c>
      <c r="I40" s="1179"/>
      <c r="J40" s="84"/>
      <c r="K40" s="1179"/>
      <c r="L40" s="84"/>
      <c r="M40" s="84"/>
      <c r="N40" s="84"/>
      <c r="O40" s="84"/>
      <c r="P40" s="84"/>
      <c r="Q40" s="84"/>
      <c r="R40" s="84"/>
      <c r="S40" s="84"/>
      <c r="T40" s="84"/>
      <c r="U40" s="84"/>
      <c r="V40" s="84"/>
      <c r="W40" s="84"/>
      <c r="X40" s="84"/>
      <c r="Y40" s="84"/>
      <c r="Z40" s="84"/>
      <c r="AA40" s="84"/>
      <c r="AB40" s="84"/>
      <c r="AC40" s="80">
        <f t="shared" si="36"/>
        <v>0</v>
      </c>
      <c r="AD40" s="85"/>
      <c r="AE40" s="85"/>
      <c r="AF40" s="1179"/>
      <c r="AG40" s="85"/>
      <c r="AH40" s="85"/>
      <c r="AI40" s="85"/>
      <c r="AJ40" s="85"/>
      <c r="AK40" s="85"/>
      <c r="AL40" s="85"/>
      <c r="AM40" s="85"/>
      <c r="AN40" s="85"/>
      <c r="AO40" s="85"/>
      <c r="AP40" s="85"/>
      <c r="AQ40" s="85"/>
      <c r="AR40" s="85"/>
      <c r="AS40" s="85"/>
      <c r="AT40" s="81"/>
      <c r="AU40" s="86"/>
      <c r="AV40" s="816">
        <f t="shared" si="37"/>
        <v>0</v>
      </c>
      <c r="AW40" s="816">
        <f t="shared" si="38"/>
        <v>0</v>
      </c>
      <c r="AX40" s="816">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8"/>
      <c r="C41" s="1179"/>
      <c r="D41" s="2300"/>
      <c r="E41" s="80">
        <f t="shared" si="33"/>
        <v>0</v>
      </c>
      <c r="F41" s="81"/>
      <c r="G41" s="82">
        <f t="shared" si="34"/>
        <v>0</v>
      </c>
      <c r="H41" s="83">
        <f t="shared" si="35"/>
        <v>0</v>
      </c>
      <c r="I41" s="1179"/>
      <c r="J41" s="84"/>
      <c r="K41" s="1179"/>
      <c r="L41" s="84"/>
      <c r="M41" s="84"/>
      <c r="N41" s="84"/>
      <c r="O41" s="84"/>
      <c r="P41" s="84"/>
      <c r="Q41" s="84"/>
      <c r="R41" s="84"/>
      <c r="S41" s="84"/>
      <c r="T41" s="84"/>
      <c r="U41" s="84"/>
      <c r="V41" s="84"/>
      <c r="W41" s="84"/>
      <c r="X41" s="84"/>
      <c r="Y41" s="84"/>
      <c r="Z41" s="84"/>
      <c r="AA41" s="84"/>
      <c r="AB41" s="84"/>
      <c r="AC41" s="80">
        <f t="shared" si="36"/>
        <v>0</v>
      </c>
      <c r="AD41" s="85"/>
      <c r="AE41" s="85"/>
      <c r="AF41" s="1179"/>
      <c r="AG41" s="85"/>
      <c r="AH41" s="85"/>
      <c r="AI41" s="85"/>
      <c r="AJ41" s="85"/>
      <c r="AK41" s="85"/>
      <c r="AL41" s="85"/>
      <c r="AM41" s="85"/>
      <c r="AN41" s="85"/>
      <c r="AO41" s="85"/>
      <c r="AP41" s="85"/>
      <c r="AQ41" s="85"/>
      <c r="AR41" s="85"/>
      <c r="AS41" s="85"/>
      <c r="AT41" s="81"/>
      <c r="AU41" s="86"/>
      <c r="AV41" s="816">
        <f t="shared" si="37"/>
        <v>0</v>
      </c>
      <c r="AW41" s="816">
        <f t="shared" si="38"/>
        <v>0</v>
      </c>
      <c r="AX41" s="816">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8"/>
      <c r="C42" s="1179"/>
      <c r="D42" s="2300"/>
      <c r="E42" s="80">
        <f t="shared" si="33"/>
        <v>0</v>
      </c>
      <c r="F42" s="81"/>
      <c r="G42" s="82">
        <f t="shared" si="34"/>
        <v>0</v>
      </c>
      <c r="H42" s="83">
        <f t="shared" si="35"/>
        <v>0</v>
      </c>
      <c r="I42" s="1179"/>
      <c r="J42" s="84"/>
      <c r="K42" s="1179"/>
      <c r="L42" s="84"/>
      <c r="M42" s="84"/>
      <c r="N42" s="84"/>
      <c r="O42" s="84"/>
      <c r="P42" s="84"/>
      <c r="Q42" s="84"/>
      <c r="R42" s="84"/>
      <c r="S42" s="84"/>
      <c r="T42" s="84"/>
      <c r="U42" s="84"/>
      <c r="V42" s="84"/>
      <c r="W42" s="84"/>
      <c r="X42" s="84"/>
      <c r="Y42" s="84"/>
      <c r="Z42" s="84"/>
      <c r="AA42" s="84"/>
      <c r="AB42" s="84"/>
      <c r="AC42" s="80">
        <f t="shared" si="36"/>
        <v>0</v>
      </c>
      <c r="AD42" s="85"/>
      <c r="AE42" s="85"/>
      <c r="AF42" s="1179"/>
      <c r="AG42" s="85"/>
      <c r="AH42" s="85"/>
      <c r="AI42" s="85"/>
      <c r="AJ42" s="85"/>
      <c r="AK42" s="85"/>
      <c r="AL42" s="85"/>
      <c r="AM42" s="85"/>
      <c r="AN42" s="85"/>
      <c r="AO42" s="85"/>
      <c r="AP42" s="85"/>
      <c r="AQ42" s="85"/>
      <c r="AR42" s="85"/>
      <c r="AS42" s="85"/>
      <c r="AT42" s="81"/>
      <c r="AU42" s="86"/>
      <c r="AV42" s="816">
        <f t="shared" si="37"/>
        <v>0</v>
      </c>
      <c r="AW42" s="816">
        <f t="shared" si="38"/>
        <v>0</v>
      </c>
      <c r="AX42" s="816">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8"/>
      <c r="C43" s="1179"/>
      <c r="D43" s="2300"/>
      <c r="E43" s="80">
        <f t="shared" si="33"/>
        <v>0</v>
      </c>
      <c r="F43" s="81"/>
      <c r="G43" s="82">
        <f t="shared" si="34"/>
        <v>0</v>
      </c>
      <c r="H43" s="83">
        <f t="shared" si="35"/>
        <v>0</v>
      </c>
      <c r="I43" s="1179"/>
      <c r="J43" s="84"/>
      <c r="K43" s="1179"/>
      <c r="L43" s="84"/>
      <c r="M43" s="84"/>
      <c r="N43" s="84"/>
      <c r="O43" s="84"/>
      <c r="P43" s="84"/>
      <c r="Q43" s="84"/>
      <c r="R43" s="84"/>
      <c r="S43" s="84"/>
      <c r="T43" s="84"/>
      <c r="U43" s="84"/>
      <c r="V43" s="84"/>
      <c r="W43" s="84"/>
      <c r="X43" s="84"/>
      <c r="Y43" s="84"/>
      <c r="Z43" s="84"/>
      <c r="AA43" s="84"/>
      <c r="AB43" s="84"/>
      <c r="AC43" s="80">
        <f t="shared" si="36"/>
        <v>0</v>
      </c>
      <c r="AD43" s="85"/>
      <c r="AE43" s="85"/>
      <c r="AF43" s="1179"/>
      <c r="AG43" s="85"/>
      <c r="AH43" s="85"/>
      <c r="AI43" s="85"/>
      <c r="AJ43" s="85"/>
      <c r="AK43" s="85"/>
      <c r="AL43" s="85"/>
      <c r="AM43" s="85"/>
      <c r="AN43" s="85"/>
      <c r="AO43" s="85"/>
      <c r="AP43" s="85"/>
      <c r="AQ43" s="85"/>
      <c r="AR43" s="85"/>
      <c r="AS43" s="85"/>
      <c r="AT43" s="81"/>
      <c r="AU43" s="86"/>
      <c r="AV43" s="816">
        <f t="shared" si="37"/>
        <v>0</v>
      </c>
      <c r="AW43" s="816">
        <f t="shared" si="38"/>
        <v>0</v>
      </c>
      <c r="AX43" s="816">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8"/>
      <c r="C44" s="1179"/>
      <c r="D44" s="2300"/>
      <c r="E44" s="80">
        <f t="shared" si="33"/>
        <v>0</v>
      </c>
      <c r="F44" s="81"/>
      <c r="G44" s="82">
        <f t="shared" si="34"/>
        <v>0</v>
      </c>
      <c r="H44" s="83">
        <f t="shared" si="35"/>
        <v>0</v>
      </c>
      <c r="I44" s="1179"/>
      <c r="J44" s="84"/>
      <c r="K44" s="1179"/>
      <c r="L44" s="84"/>
      <c r="M44" s="84"/>
      <c r="N44" s="84"/>
      <c r="O44" s="84"/>
      <c r="P44" s="84"/>
      <c r="Q44" s="84"/>
      <c r="R44" s="84"/>
      <c r="S44" s="84"/>
      <c r="T44" s="84"/>
      <c r="U44" s="84"/>
      <c r="V44" s="84"/>
      <c r="W44" s="84"/>
      <c r="X44" s="84"/>
      <c r="Y44" s="84"/>
      <c r="Z44" s="84"/>
      <c r="AA44" s="84"/>
      <c r="AB44" s="84"/>
      <c r="AC44" s="80">
        <f t="shared" si="36"/>
        <v>0</v>
      </c>
      <c r="AD44" s="85"/>
      <c r="AE44" s="85"/>
      <c r="AF44" s="1179"/>
      <c r="AG44" s="85"/>
      <c r="AH44" s="85"/>
      <c r="AI44" s="85"/>
      <c r="AJ44" s="85"/>
      <c r="AK44" s="85"/>
      <c r="AL44" s="85"/>
      <c r="AM44" s="85"/>
      <c r="AN44" s="85"/>
      <c r="AO44" s="85"/>
      <c r="AP44" s="85"/>
      <c r="AQ44" s="85"/>
      <c r="AR44" s="85"/>
      <c r="AS44" s="85"/>
      <c r="AT44" s="81"/>
      <c r="AU44" s="86"/>
      <c r="AV44" s="816">
        <f t="shared" si="37"/>
        <v>0</v>
      </c>
      <c r="AW44" s="816">
        <f t="shared" si="38"/>
        <v>0</v>
      </c>
      <c r="AX44" s="816">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8"/>
      <c r="C45" s="1179"/>
      <c r="D45" s="2300"/>
      <c r="E45" s="80">
        <f t="shared" si="33"/>
        <v>0</v>
      </c>
      <c r="F45" s="81"/>
      <c r="G45" s="82">
        <f t="shared" si="34"/>
        <v>0</v>
      </c>
      <c r="H45" s="83">
        <f t="shared" si="35"/>
        <v>0</v>
      </c>
      <c r="I45" s="1179"/>
      <c r="J45" s="84"/>
      <c r="K45" s="1179"/>
      <c r="L45" s="84"/>
      <c r="M45" s="84"/>
      <c r="N45" s="84"/>
      <c r="O45" s="84"/>
      <c r="P45" s="84"/>
      <c r="Q45" s="84"/>
      <c r="R45" s="84"/>
      <c r="S45" s="84"/>
      <c r="T45" s="84"/>
      <c r="U45" s="84"/>
      <c r="V45" s="84"/>
      <c r="W45" s="84"/>
      <c r="X45" s="84"/>
      <c r="Y45" s="84"/>
      <c r="Z45" s="84"/>
      <c r="AA45" s="84"/>
      <c r="AB45" s="84"/>
      <c r="AC45" s="80">
        <f t="shared" si="36"/>
        <v>0</v>
      </c>
      <c r="AD45" s="85"/>
      <c r="AE45" s="85"/>
      <c r="AF45" s="1179"/>
      <c r="AG45" s="85"/>
      <c r="AH45" s="85"/>
      <c r="AI45" s="85"/>
      <c r="AJ45" s="85"/>
      <c r="AK45" s="85"/>
      <c r="AL45" s="85"/>
      <c r="AM45" s="85"/>
      <c r="AN45" s="85"/>
      <c r="AO45" s="85"/>
      <c r="AP45" s="85"/>
      <c r="AQ45" s="85"/>
      <c r="AR45" s="85"/>
      <c r="AS45" s="85"/>
      <c r="AT45" s="81"/>
      <c r="AU45" s="86"/>
      <c r="AV45" s="816">
        <f t="shared" si="37"/>
        <v>0</v>
      </c>
      <c r="AW45" s="816">
        <f t="shared" si="38"/>
        <v>0</v>
      </c>
      <c r="AX45" s="816">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8"/>
      <c r="C46" s="1179"/>
      <c r="D46" s="2300"/>
      <c r="E46" s="80">
        <f t="shared" si="33"/>
        <v>0</v>
      </c>
      <c r="F46" s="81"/>
      <c r="G46" s="82">
        <f t="shared" si="34"/>
        <v>0</v>
      </c>
      <c r="H46" s="83">
        <f t="shared" si="35"/>
        <v>0</v>
      </c>
      <c r="I46" s="1179"/>
      <c r="J46" s="84"/>
      <c r="K46" s="1179"/>
      <c r="L46" s="84"/>
      <c r="M46" s="84"/>
      <c r="N46" s="84"/>
      <c r="O46" s="84"/>
      <c r="P46" s="84"/>
      <c r="Q46" s="84"/>
      <c r="R46" s="84"/>
      <c r="S46" s="84"/>
      <c r="T46" s="84"/>
      <c r="U46" s="84"/>
      <c r="V46" s="84"/>
      <c r="W46" s="84"/>
      <c r="X46" s="84"/>
      <c r="Y46" s="84"/>
      <c r="Z46" s="84"/>
      <c r="AA46" s="84"/>
      <c r="AB46" s="84"/>
      <c r="AC46" s="80">
        <f t="shared" si="36"/>
        <v>0</v>
      </c>
      <c r="AD46" s="85"/>
      <c r="AE46" s="85"/>
      <c r="AF46" s="1179"/>
      <c r="AG46" s="85"/>
      <c r="AH46" s="85"/>
      <c r="AI46" s="85"/>
      <c r="AJ46" s="85"/>
      <c r="AK46" s="85"/>
      <c r="AL46" s="85"/>
      <c r="AM46" s="85"/>
      <c r="AN46" s="85"/>
      <c r="AO46" s="85"/>
      <c r="AP46" s="85"/>
      <c r="AQ46" s="85"/>
      <c r="AR46" s="85"/>
      <c r="AS46" s="85"/>
      <c r="AT46" s="81"/>
      <c r="AU46" s="86"/>
      <c r="AV46" s="816">
        <f t="shared" si="37"/>
        <v>0</v>
      </c>
      <c r="AW46" s="816">
        <f t="shared" si="38"/>
        <v>0</v>
      </c>
      <c r="AX46" s="816">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8"/>
      <c r="C47" s="1179"/>
      <c r="D47" s="2300"/>
      <c r="E47" s="80">
        <f t="shared" si="33"/>
        <v>0</v>
      </c>
      <c r="F47" s="81"/>
      <c r="G47" s="82">
        <f t="shared" si="34"/>
        <v>0</v>
      </c>
      <c r="H47" s="83">
        <f t="shared" si="35"/>
        <v>0</v>
      </c>
      <c r="I47" s="1179"/>
      <c r="J47" s="84"/>
      <c r="K47" s="1179"/>
      <c r="L47" s="84"/>
      <c r="M47" s="84"/>
      <c r="N47" s="84"/>
      <c r="O47" s="84"/>
      <c r="P47" s="84"/>
      <c r="Q47" s="84"/>
      <c r="R47" s="84"/>
      <c r="S47" s="84"/>
      <c r="T47" s="84"/>
      <c r="U47" s="84"/>
      <c r="V47" s="84"/>
      <c r="W47" s="84"/>
      <c r="X47" s="84"/>
      <c r="Y47" s="84"/>
      <c r="Z47" s="84"/>
      <c r="AA47" s="84"/>
      <c r="AB47" s="84"/>
      <c r="AC47" s="80">
        <f t="shared" si="36"/>
        <v>0</v>
      </c>
      <c r="AD47" s="85"/>
      <c r="AE47" s="85"/>
      <c r="AF47" s="1179"/>
      <c r="AG47" s="85"/>
      <c r="AH47" s="85"/>
      <c r="AI47" s="85"/>
      <c r="AJ47" s="85"/>
      <c r="AK47" s="85"/>
      <c r="AL47" s="85"/>
      <c r="AM47" s="85"/>
      <c r="AN47" s="85"/>
      <c r="AO47" s="85"/>
      <c r="AP47" s="85"/>
      <c r="AQ47" s="85"/>
      <c r="AR47" s="85"/>
      <c r="AS47" s="85"/>
      <c r="AT47" s="81"/>
      <c r="AU47" s="86"/>
      <c r="AV47" s="816">
        <f t="shared" si="37"/>
        <v>0</v>
      </c>
      <c r="AW47" s="816">
        <f t="shared" si="38"/>
        <v>0</v>
      </c>
      <c r="AX47" s="816">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8"/>
      <c r="C48" s="1179"/>
      <c r="D48" s="2300"/>
      <c r="E48" s="80">
        <f t="shared" si="33"/>
        <v>0</v>
      </c>
      <c r="F48" s="81"/>
      <c r="G48" s="82">
        <f t="shared" si="34"/>
        <v>0</v>
      </c>
      <c r="H48" s="83">
        <f t="shared" si="35"/>
        <v>0</v>
      </c>
      <c r="I48" s="1179"/>
      <c r="J48" s="84"/>
      <c r="K48" s="1179"/>
      <c r="L48" s="84"/>
      <c r="M48" s="84"/>
      <c r="N48" s="84"/>
      <c r="O48" s="84"/>
      <c r="P48" s="84"/>
      <c r="Q48" s="84"/>
      <c r="R48" s="84"/>
      <c r="S48" s="84"/>
      <c r="T48" s="84"/>
      <c r="U48" s="84"/>
      <c r="V48" s="84"/>
      <c r="W48" s="84"/>
      <c r="X48" s="84"/>
      <c r="Y48" s="84"/>
      <c r="Z48" s="84"/>
      <c r="AA48" s="84"/>
      <c r="AB48" s="84"/>
      <c r="AC48" s="80">
        <f t="shared" si="36"/>
        <v>0</v>
      </c>
      <c r="AD48" s="85"/>
      <c r="AE48" s="85"/>
      <c r="AF48" s="1179"/>
      <c r="AG48" s="85"/>
      <c r="AH48" s="85"/>
      <c r="AI48" s="85"/>
      <c r="AJ48" s="85"/>
      <c r="AK48" s="85"/>
      <c r="AL48" s="85"/>
      <c r="AM48" s="85"/>
      <c r="AN48" s="85"/>
      <c r="AO48" s="85"/>
      <c r="AP48" s="85"/>
      <c r="AQ48" s="85"/>
      <c r="AR48" s="85"/>
      <c r="AS48" s="85"/>
      <c r="AT48" s="81"/>
      <c r="AU48" s="86"/>
      <c r="AV48" s="816">
        <f t="shared" si="37"/>
        <v>0</v>
      </c>
      <c r="AW48" s="816">
        <f t="shared" si="38"/>
        <v>0</v>
      </c>
      <c r="AX48" s="816">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8"/>
      <c r="C49" s="1179"/>
      <c r="D49" s="2300"/>
      <c r="E49" s="80">
        <f t="shared" si="33"/>
        <v>0</v>
      </c>
      <c r="F49" s="81"/>
      <c r="G49" s="82">
        <f t="shared" si="34"/>
        <v>0</v>
      </c>
      <c r="H49" s="83">
        <f t="shared" si="35"/>
        <v>0</v>
      </c>
      <c r="I49" s="1179"/>
      <c r="J49" s="84"/>
      <c r="K49" s="1179"/>
      <c r="L49" s="84"/>
      <c r="M49" s="84"/>
      <c r="N49" s="84"/>
      <c r="O49" s="84"/>
      <c r="P49" s="84"/>
      <c r="Q49" s="84"/>
      <c r="R49" s="84"/>
      <c r="S49" s="84"/>
      <c r="T49" s="84"/>
      <c r="U49" s="84"/>
      <c r="V49" s="84"/>
      <c r="W49" s="84"/>
      <c r="X49" s="84"/>
      <c r="Y49" s="84"/>
      <c r="Z49" s="84"/>
      <c r="AA49" s="84"/>
      <c r="AB49" s="84"/>
      <c r="AC49" s="80">
        <f t="shared" si="36"/>
        <v>0</v>
      </c>
      <c r="AD49" s="85"/>
      <c r="AE49" s="85"/>
      <c r="AF49" s="1179"/>
      <c r="AG49" s="85"/>
      <c r="AH49" s="85"/>
      <c r="AI49" s="85"/>
      <c r="AJ49" s="85"/>
      <c r="AK49" s="85"/>
      <c r="AL49" s="85"/>
      <c r="AM49" s="85"/>
      <c r="AN49" s="85"/>
      <c r="AO49" s="85"/>
      <c r="AP49" s="85"/>
      <c r="AQ49" s="85"/>
      <c r="AR49" s="85"/>
      <c r="AS49" s="85"/>
      <c r="AT49" s="81"/>
      <c r="AU49" s="86"/>
      <c r="AV49" s="816">
        <f t="shared" si="37"/>
        <v>0</v>
      </c>
      <c r="AW49" s="816">
        <f t="shared" si="38"/>
        <v>0</v>
      </c>
      <c r="AX49" s="816">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8"/>
      <c r="C50" s="1179"/>
      <c r="D50" s="2300"/>
      <c r="E50" s="80">
        <f t="shared" si="33"/>
        <v>0</v>
      </c>
      <c r="F50" s="81"/>
      <c r="G50" s="82">
        <f t="shared" si="34"/>
        <v>0</v>
      </c>
      <c r="H50" s="83">
        <f t="shared" si="35"/>
        <v>0</v>
      </c>
      <c r="I50" s="1179"/>
      <c r="J50" s="84"/>
      <c r="K50" s="1179"/>
      <c r="L50" s="84"/>
      <c r="M50" s="84"/>
      <c r="N50" s="84"/>
      <c r="O50" s="84"/>
      <c r="P50" s="84"/>
      <c r="Q50" s="84"/>
      <c r="R50" s="84"/>
      <c r="S50" s="84"/>
      <c r="T50" s="84"/>
      <c r="U50" s="84"/>
      <c r="V50" s="84"/>
      <c r="W50" s="84"/>
      <c r="X50" s="84"/>
      <c r="Y50" s="84"/>
      <c r="Z50" s="84"/>
      <c r="AA50" s="84"/>
      <c r="AB50" s="84"/>
      <c r="AC50" s="80">
        <f t="shared" si="36"/>
        <v>0</v>
      </c>
      <c r="AD50" s="85"/>
      <c r="AE50" s="85"/>
      <c r="AF50" s="1179"/>
      <c r="AG50" s="85"/>
      <c r="AH50" s="85"/>
      <c r="AI50" s="85"/>
      <c r="AJ50" s="85"/>
      <c r="AK50" s="85"/>
      <c r="AL50" s="85"/>
      <c r="AM50" s="85"/>
      <c r="AN50" s="85"/>
      <c r="AO50" s="85"/>
      <c r="AP50" s="85"/>
      <c r="AQ50" s="85"/>
      <c r="AR50" s="85"/>
      <c r="AS50" s="85"/>
      <c r="AT50" s="81"/>
      <c r="AU50" s="86"/>
      <c r="AV50" s="816">
        <f t="shared" si="37"/>
        <v>0</v>
      </c>
      <c r="AW50" s="816">
        <f t="shared" si="38"/>
        <v>0</v>
      </c>
      <c r="AX50" s="816">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8"/>
      <c r="C51" s="1179"/>
      <c r="D51" s="2300"/>
      <c r="E51" s="80">
        <f t="shared" si="33"/>
        <v>0</v>
      </c>
      <c r="F51" s="81"/>
      <c r="G51" s="82">
        <f t="shared" si="34"/>
        <v>0</v>
      </c>
      <c r="H51" s="83">
        <f t="shared" si="35"/>
        <v>0</v>
      </c>
      <c r="I51" s="1179"/>
      <c r="J51" s="84"/>
      <c r="K51" s="1179"/>
      <c r="L51" s="84"/>
      <c r="M51" s="84"/>
      <c r="N51" s="84"/>
      <c r="O51" s="84"/>
      <c r="P51" s="84"/>
      <c r="Q51" s="84"/>
      <c r="R51" s="84"/>
      <c r="S51" s="84"/>
      <c r="T51" s="84"/>
      <c r="U51" s="84"/>
      <c r="V51" s="84"/>
      <c r="W51" s="84"/>
      <c r="X51" s="84"/>
      <c r="Y51" s="84"/>
      <c r="Z51" s="84"/>
      <c r="AA51" s="84"/>
      <c r="AB51" s="84"/>
      <c r="AC51" s="80">
        <f t="shared" si="36"/>
        <v>0</v>
      </c>
      <c r="AD51" s="85"/>
      <c r="AE51" s="85"/>
      <c r="AF51" s="1179"/>
      <c r="AG51" s="85"/>
      <c r="AH51" s="85"/>
      <c r="AI51" s="85"/>
      <c r="AJ51" s="85"/>
      <c r="AK51" s="85"/>
      <c r="AL51" s="85"/>
      <c r="AM51" s="85"/>
      <c r="AN51" s="85"/>
      <c r="AO51" s="85"/>
      <c r="AP51" s="85"/>
      <c r="AQ51" s="85"/>
      <c r="AR51" s="85"/>
      <c r="AS51" s="85"/>
      <c r="AT51" s="81"/>
      <c r="AU51" s="86"/>
      <c r="AV51" s="816">
        <f t="shared" si="37"/>
        <v>0</v>
      </c>
      <c r="AW51" s="816">
        <f t="shared" si="38"/>
        <v>0</v>
      </c>
      <c r="AX51" s="816">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8"/>
      <c r="C52" s="1179"/>
      <c r="D52" s="2300"/>
      <c r="E52" s="80">
        <f t="shared" si="33"/>
        <v>0</v>
      </c>
      <c r="F52" s="81"/>
      <c r="G52" s="82">
        <f t="shared" si="34"/>
        <v>0</v>
      </c>
      <c r="H52" s="83">
        <f t="shared" si="35"/>
        <v>0</v>
      </c>
      <c r="I52" s="1179"/>
      <c r="J52" s="84"/>
      <c r="K52" s="1179"/>
      <c r="L52" s="84"/>
      <c r="M52" s="84"/>
      <c r="N52" s="84"/>
      <c r="O52" s="84"/>
      <c r="P52" s="84"/>
      <c r="Q52" s="84"/>
      <c r="R52" s="84"/>
      <c r="S52" s="84"/>
      <c r="T52" s="84"/>
      <c r="U52" s="84"/>
      <c r="V52" s="84"/>
      <c r="W52" s="84"/>
      <c r="X52" s="84"/>
      <c r="Y52" s="84"/>
      <c r="Z52" s="84"/>
      <c r="AA52" s="84"/>
      <c r="AB52" s="84"/>
      <c r="AC52" s="80">
        <f t="shared" si="36"/>
        <v>0</v>
      </c>
      <c r="AD52" s="85"/>
      <c r="AE52" s="85"/>
      <c r="AF52" s="1179"/>
      <c r="AG52" s="85"/>
      <c r="AH52" s="85"/>
      <c r="AI52" s="85"/>
      <c r="AJ52" s="85"/>
      <c r="AK52" s="85"/>
      <c r="AL52" s="85"/>
      <c r="AM52" s="85"/>
      <c r="AN52" s="85"/>
      <c r="AO52" s="85"/>
      <c r="AP52" s="85"/>
      <c r="AQ52" s="85"/>
      <c r="AR52" s="85"/>
      <c r="AS52" s="85"/>
      <c r="AT52" s="81"/>
      <c r="AU52" s="86"/>
      <c r="AV52" s="816">
        <f t="shared" si="37"/>
        <v>0</v>
      </c>
      <c r="AW52" s="816">
        <f t="shared" si="38"/>
        <v>0</v>
      </c>
      <c r="AX52" s="816">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8"/>
      <c r="C53" s="1179"/>
      <c r="D53" s="2300"/>
      <c r="E53" s="80">
        <f t="shared" si="33"/>
        <v>0</v>
      </c>
      <c r="F53" s="81"/>
      <c r="G53" s="82">
        <f t="shared" si="34"/>
        <v>0</v>
      </c>
      <c r="H53" s="83">
        <f t="shared" si="35"/>
        <v>0</v>
      </c>
      <c r="I53" s="1179"/>
      <c r="J53" s="84"/>
      <c r="K53" s="1179"/>
      <c r="L53" s="84"/>
      <c r="M53" s="84"/>
      <c r="N53" s="84"/>
      <c r="O53" s="84"/>
      <c r="P53" s="84"/>
      <c r="Q53" s="84"/>
      <c r="R53" s="84"/>
      <c r="S53" s="84"/>
      <c r="T53" s="84"/>
      <c r="U53" s="84"/>
      <c r="V53" s="84"/>
      <c r="W53" s="84"/>
      <c r="X53" s="84"/>
      <c r="Y53" s="84"/>
      <c r="Z53" s="84"/>
      <c r="AA53" s="84"/>
      <c r="AB53" s="84"/>
      <c r="AC53" s="80">
        <f t="shared" si="36"/>
        <v>0</v>
      </c>
      <c r="AD53" s="85"/>
      <c r="AE53" s="85"/>
      <c r="AF53" s="1179"/>
      <c r="AG53" s="85"/>
      <c r="AH53" s="85"/>
      <c r="AI53" s="85"/>
      <c r="AJ53" s="85"/>
      <c r="AK53" s="85"/>
      <c r="AL53" s="85"/>
      <c r="AM53" s="85"/>
      <c r="AN53" s="85"/>
      <c r="AO53" s="85"/>
      <c r="AP53" s="85"/>
      <c r="AQ53" s="85"/>
      <c r="AR53" s="85"/>
      <c r="AS53" s="85"/>
      <c r="AT53" s="81"/>
      <c r="AU53" s="86"/>
      <c r="AV53" s="816">
        <f t="shared" si="37"/>
        <v>0</v>
      </c>
      <c r="AW53" s="816">
        <f t="shared" si="38"/>
        <v>0</v>
      </c>
      <c r="AX53" s="816">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8"/>
      <c r="C54" s="1179"/>
      <c r="D54" s="2300"/>
      <c r="E54" s="80">
        <f t="shared" si="33"/>
        <v>0</v>
      </c>
      <c r="F54" s="81"/>
      <c r="G54" s="82">
        <f t="shared" si="34"/>
        <v>0</v>
      </c>
      <c r="H54" s="83">
        <f t="shared" si="35"/>
        <v>0</v>
      </c>
      <c r="I54" s="1179"/>
      <c r="J54" s="84"/>
      <c r="K54" s="1179"/>
      <c r="L54" s="84"/>
      <c r="M54" s="84"/>
      <c r="N54" s="84"/>
      <c r="O54" s="84"/>
      <c r="P54" s="84"/>
      <c r="Q54" s="84"/>
      <c r="R54" s="84"/>
      <c r="S54" s="84"/>
      <c r="T54" s="84"/>
      <c r="U54" s="84"/>
      <c r="V54" s="84"/>
      <c r="W54" s="84"/>
      <c r="X54" s="84"/>
      <c r="Y54" s="84"/>
      <c r="Z54" s="84"/>
      <c r="AA54" s="84"/>
      <c r="AB54" s="84"/>
      <c r="AC54" s="80">
        <f t="shared" si="36"/>
        <v>0</v>
      </c>
      <c r="AD54" s="85"/>
      <c r="AE54" s="85"/>
      <c r="AF54" s="1179"/>
      <c r="AG54" s="85"/>
      <c r="AH54" s="85"/>
      <c r="AI54" s="85"/>
      <c r="AJ54" s="85"/>
      <c r="AK54" s="85"/>
      <c r="AL54" s="85"/>
      <c r="AM54" s="85"/>
      <c r="AN54" s="85"/>
      <c r="AO54" s="85"/>
      <c r="AP54" s="85"/>
      <c r="AQ54" s="85"/>
      <c r="AR54" s="85"/>
      <c r="AS54" s="85"/>
      <c r="AT54" s="81"/>
      <c r="AU54" s="86"/>
      <c r="AV54" s="816">
        <f t="shared" si="37"/>
        <v>0</v>
      </c>
      <c r="AW54" s="816">
        <f t="shared" si="38"/>
        <v>0</v>
      </c>
      <c r="AX54" s="816">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8"/>
      <c r="C55" s="1179"/>
      <c r="D55" s="2300"/>
      <c r="E55" s="80">
        <f t="shared" si="33"/>
        <v>0</v>
      </c>
      <c r="F55" s="81"/>
      <c r="G55" s="82">
        <f t="shared" si="34"/>
        <v>0</v>
      </c>
      <c r="H55" s="83">
        <f t="shared" si="35"/>
        <v>0</v>
      </c>
      <c r="I55" s="1179"/>
      <c r="J55" s="84"/>
      <c r="K55" s="1179"/>
      <c r="L55" s="84"/>
      <c r="M55" s="1179"/>
      <c r="N55" s="84"/>
      <c r="O55" s="84"/>
      <c r="P55" s="84"/>
      <c r="Q55" s="84"/>
      <c r="R55" s="84"/>
      <c r="S55" s="84"/>
      <c r="T55" s="84"/>
      <c r="U55" s="84"/>
      <c r="V55" s="84"/>
      <c r="W55" s="84"/>
      <c r="X55" s="84"/>
      <c r="Y55" s="84"/>
      <c r="Z55" s="84"/>
      <c r="AA55" s="84"/>
      <c r="AB55" s="84"/>
      <c r="AC55" s="80">
        <f t="shared" si="36"/>
        <v>0</v>
      </c>
      <c r="AD55" s="85"/>
      <c r="AE55" s="85"/>
      <c r="AF55" s="1179"/>
      <c r="AG55" s="85"/>
      <c r="AH55" s="85"/>
      <c r="AI55" s="85"/>
      <c r="AJ55" s="85"/>
      <c r="AK55" s="85"/>
      <c r="AL55" s="85"/>
      <c r="AM55" s="85"/>
      <c r="AN55" s="85"/>
      <c r="AO55" s="85"/>
      <c r="AP55" s="85"/>
      <c r="AQ55" s="85"/>
      <c r="AR55" s="85"/>
      <c r="AS55" s="85"/>
      <c r="AT55" s="81"/>
      <c r="AU55" s="86"/>
      <c r="AV55" s="816">
        <f t="shared" si="37"/>
        <v>0</v>
      </c>
      <c r="AW55" s="816">
        <f t="shared" si="38"/>
        <v>0</v>
      </c>
      <c r="AX55" s="816">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300"/>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6">
        <f t="shared" si="37"/>
        <v>0</v>
      </c>
      <c r="AW56" s="816">
        <f t="shared" si="38"/>
        <v>0</v>
      </c>
      <c r="AX56" s="816">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300"/>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6">
        <f t="shared" si="37"/>
        <v>0</v>
      </c>
      <c r="AW57" s="816">
        <f t="shared" si="38"/>
        <v>0</v>
      </c>
      <c r="AX57" s="816">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300"/>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6">
        <f t="shared" si="37"/>
        <v>0</v>
      </c>
      <c r="AW58" s="816">
        <f t="shared" si="38"/>
        <v>0</v>
      </c>
      <c r="AX58" s="816">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300"/>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6">
        <f t="shared" si="37"/>
        <v>0</v>
      </c>
      <c r="AW59" s="816">
        <f t="shared" si="38"/>
        <v>0</v>
      </c>
      <c r="AX59" s="816">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300"/>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6">
        <f t="shared" si="37"/>
        <v>0</v>
      </c>
      <c r="AW60" s="816">
        <f t="shared" si="38"/>
        <v>0</v>
      </c>
      <c r="AX60" s="816">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300"/>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6">
        <f t="shared" si="37"/>
        <v>0</v>
      </c>
      <c r="AW61" s="816">
        <f t="shared" si="38"/>
        <v>0</v>
      </c>
      <c r="AX61" s="816">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300"/>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6">
        <f t="shared" si="37"/>
        <v>0</v>
      </c>
      <c r="AW62" s="816">
        <f t="shared" si="38"/>
        <v>0</v>
      </c>
      <c r="AX62" s="816">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300"/>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6">
        <f t="shared" si="37"/>
        <v>0</v>
      </c>
      <c r="AW63" s="816">
        <f t="shared" si="38"/>
        <v>0</v>
      </c>
      <c r="AX63" s="816">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300"/>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6">
        <f t="shared" si="37"/>
        <v>0</v>
      </c>
      <c r="AW64" s="816">
        <f t="shared" si="38"/>
        <v>0</v>
      </c>
      <c r="AX64" s="816">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300"/>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6">
        <f t="shared" si="37"/>
        <v>0</v>
      </c>
      <c r="AW65" s="816">
        <f t="shared" si="38"/>
        <v>0</v>
      </c>
      <c r="AX65" s="816">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300"/>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6">
        <f t="shared" si="37"/>
        <v>0</v>
      </c>
      <c r="AW66" s="816">
        <f t="shared" si="38"/>
        <v>0</v>
      </c>
      <c r="AX66" s="816">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300"/>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6">
        <f t="shared" si="37"/>
        <v>0</v>
      </c>
      <c r="AW67" s="816">
        <f t="shared" si="38"/>
        <v>0</v>
      </c>
      <c r="AX67" s="816">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300"/>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6">
        <f t="shared" si="37"/>
        <v>0</v>
      </c>
      <c r="AW68" s="816">
        <f t="shared" si="38"/>
        <v>0</v>
      </c>
      <c r="AX68" s="816">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300"/>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6">
        <f t="shared" si="37"/>
        <v>0</v>
      </c>
      <c r="AW69" s="816">
        <f t="shared" si="38"/>
        <v>0</v>
      </c>
      <c r="AX69" s="816">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300"/>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6">
        <f t="shared" si="37"/>
        <v>0</v>
      </c>
      <c r="AW70" s="816">
        <f t="shared" si="38"/>
        <v>0</v>
      </c>
      <c r="AX70" s="816">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300"/>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6">
        <f t="shared" si="37"/>
        <v>0</v>
      </c>
      <c r="AW71" s="816">
        <f t="shared" si="38"/>
        <v>0</v>
      </c>
      <c r="AX71" s="816">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300"/>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6">
        <f t="shared" si="37"/>
        <v>0</v>
      </c>
      <c r="AW72" s="816">
        <f t="shared" si="38"/>
        <v>0</v>
      </c>
      <c r="AX72" s="816">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300"/>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6">
        <f t="shared" si="37"/>
        <v>0</v>
      </c>
      <c r="AW73" s="816">
        <f t="shared" si="38"/>
        <v>0</v>
      </c>
      <c r="AX73" s="816">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300"/>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6">
        <f t="shared" si="37"/>
        <v>0</v>
      </c>
      <c r="AW74" s="816">
        <f t="shared" si="38"/>
        <v>0</v>
      </c>
      <c r="AX74" s="816">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300"/>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6">
        <f t="shared" si="37"/>
        <v>0</v>
      </c>
      <c r="AW75" s="816">
        <f t="shared" si="38"/>
        <v>0</v>
      </c>
      <c r="AX75" s="816">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300"/>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6">
        <f t="shared" si="37"/>
        <v>0</v>
      </c>
      <c r="AW76" s="816">
        <f t="shared" si="38"/>
        <v>0</v>
      </c>
      <c r="AX76" s="816">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300"/>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6">
        <f t="shared" si="37"/>
        <v>0</v>
      </c>
      <c r="AW77" s="816">
        <f t="shared" si="38"/>
        <v>0</v>
      </c>
      <c r="AX77" s="816">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300"/>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6">
        <f t="shared" si="37"/>
        <v>0</v>
      </c>
      <c r="AW78" s="816">
        <f t="shared" si="38"/>
        <v>0</v>
      </c>
      <c r="AX78" s="816">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300"/>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6">
        <f t="shared" si="37"/>
        <v>0</v>
      </c>
      <c r="AW79" s="816">
        <f t="shared" si="38"/>
        <v>0</v>
      </c>
      <c r="AX79" s="816">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300"/>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6">
        <f t="shared" si="37"/>
        <v>0</v>
      </c>
      <c r="AW80" s="816">
        <f t="shared" si="38"/>
        <v>0</v>
      </c>
      <c r="AX80" s="816">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300"/>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6">
        <f t="shared" si="37"/>
        <v>0</v>
      </c>
      <c r="AW81" s="816">
        <f t="shared" si="38"/>
        <v>0</v>
      </c>
      <c r="AX81" s="816">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300"/>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6">
        <f t="shared" si="37"/>
        <v>0</v>
      </c>
      <c r="AW82" s="816">
        <f t="shared" si="38"/>
        <v>0</v>
      </c>
      <c r="AX82" s="816">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300"/>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6">
        <f t="shared" si="37"/>
        <v>0</v>
      </c>
      <c r="AW83" s="816">
        <f t="shared" si="38"/>
        <v>0</v>
      </c>
      <c r="AX83" s="816">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300"/>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6">
        <f t="shared" si="37"/>
        <v>0</v>
      </c>
      <c r="AW84" s="816">
        <f t="shared" si="38"/>
        <v>0</v>
      </c>
      <c r="AX84" s="816">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300"/>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6">
        <f t="shared" si="37"/>
        <v>0</v>
      </c>
      <c r="AW85" s="816">
        <f t="shared" si="38"/>
        <v>0</v>
      </c>
      <c r="AX85" s="816">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300"/>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6">
        <f t="shared" si="37"/>
        <v>0</v>
      </c>
      <c r="AW86" s="816">
        <f t="shared" si="38"/>
        <v>0</v>
      </c>
      <c r="AX86" s="816">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300"/>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6">
        <f t="shared" si="37"/>
        <v>0</v>
      </c>
      <c r="AW87" s="816">
        <f t="shared" si="38"/>
        <v>0</v>
      </c>
      <c r="AX87" s="816">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300"/>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6">
        <f t="shared" si="37"/>
        <v>0</v>
      </c>
      <c r="AW88" s="816">
        <f t="shared" si="38"/>
        <v>0</v>
      </c>
      <c r="AX88" s="816">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300"/>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6">
        <f t="shared" si="37"/>
        <v>0</v>
      </c>
      <c r="AW89" s="816">
        <f t="shared" si="38"/>
        <v>0</v>
      </c>
      <c r="AX89" s="816">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300"/>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6">
        <f t="shared" si="37"/>
        <v>0</v>
      </c>
      <c r="AW90" s="816">
        <f t="shared" si="38"/>
        <v>0</v>
      </c>
      <c r="AX90" s="816">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300"/>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6">
        <f t="shared" si="37"/>
        <v>0</v>
      </c>
      <c r="AW91" s="816">
        <f t="shared" si="38"/>
        <v>0</v>
      </c>
      <c r="AX91" s="816">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300"/>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6">
        <f t="shared" si="37"/>
        <v>0</v>
      </c>
      <c r="AW92" s="816">
        <f t="shared" si="38"/>
        <v>0</v>
      </c>
      <c r="AX92" s="816">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300"/>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6">
        <f t="shared" si="37"/>
        <v>0</v>
      </c>
      <c r="AW93" s="816">
        <f t="shared" si="38"/>
        <v>0</v>
      </c>
      <c r="AX93" s="816">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300"/>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6">
        <f t="shared" si="37"/>
        <v>0</v>
      </c>
      <c r="AW94" s="816">
        <f t="shared" si="38"/>
        <v>0</v>
      </c>
      <c r="AX94" s="816">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300"/>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6">
        <f t="shared" si="37"/>
        <v>0</v>
      </c>
      <c r="AW95" s="816">
        <f t="shared" si="38"/>
        <v>0</v>
      </c>
      <c r="AX95" s="816">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300"/>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6">
        <f t="shared" si="37"/>
        <v>0</v>
      </c>
      <c r="AW96" s="816">
        <f t="shared" si="38"/>
        <v>0</v>
      </c>
      <c r="AX96" s="816">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300"/>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6">
        <f t="shared" si="37"/>
        <v>0</v>
      </c>
      <c r="AW97" s="816">
        <f t="shared" si="38"/>
        <v>0</v>
      </c>
      <c r="AX97" s="816">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300"/>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6">
        <f t="shared" si="37"/>
        <v>0</v>
      </c>
      <c r="AW98" s="816">
        <f t="shared" si="38"/>
        <v>0</v>
      </c>
      <c r="AX98" s="816">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300"/>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6">
        <f t="shared" si="37"/>
        <v>0</v>
      </c>
      <c r="AW99" s="816">
        <f t="shared" si="38"/>
        <v>0</v>
      </c>
      <c r="AX99" s="816">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300"/>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6">
        <f t="shared" si="37"/>
        <v>0</v>
      </c>
      <c r="AW100" s="816">
        <f t="shared" si="38"/>
        <v>0</v>
      </c>
      <c r="AX100" s="816">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300"/>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6">
        <f t="shared" si="37"/>
        <v>0</v>
      </c>
      <c r="AW101" s="816">
        <f t="shared" si="38"/>
        <v>0</v>
      </c>
      <c r="AX101" s="816">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300"/>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6">
        <f t="shared" si="37"/>
        <v>0</v>
      </c>
      <c r="AW102" s="816">
        <f t="shared" si="38"/>
        <v>0</v>
      </c>
      <c r="AX102" s="816">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300"/>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6">
        <f t="shared" si="37"/>
        <v>0</v>
      </c>
      <c r="AW103" s="816">
        <f t="shared" si="38"/>
        <v>0</v>
      </c>
      <c r="AX103" s="816">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300"/>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6">
        <f t="shared" si="37"/>
        <v>0</v>
      </c>
      <c r="AW104" s="816">
        <f t="shared" si="38"/>
        <v>0</v>
      </c>
      <c r="AX104" s="816">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300"/>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6">
        <f t="shared" si="37"/>
        <v>0</v>
      </c>
      <c r="AW105" s="816">
        <f t="shared" si="38"/>
        <v>0</v>
      </c>
      <c r="AX105" s="816">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300"/>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6">
        <f t="shared" si="37"/>
        <v>0</v>
      </c>
      <c r="AW106" s="816">
        <f t="shared" si="38"/>
        <v>0</v>
      </c>
      <c r="AX106" s="816">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300"/>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6">
        <f t="shared" si="37"/>
        <v>0</v>
      </c>
      <c r="AW107" s="816">
        <f t="shared" si="38"/>
        <v>0</v>
      </c>
      <c r="AX107" s="816">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300"/>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6">
        <f t="shared" si="37"/>
        <v>0</v>
      </c>
      <c r="AW108" s="816">
        <f t="shared" si="38"/>
        <v>0</v>
      </c>
      <c r="AX108" s="816">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300"/>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6">
        <f t="shared" si="37"/>
        <v>0</v>
      </c>
      <c r="AW109" s="816">
        <f t="shared" si="38"/>
        <v>0</v>
      </c>
      <c r="AX109" s="816">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300"/>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6">
        <f t="shared" si="37"/>
        <v>0</v>
      </c>
      <c r="AW110" s="816">
        <f t="shared" si="38"/>
        <v>0</v>
      </c>
      <c r="AX110" s="816">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300"/>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6">
        <f t="shared" si="37"/>
        <v>0</v>
      </c>
      <c r="AW111" s="816">
        <f t="shared" si="38"/>
        <v>0</v>
      </c>
      <c r="AX111" s="816">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300"/>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6">
        <f t="shared" si="37"/>
        <v>0</v>
      </c>
      <c r="AW112" s="816">
        <f t="shared" si="38"/>
        <v>0</v>
      </c>
      <c r="AX112" s="816">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8"/>
      <c r="C113" s="1179"/>
      <c r="D113" s="2300"/>
      <c r="E113" s="80">
        <f t="shared" ref="E113:E144" si="87">IF($C$3="是",ROUND($A$3*G113/$B$3,2),ROUND($A$3*(G113-AT113)/$B$3,2))</f>
        <v>0</v>
      </c>
      <c r="F113" s="81"/>
      <c r="G113" s="82">
        <f t="shared" si="62"/>
        <v>0</v>
      </c>
      <c r="H113" s="83">
        <f t="shared" si="63"/>
        <v>0</v>
      </c>
      <c r="I113" s="1179"/>
      <c r="J113" s="84"/>
      <c r="K113" s="1179"/>
      <c r="L113" s="84"/>
      <c r="M113" s="84"/>
      <c r="N113" s="84"/>
      <c r="O113" s="84"/>
      <c r="P113" s="84"/>
      <c r="Q113" s="84"/>
      <c r="R113" s="84"/>
      <c r="S113" s="84"/>
      <c r="T113" s="84"/>
      <c r="U113" s="84"/>
      <c r="V113" s="84"/>
      <c r="W113" s="84"/>
      <c r="X113" s="84"/>
      <c r="Y113" s="84"/>
      <c r="Z113" s="84"/>
      <c r="AA113" s="84"/>
      <c r="AB113" s="84"/>
      <c r="AC113" s="80">
        <f t="shared" si="64"/>
        <v>0</v>
      </c>
      <c r="AD113" s="85"/>
      <c r="AE113" s="85"/>
      <c r="AF113" s="1180"/>
      <c r="AG113" s="85"/>
      <c r="AH113" s="85"/>
      <c r="AI113" s="85"/>
      <c r="AJ113" s="85"/>
      <c r="AK113" s="85"/>
      <c r="AL113" s="85"/>
      <c r="AM113" s="85"/>
      <c r="AN113" s="1156"/>
      <c r="AO113" s="85"/>
      <c r="AP113" s="85"/>
      <c r="AQ113" s="85"/>
      <c r="AR113" s="85"/>
      <c r="AS113" s="85"/>
      <c r="AT113" s="81"/>
      <c r="AU113" s="86"/>
      <c r="AV113" s="816">
        <f t="shared" ref="AV113:AV144" si="88">A113</f>
        <v>0</v>
      </c>
      <c r="AW113" s="816">
        <f t="shared" ref="AW113:AW144" si="89">B113</f>
        <v>0</v>
      </c>
      <c r="AX113" s="816">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8"/>
      <c r="C114" s="1179"/>
      <c r="D114" s="2300"/>
      <c r="E114" s="80">
        <f t="shared" si="87"/>
        <v>0</v>
      </c>
      <c r="F114" s="81"/>
      <c r="G114" s="82">
        <f t="shared" si="62"/>
        <v>0</v>
      </c>
      <c r="H114" s="83">
        <f t="shared" si="63"/>
        <v>0</v>
      </c>
      <c r="I114" s="1179"/>
      <c r="J114" s="84"/>
      <c r="K114" s="1179"/>
      <c r="L114" s="84"/>
      <c r="M114" s="1156"/>
      <c r="N114" s="84"/>
      <c r="O114" s="84"/>
      <c r="P114" s="84"/>
      <c r="Q114" s="84"/>
      <c r="R114" s="84"/>
      <c r="S114" s="84"/>
      <c r="T114" s="84"/>
      <c r="U114" s="84"/>
      <c r="V114" s="84"/>
      <c r="W114" s="84"/>
      <c r="X114" s="84"/>
      <c r="Y114" s="84"/>
      <c r="Z114" s="84"/>
      <c r="AA114" s="84"/>
      <c r="AB114" s="84"/>
      <c r="AC114" s="80">
        <f t="shared" si="64"/>
        <v>0</v>
      </c>
      <c r="AD114" s="1156"/>
      <c r="AE114" s="85"/>
      <c r="AF114" s="1180"/>
      <c r="AG114" s="85"/>
      <c r="AH114" s="85"/>
      <c r="AI114" s="85"/>
      <c r="AJ114" s="85"/>
      <c r="AK114" s="85"/>
      <c r="AL114" s="1156"/>
      <c r="AM114" s="85"/>
      <c r="AN114" s="1156"/>
      <c r="AO114" s="85"/>
      <c r="AP114" s="85"/>
      <c r="AQ114" s="85"/>
      <c r="AR114" s="85"/>
      <c r="AS114" s="85"/>
      <c r="AT114" s="81"/>
      <c r="AU114" s="86"/>
      <c r="AV114" s="816">
        <f t="shared" si="88"/>
        <v>0</v>
      </c>
      <c r="AW114" s="816">
        <f t="shared" si="89"/>
        <v>0</v>
      </c>
      <c r="AX114" s="816">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8"/>
      <c r="C115" s="1179"/>
      <c r="D115" s="2300"/>
      <c r="E115" s="80">
        <f t="shared" si="87"/>
        <v>0</v>
      </c>
      <c r="F115" s="81"/>
      <c r="G115" s="82">
        <f t="shared" si="62"/>
        <v>0</v>
      </c>
      <c r="H115" s="83">
        <f t="shared" si="63"/>
        <v>0</v>
      </c>
      <c r="I115" s="1179"/>
      <c r="J115" s="84"/>
      <c r="K115" s="1179"/>
      <c r="L115" s="84"/>
      <c r="M115" s="1156"/>
      <c r="N115" s="84"/>
      <c r="O115" s="84"/>
      <c r="P115" s="84"/>
      <c r="Q115" s="84"/>
      <c r="R115" s="84"/>
      <c r="S115" s="84"/>
      <c r="T115" s="84"/>
      <c r="U115" s="84"/>
      <c r="V115" s="84"/>
      <c r="W115" s="84"/>
      <c r="X115" s="84"/>
      <c r="Y115" s="84"/>
      <c r="Z115" s="84"/>
      <c r="AA115" s="84"/>
      <c r="AB115" s="84"/>
      <c r="AC115" s="80">
        <f t="shared" si="64"/>
        <v>0</v>
      </c>
      <c r="AD115" s="85"/>
      <c r="AE115" s="85"/>
      <c r="AF115" s="1180"/>
      <c r="AG115" s="85"/>
      <c r="AH115" s="85"/>
      <c r="AI115" s="85"/>
      <c r="AJ115" s="85"/>
      <c r="AK115" s="85"/>
      <c r="AL115" s="1156"/>
      <c r="AM115" s="85"/>
      <c r="AN115" s="1156"/>
      <c r="AO115" s="85"/>
      <c r="AP115" s="85"/>
      <c r="AQ115" s="85"/>
      <c r="AR115" s="85"/>
      <c r="AS115" s="85"/>
      <c r="AT115" s="81"/>
      <c r="AU115" s="86"/>
      <c r="AV115" s="816">
        <f t="shared" si="88"/>
        <v>0</v>
      </c>
      <c r="AW115" s="816">
        <f t="shared" si="89"/>
        <v>0</v>
      </c>
      <c r="AX115" s="816">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8"/>
      <c r="C116" s="1179"/>
      <c r="D116" s="2300"/>
      <c r="E116" s="80">
        <f t="shared" si="87"/>
        <v>0</v>
      </c>
      <c r="F116" s="81"/>
      <c r="G116" s="82">
        <f t="shared" si="62"/>
        <v>0</v>
      </c>
      <c r="H116" s="83">
        <f t="shared" si="63"/>
        <v>0</v>
      </c>
      <c r="I116" s="1179"/>
      <c r="J116" s="84"/>
      <c r="K116" s="1179"/>
      <c r="L116" s="84"/>
      <c r="M116" s="84"/>
      <c r="N116" s="84"/>
      <c r="O116" s="1156"/>
      <c r="P116" s="84"/>
      <c r="Q116" s="84"/>
      <c r="R116" s="84"/>
      <c r="S116" s="84"/>
      <c r="T116" s="84"/>
      <c r="U116" s="84"/>
      <c r="V116" s="84"/>
      <c r="W116" s="84"/>
      <c r="X116" s="84"/>
      <c r="Y116" s="84"/>
      <c r="Z116" s="84"/>
      <c r="AA116" s="84"/>
      <c r="AB116" s="84"/>
      <c r="AC116" s="80">
        <f t="shared" si="64"/>
        <v>0</v>
      </c>
      <c r="AD116" s="85"/>
      <c r="AE116" s="85"/>
      <c r="AF116" s="1180"/>
      <c r="AG116" s="85"/>
      <c r="AH116" s="85"/>
      <c r="AI116" s="85"/>
      <c r="AJ116" s="85"/>
      <c r="AK116" s="85"/>
      <c r="AL116" s="85"/>
      <c r="AM116" s="85"/>
      <c r="AN116" s="1156"/>
      <c r="AO116" s="85"/>
      <c r="AP116" s="85"/>
      <c r="AQ116" s="85"/>
      <c r="AR116" s="85"/>
      <c r="AS116" s="85"/>
      <c r="AT116" s="81"/>
      <c r="AU116" s="86"/>
      <c r="AV116" s="816">
        <f t="shared" si="88"/>
        <v>0</v>
      </c>
      <c r="AW116" s="816">
        <f t="shared" si="89"/>
        <v>0</v>
      </c>
      <c r="AX116" s="816">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8"/>
      <c r="C117" s="1179"/>
      <c r="D117" s="2300"/>
      <c r="E117" s="80">
        <f t="shared" si="87"/>
        <v>0</v>
      </c>
      <c r="F117" s="81"/>
      <c r="G117" s="82">
        <f t="shared" si="62"/>
        <v>0</v>
      </c>
      <c r="H117" s="83">
        <f t="shared" si="63"/>
        <v>0</v>
      </c>
      <c r="I117" s="1179"/>
      <c r="J117" s="84"/>
      <c r="K117" s="1179"/>
      <c r="L117" s="84"/>
      <c r="M117" s="84"/>
      <c r="N117" s="84"/>
      <c r="O117" s="84"/>
      <c r="P117" s="84"/>
      <c r="Q117" s="84"/>
      <c r="R117" s="84"/>
      <c r="S117" s="84"/>
      <c r="T117" s="84"/>
      <c r="U117" s="84"/>
      <c r="V117" s="84"/>
      <c r="W117" s="84"/>
      <c r="X117" s="84"/>
      <c r="Y117" s="84"/>
      <c r="Z117" s="84"/>
      <c r="AA117" s="84"/>
      <c r="AB117" s="84"/>
      <c r="AC117" s="80">
        <f t="shared" si="64"/>
        <v>0</v>
      </c>
      <c r="AD117" s="85"/>
      <c r="AE117" s="85"/>
      <c r="AF117" s="1180"/>
      <c r="AG117" s="85"/>
      <c r="AH117" s="85"/>
      <c r="AI117" s="85"/>
      <c r="AJ117" s="85"/>
      <c r="AK117" s="85"/>
      <c r="AL117" s="85"/>
      <c r="AM117" s="85"/>
      <c r="AN117" s="85"/>
      <c r="AO117" s="85"/>
      <c r="AP117" s="85"/>
      <c r="AQ117" s="85"/>
      <c r="AR117" s="85"/>
      <c r="AS117" s="85"/>
      <c r="AT117" s="81"/>
      <c r="AU117" s="86"/>
      <c r="AV117" s="816">
        <f t="shared" si="88"/>
        <v>0</v>
      </c>
      <c r="AW117" s="816">
        <f t="shared" si="89"/>
        <v>0</v>
      </c>
      <c r="AX117" s="816">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8"/>
      <c r="C118" s="1179"/>
      <c r="D118" s="2300"/>
      <c r="E118" s="80">
        <f t="shared" si="87"/>
        <v>0</v>
      </c>
      <c r="F118" s="81"/>
      <c r="G118" s="82">
        <f t="shared" si="62"/>
        <v>0</v>
      </c>
      <c r="H118" s="83">
        <f t="shared" si="63"/>
        <v>0</v>
      </c>
      <c r="I118" s="1179"/>
      <c r="J118" s="84"/>
      <c r="K118" s="1179"/>
      <c r="L118" s="84"/>
      <c r="M118" s="84"/>
      <c r="N118" s="84"/>
      <c r="O118" s="84"/>
      <c r="P118" s="84"/>
      <c r="Q118" s="84"/>
      <c r="R118" s="84"/>
      <c r="S118" s="84"/>
      <c r="T118" s="84"/>
      <c r="U118" s="84"/>
      <c r="V118" s="84"/>
      <c r="W118" s="84"/>
      <c r="X118" s="84"/>
      <c r="Y118" s="84"/>
      <c r="Z118" s="84"/>
      <c r="AA118" s="84"/>
      <c r="AB118" s="84"/>
      <c r="AC118" s="80">
        <f t="shared" si="64"/>
        <v>0</v>
      </c>
      <c r="AD118" s="85"/>
      <c r="AE118" s="85"/>
      <c r="AF118" s="1180"/>
      <c r="AG118" s="85"/>
      <c r="AH118" s="85"/>
      <c r="AI118" s="85"/>
      <c r="AJ118" s="85"/>
      <c r="AK118" s="85"/>
      <c r="AL118" s="85"/>
      <c r="AM118" s="85"/>
      <c r="AN118" s="85"/>
      <c r="AO118" s="85"/>
      <c r="AP118" s="85"/>
      <c r="AQ118" s="85"/>
      <c r="AR118" s="85"/>
      <c r="AS118" s="85"/>
      <c r="AT118" s="81"/>
      <c r="AU118" s="86"/>
      <c r="AV118" s="816">
        <f t="shared" si="88"/>
        <v>0</v>
      </c>
      <c r="AW118" s="816">
        <f t="shared" si="89"/>
        <v>0</v>
      </c>
      <c r="AX118" s="816">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8"/>
      <c r="C119" s="1179"/>
      <c r="D119" s="2300"/>
      <c r="E119" s="80">
        <f t="shared" si="87"/>
        <v>0</v>
      </c>
      <c r="F119" s="81"/>
      <c r="G119" s="82">
        <f t="shared" si="62"/>
        <v>0</v>
      </c>
      <c r="H119" s="83">
        <f t="shared" si="63"/>
        <v>0</v>
      </c>
      <c r="I119" s="1179"/>
      <c r="J119" s="84"/>
      <c r="K119" s="1179"/>
      <c r="L119" s="84"/>
      <c r="M119" s="84"/>
      <c r="N119" s="84"/>
      <c r="O119" s="84"/>
      <c r="P119" s="84"/>
      <c r="Q119" s="84"/>
      <c r="R119" s="84"/>
      <c r="S119" s="84"/>
      <c r="T119" s="84"/>
      <c r="U119" s="84"/>
      <c r="V119" s="84"/>
      <c r="W119" s="84"/>
      <c r="X119" s="84"/>
      <c r="Y119" s="84"/>
      <c r="Z119" s="84"/>
      <c r="AA119" s="84"/>
      <c r="AB119" s="84"/>
      <c r="AC119" s="80">
        <f t="shared" si="64"/>
        <v>0</v>
      </c>
      <c r="AD119" s="85"/>
      <c r="AE119" s="85"/>
      <c r="AF119" s="1180"/>
      <c r="AG119" s="85"/>
      <c r="AH119" s="85"/>
      <c r="AI119" s="85"/>
      <c r="AJ119" s="85"/>
      <c r="AK119" s="85"/>
      <c r="AL119" s="85"/>
      <c r="AM119" s="85"/>
      <c r="AN119" s="85"/>
      <c r="AO119" s="85"/>
      <c r="AP119" s="85"/>
      <c r="AQ119" s="85"/>
      <c r="AR119" s="85"/>
      <c r="AS119" s="85"/>
      <c r="AT119" s="81"/>
      <c r="AU119" s="86"/>
      <c r="AV119" s="816">
        <f t="shared" si="88"/>
        <v>0</v>
      </c>
      <c r="AW119" s="816">
        <f t="shared" si="89"/>
        <v>0</v>
      </c>
      <c r="AX119" s="816">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8"/>
      <c r="C120" s="1179"/>
      <c r="D120" s="2300"/>
      <c r="E120" s="80">
        <f t="shared" si="87"/>
        <v>0</v>
      </c>
      <c r="F120" s="81"/>
      <c r="G120" s="82">
        <f t="shared" si="62"/>
        <v>0</v>
      </c>
      <c r="H120" s="83">
        <f t="shared" si="63"/>
        <v>0</v>
      </c>
      <c r="I120" s="1179"/>
      <c r="J120" s="84"/>
      <c r="K120" s="1179"/>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9"/>
      <c r="AG120" s="85"/>
      <c r="AH120" s="85"/>
      <c r="AI120" s="85"/>
      <c r="AJ120" s="85"/>
      <c r="AK120" s="85"/>
      <c r="AL120" s="85"/>
      <c r="AM120" s="85"/>
      <c r="AN120" s="85"/>
      <c r="AO120" s="85"/>
      <c r="AP120" s="85"/>
      <c r="AQ120" s="85"/>
      <c r="AR120" s="85"/>
      <c r="AS120" s="85"/>
      <c r="AT120" s="81"/>
      <c r="AU120" s="86"/>
      <c r="AV120" s="816">
        <f t="shared" si="88"/>
        <v>0</v>
      </c>
      <c r="AW120" s="816">
        <f t="shared" si="89"/>
        <v>0</v>
      </c>
      <c r="AX120" s="816">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8"/>
      <c r="C121" s="1179"/>
      <c r="D121" s="2300"/>
      <c r="E121" s="80">
        <f t="shared" si="87"/>
        <v>0</v>
      </c>
      <c r="F121" s="81"/>
      <c r="G121" s="82">
        <f t="shared" si="62"/>
        <v>0</v>
      </c>
      <c r="H121" s="83">
        <f t="shared" si="63"/>
        <v>0</v>
      </c>
      <c r="I121" s="1179"/>
      <c r="J121" s="84"/>
      <c r="K121" s="1179"/>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9"/>
      <c r="AG121" s="85"/>
      <c r="AH121" s="85"/>
      <c r="AI121" s="85"/>
      <c r="AJ121" s="85"/>
      <c r="AK121" s="85"/>
      <c r="AL121" s="85"/>
      <c r="AM121" s="85"/>
      <c r="AN121" s="85"/>
      <c r="AO121" s="85"/>
      <c r="AP121" s="85"/>
      <c r="AQ121" s="85"/>
      <c r="AR121" s="85"/>
      <c r="AS121" s="85"/>
      <c r="AT121" s="81"/>
      <c r="AU121" s="86"/>
      <c r="AV121" s="816">
        <f t="shared" si="88"/>
        <v>0</v>
      </c>
      <c r="AW121" s="816">
        <f t="shared" si="89"/>
        <v>0</v>
      </c>
      <c r="AX121" s="816">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8"/>
      <c r="C122" s="1179"/>
      <c r="D122" s="2300"/>
      <c r="E122" s="80">
        <f t="shared" si="87"/>
        <v>0</v>
      </c>
      <c r="F122" s="81"/>
      <c r="G122" s="82">
        <f t="shared" si="62"/>
        <v>0</v>
      </c>
      <c r="H122" s="83">
        <f t="shared" si="63"/>
        <v>0</v>
      </c>
      <c r="I122" s="1179"/>
      <c r="J122" s="84"/>
      <c r="K122" s="1179"/>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9"/>
      <c r="AG122" s="85"/>
      <c r="AH122" s="85"/>
      <c r="AI122" s="85"/>
      <c r="AJ122" s="85"/>
      <c r="AK122" s="85"/>
      <c r="AL122" s="85"/>
      <c r="AM122" s="85"/>
      <c r="AN122" s="85"/>
      <c r="AO122" s="85"/>
      <c r="AP122" s="85"/>
      <c r="AQ122" s="85"/>
      <c r="AR122" s="85"/>
      <c r="AS122" s="85"/>
      <c r="AT122" s="81"/>
      <c r="AU122" s="86"/>
      <c r="AV122" s="816">
        <f t="shared" si="88"/>
        <v>0</v>
      </c>
      <c r="AW122" s="816">
        <f t="shared" si="89"/>
        <v>0</v>
      </c>
      <c r="AX122" s="816">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8"/>
      <c r="C123" s="1179"/>
      <c r="D123" s="2300"/>
      <c r="E123" s="80">
        <f t="shared" si="87"/>
        <v>0</v>
      </c>
      <c r="F123" s="81"/>
      <c r="G123" s="82">
        <f t="shared" si="62"/>
        <v>0</v>
      </c>
      <c r="H123" s="83">
        <f t="shared" si="63"/>
        <v>0</v>
      </c>
      <c r="I123" s="1179"/>
      <c r="J123" s="84"/>
      <c r="K123" s="1179"/>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9"/>
      <c r="AG123" s="85"/>
      <c r="AH123" s="85"/>
      <c r="AI123" s="85"/>
      <c r="AJ123" s="85"/>
      <c r="AK123" s="85"/>
      <c r="AL123" s="85"/>
      <c r="AM123" s="85"/>
      <c r="AN123" s="85"/>
      <c r="AO123" s="85"/>
      <c r="AP123" s="85"/>
      <c r="AQ123" s="85"/>
      <c r="AR123" s="85"/>
      <c r="AS123" s="85"/>
      <c r="AT123" s="81"/>
      <c r="AU123" s="86"/>
      <c r="AV123" s="816">
        <f t="shared" si="88"/>
        <v>0</v>
      </c>
      <c r="AW123" s="816">
        <f t="shared" si="89"/>
        <v>0</v>
      </c>
      <c r="AX123" s="816">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8"/>
      <c r="C124" s="1179"/>
      <c r="D124" s="2300"/>
      <c r="E124" s="80">
        <f t="shared" si="87"/>
        <v>0</v>
      </c>
      <c r="F124" s="81"/>
      <c r="G124" s="82">
        <f t="shared" si="62"/>
        <v>0</v>
      </c>
      <c r="H124" s="83">
        <f t="shared" si="63"/>
        <v>0</v>
      </c>
      <c r="I124" s="1179"/>
      <c r="J124" s="84"/>
      <c r="K124" s="1179"/>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9"/>
      <c r="AG124" s="85"/>
      <c r="AH124" s="85"/>
      <c r="AI124" s="85"/>
      <c r="AJ124" s="85"/>
      <c r="AK124" s="85"/>
      <c r="AL124" s="85"/>
      <c r="AM124" s="85"/>
      <c r="AN124" s="85"/>
      <c r="AO124" s="85"/>
      <c r="AP124" s="85"/>
      <c r="AQ124" s="85"/>
      <c r="AR124" s="85"/>
      <c r="AS124" s="85"/>
      <c r="AT124" s="81"/>
      <c r="AU124" s="86"/>
      <c r="AV124" s="816">
        <f t="shared" si="88"/>
        <v>0</v>
      </c>
      <c r="AW124" s="816">
        <f t="shared" si="89"/>
        <v>0</v>
      </c>
      <c r="AX124" s="816">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8"/>
      <c r="C125" s="1179"/>
      <c r="D125" s="2300"/>
      <c r="E125" s="80">
        <f t="shared" si="87"/>
        <v>0</v>
      </c>
      <c r="F125" s="81"/>
      <c r="G125" s="82">
        <f t="shared" si="62"/>
        <v>0</v>
      </c>
      <c r="H125" s="83">
        <f t="shared" si="63"/>
        <v>0</v>
      </c>
      <c r="I125" s="1179"/>
      <c r="J125" s="84"/>
      <c r="K125" s="1179"/>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9"/>
      <c r="AG125" s="85"/>
      <c r="AH125" s="85"/>
      <c r="AI125" s="85"/>
      <c r="AJ125" s="85"/>
      <c r="AK125" s="85"/>
      <c r="AL125" s="85"/>
      <c r="AM125" s="85"/>
      <c r="AN125" s="85"/>
      <c r="AO125" s="85"/>
      <c r="AP125" s="85"/>
      <c r="AQ125" s="85"/>
      <c r="AR125" s="85"/>
      <c r="AS125" s="85"/>
      <c r="AT125" s="81"/>
      <c r="AU125" s="86"/>
      <c r="AV125" s="816">
        <f t="shared" si="88"/>
        <v>0</v>
      </c>
      <c r="AW125" s="816">
        <f t="shared" si="89"/>
        <v>0</v>
      </c>
      <c r="AX125" s="816">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8"/>
      <c r="C126" s="1179"/>
      <c r="D126" s="2300"/>
      <c r="E126" s="80">
        <f t="shared" si="87"/>
        <v>0</v>
      </c>
      <c r="F126" s="81"/>
      <c r="G126" s="82">
        <f t="shared" si="62"/>
        <v>0</v>
      </c>
      <c r="H126" s="83">
        <f t="shared" si="63"/>
        <v>0</v>
      </c>
      <c r="I126" s="1179"/>
      <c r="J126" s="84"/>
      <c r="K126" s="1179"/>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9"/>
      <c r="AG126" s="85"/>
      <c r="AH126" s="85"/>
      <c r="AI126" s="85"/>
      <c r="AJ126" s="85"/>
      <c r="AK126" s="85"/>
      <c r="AL126" s="85"/>
      <c r="AM126" s="85"/>
      <c r="AN126" s="85"/>
      <c r="AO126" s="85"/>
      <c r="AP126" s="85"/>
      <c r="AQ126" s="85"/>
      <c r="AR126" s="85"/>
      <c r="AS126" s="85"/>
      <c r="AT126" s="81"/>
      <c r="AU126" s="86"/>
      <c r="AV126" s="816">
        <f t="shared" si="88"/>
        <v>0</v>
      </c>
      <c r="AW126" s="816">
        <f t="shared" si="89"/>
        <v>0</v>
      </c>
      <c r="AX126" s="816">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8"/>
      <c r="C127" s="1179"/>
      <c r="D127" s="2300"/>
      <c r="E127" s="80">
        <f t="shared" si="87"/>
        <v>0</v>
      </c>
      <c r="F127" s="81"/>
      <c r="G127" s="82">
        <f t="shared" si="62"/>
        <v>0</v>
      </c>
      <c r="H127" s="83">
        <f t="shared" si="63"/>
        <v>0</v>
      </c>
      <c r="I127" s="1179"/>
      <c r="J127" s="84"/>
      <c r="K127" s="1179"/>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9"/>
      <c r="AG127" s="85"/>
      <c r="AH127" s="85"/>
      <c r="AI127" s="85"/>
      <c r="AJ127" s="85"/>
      <c r="AK127" s="85"/>
      <c r="AL127" s="85"/>
      <c r="AM127" s="85"/>
      <c r="AN127" s="85"/>
      <c r="AO127" s="85"/>
      <c r="AP127" s="85"/>
      <c r="AQ127" s="85"/>
      <c r="AR127" s="85"/>
      <c r="AS127" s="85"/>
      <c r="AT127" s="81"/>
      <c r="AU127" s="86"/>
      <c r="AV127" s="816">
        <f t="shared" si="88"/>
        <v>0</v>
      </c>
      <c r="AW127" s="816">
        <f t="shared" si="89"/>
        <v>0</v>
      </c>
      <c r="AX127" s="816">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8"/>
      <c r="C128" s="1179"/>
      <c r="D128" s="2300"/>
      <c r="E128" s="80">
        <f t="shared" si="87"/>
        <v>0</v>
      </c>
      <c r="F128" s="81"/>
      <c r="G128" s="82">
        <f t="shared" si="62"/>
        <v>0</v>
      </c>
      <c r="H128" s="83">
        <f t="shared" si="63"/>
        <v>0</v>
      </c>
      <c r="I128" s="1179"/>
      <c r="J128" s="84"/>
      <c r="K128" s="1179"/>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9"/>
      <c r="AG128" s="85"/>
      <c r="AH128" s="85"/>
      <c r="AI128" s="85"/>
      <c r="AJ128" s="85"/>
      <c r="AK128" s="85"/>
      <c r="AL128" s="85"/>
      <c r="AM128" s="85"/>
      <c r="AN128" s="85"/>
      <c r="AO128" s="85"/>
      <c r="AP128" s="85"/>
      <c r="AQ128" s="85"/>
      <c r="AR128" s="85"/>
      <c r="AS128" s="85"/>
      <c r="AT128" s="81"/>
      <c r="AU128" s="86"/>
      <c r="AV128" s="816">
        <f t="shared" si="88"/>
        <v>0</v>
      </c>
      <c r="AW128" s="816">
        <f t="shared" si="89"/>
        <v>0</v>
      </c>
      <c r="AX128" s="816">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8"/>
      <c r="C129" s="1179"/>
      <c r="D129" s="2300"/>
      <c r="E129" s="80">
        <f t="shared" si="87"/>
        <v>0</v>
      </c>
      <c r="F129" s="81"/>
      <c r="G129" s="82">
        <f t="shared" si="62"/>
        <v>0</v>
      </c>
      <c r="H129" s="83">
        <f t="shared" si="63"/>
        <v>0</v>
      </c>
      <c r="I129" s="1179"/>
      <c r="J129" s="84"/>
      <c r="K129" s="1179"/>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9"/>
      <c r="AG129" s="85"/>
      <c r="AH129" s="85"/>
      <c r="AI129" s="85"/>
      <c r="AJ129" s="85"/>
      <c r="AK129" s="85"/>
      <c r="AL129" s="85"/>
      <c r="AM129" s="85"/>
      <c r="AN129" s="85"/>
      <c r="AO129" s="85"/>
      <c r="AP129" s="85"/>
      <c r="AQ129" s="85"/>
      <c r="AR129" s="85"/>
      <c r="AS129" s="85"/>
      <c r="AT129" s="81"/>
      <c r="AU129" s="86"/>
      <c r="AV129" s="816">
        <f t="shared" si="88"/>
        <v>0</v>
      </c>
      <c r="AW129" s="816">
        <f t="shared" si="89"/>
        <v>0</v>
      </c>
      <c r="AX129" s="816">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8"/>
      <c r="C130" s="1179"/>
      <c r="D130" s="2300"/>
      <c r="E130" s="80">
        <f t="shared" si="87"/>
        <v>0</v>
      </c>
      <c r="F130" s="81"/>
      <c r="G130" s="82">
        <f t="shared" si="62"/>
        <v>0</v>
      </c>
      <c r="H130" s="83">
        <f t="shared" si="63"/>
        <v>0</v>
      </c>
      <c r="I130" s="1179"/>
      <c r="J130" s="84"/>
      <c r="K130" s="1179"/>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9"/>
      <c r="AG130" s="85"/>
      <c r="AH130" s="85"/>
      <c r="AI130" s="85"/>
      <c r="AJ130" s="85"/>
      <c r="AK130" s="85"/>
      <c r="AL130" s="85"/>
      <c r="AM130" s="85"/>
      <c r="AN130" s="85"/>
      <c r="AO130" s="85"/>
      <c r="AP130" s="85"/>
      <c r="AQ130" s="85"/>
      <c r="AR130" s="85"/>
      <c r="AS130" s="85"/>
      <c r="AT130" s="81"/>
      <c r="AU130" s="86"/>
      <c r="AV130" s="816">
        <f t="shared" si="88"/>
        <v>0</v>
      </c>
      <c r="AW130" s="816">
        <f t="shared" si="89"/>
        <v>0</v>
      </c>
      <c r="AX130" s="816">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8"/>
      <c r="C131" s="1179"/>
      <c r="D131" s="2300"/>
      <c r="E131" s="80">
        <f t="shared" si="87"/>
        <v>0</v>
      </c>
      <c r="F131" s="81"/>
      <c r="G131" s="82">
        <f t="shared" si="62"/>
        <v>0</v>
      </c>
      <c r="H131" s="83">
        <f t="shared" si="63"/>
        <v>0</v>
      </c>
      <c r="I131" s="1179"/>
      <c r="J131" s="84"/>
      <c r="K131" s="1179"/>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9"/>
      <c r="AG131" s="85"/>
      <c r="AH131" s="85"/>
      <c r="AI131" s="85"/>
      <c r="AJ131" s="85"/>
      <c r="AK131" s="85"/>
      <c r="AL131" s="85"/>
      <c r="AM131" s="85"/>
      <c r="AN131" s="85"/>
      <c r="AO131" s="85"/>
      <c r="AP131" s="85"/>
      <c r="AQ131" s="85"/>
      <c r="AR131" s="85"/>
      <c r="AS131" s="85"/>
      <c r="AT131" s="81"/>
      <c r="AU131" s="86"/>
      <c r="AV131" s="816">
        <f t="shared" si="88"/>
        <v>0</v>
      </c>
      <c r="AW131" s="816">
        <f t="shared" si="89"/>
        <v>0</v>
      </c>
      <c r="AX131" s="816">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8"/>
      <c r="C132" s="1179"/>
      <c r="D132" s="2300"/>
      <c r="E132" s="80">
        <f t="shared" si="87"/>
        <v>0</v>
      </c>
      <c r="F132" s="81"/>
      <c r="G132" s="82">
        <f t="shared" si="62"/>
        <v>0</v>
      </c>
      <c r="H132" s="83">
        <f t="shared" si="63"/>
        <v>0</v>
      </c>
      <c r="I132" s="1179"/>
      <c r="J132" s="84"/>
      <c r="K132" s="1179"/>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9"/>
      <c r="AG132" s="85"/>
      <c r="AH132" s="85"/>
      <c r="AI132" s="85"/>
      <c r="AJ132" s="85"/>
      <c r="AK132" s="85"/>
      <c r="AL132" s="85"/>
      <c r="AM132" s="85"/>
      <c r="AN132" s="85"/>
      <c r="AO132" s="85"/>
      <c r="AP132" s="85"/>
      <c r="AQ132" s="85"/>
      <c r="AR132" s="85"/>
      <c r="AS132" s="85"/>
      <c r="AT132" s="81"/>
      <c r="AU132" s="86"/>
      <c r="AV132" s="816">
        <f t="shared" si="88"/>
        <v>0</v>
      </c>
      <c r="AW132" s="816">
        <f t="shared" si="89"/>
        <v>0</v>
      </c>
      <c r="AX132" s="816">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8"/>
      <c r="C133" s="1179"/>
      <c r="D133" s="2300"/>
      <c r="E133" s="80">
        <f t="shared" si="87"/>
        <v>0</v>
      </c>
      <c r="F133" s="81"/>
      <c r="G133" s="82">
        <f t="shared" si="62"/>
        <v>0</v>
      </c>
      <c r="H133" s="83">
        <f t="shared" si="63"/>
        <v>0</v>
      </c>
      <c r="I133" s="1179"/>
      <c r="J133" s="84"/>
      <c r="K133" s="1179"/>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9"/>
      <c r="AG133" s="85"/>
      <c r="AH133" s="85"/>
      <c r="AI133" s="85"/>
      <c r="AJ133" s="85"/>
      <c r="AK133" s="85"/>
      <c r="AL133" s="85"/>
      <c r="AM133" s="85"/>
      <c r="AN133" s="85"/>
      <c r="AO133" s="85"/>
      <c r="AP133" s="85"/>
      <c r="AQ133" s="85"/>
      <c r="AR133" s="85"/>
      <c r="AS133" s="85"/>
      <c r="AT133" s="81"/>
      <c r="AU133" s="86"/>
      <c r="AV133" s="816">
        <f t="shared" si="88"/>
        <v>0</v>
      </c>
      <c r="AW133" s="816">
        <f t="shared" si="89"/>
        <v>0</v>
      </c>
      <c r="AX133" s="816">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8"/>
      <c r="C134" s="1179"/>
      <c r="D134" s="2300"/>
      <c r="E134" s="80">
        <f t="shared" si="87"/>
        <v>0</v>
      </c>
      <c r="F134" s="81"/>
      <c r="G134" s="82">
        <f t="shared" si="62"/>
        <v>0</v>
      </c>
      <c r="H134" s="83">
        <f t="shared" si="63"/>
        <v>0</v>
      </c>
      <c r="I134" s="1179"/>
      <c r="J134" s="84"/>
      <c r="K134" s="1179"/>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9"/>
      <c r="AG134" s="85"/>
      <c r="AH134" s="85"/>
      <c r="AI134" s="85"/>
      <c r="AJ134" s="85"/>
      <c r="AK134" s="85"/>
      <c r="AL134" s="85"/>
      <c r="AM134" s="85"/>
      <c r="AN134" s="85"/>
      <c r="AO134" s="85"/>
      <c r="AP134" s="85"/>
      <c r="AQ134" s="85"/>
      <c r="AR134" s="85"/>
      <c r="AS134" s="85"/>
      <c r="AT134" s="81"/>
      <c r="AU134" s="86"/>
      <c r="AV134" s="816">
        <f t="shared" si="88"/>
        <v>0</v>
      </c>
      <c r="AW134" s="816">
        <f t="shared" si="89"/>
        <v>0</v>
      </c>
      <c r="AX134" s="816">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8"/>
      <c r="C135" s="1179"/>
      <c r="D135" s="2300"/>
      <c r="E135" s="80">
        <f t="shared" si="87"/>
        <v>0</v>
      </c>
      <c r="F135" s="81"/>
      <c r="G135" s="82">
        <f t="shared" si="62"/>
        <v>0</v>
      </c>
      <c r="H135" s="83">
        <f t="shared" si="63"/>
        <v>0</v>
      </c>
      <c r="I135" s="1179"/>
      <c r="J135" s="84"/>
      <c r="K135" s="1179"/>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9"/>
      <c r="AG135" s="85"/>
      <c r="AH135" s="85"/>
      <c r="AI135" s="85"/>
      <c r="AJ135" s="85"/>
      <c r="AK135" s="85"/>
      <c r="AL135" s="85"/>
      <c r="AM135" s="85"/>
      <c r="AN135" s="85"/>
      <c r="AO135" s="85"/>
      <c r="AP135" s="85"/>
      <c r="AQ135" s="85"/>
      <c r="AR135" s="85"/>
      <c r="AS135" s="85"/>
      <c r="AT135" s="81"/>
      <c r="AU135" s="86"/>
      <c r="AV135" s="816">
        <f t="shared" si="88"/>
        <v>0</v>
      </c>
      <c r="AW135" s="816">
        <f t="shared" si="89"/>
        <v>0</v>
      </c>
      <c r="AX135" s="816">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8"/>
      <c r="C136" s="1179"/>
      <c r="D136" s="2300"/>
      <c r="E136" s="80">
        <f t="shared" si="87"/>
        <v>0</v>
      </c>
      <c r="F136" s="81"/>
      <c r="G136" s="82">
        <f t="shared" si="62"/>
        <v>0</v>
      </c>
      <c r="H136" s="83">
        <f t="shared" si="63"/>
        <v>0</v>
      </c>
      <c r="I136" s="1179"/>
      <c r="J136" s="84"/>
      <c r="K136" s="1179"/>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9"/>
      <c r="AG136" s="85"/>
      <c r="AH136" s="85"/>
      <c r="AI136" s="85"/>
      <c r="AJ136" s="85"/>
      <c r="AK136" s="85"/>
      <c r="AL136" s="85"/>
      <c r="AM136" s="85"/>
      <c r="AN136" s="85"/>
      <c r="AO136" s="85"/>
      <c r="AP136" s="85"/>
      <c r="AQ136" s="85"/>
      <c r="AR136" s="85"/>
      <c r="AS136" s="85"/>
      <c r="AT136" s="81"/>
      <c r="AU136" s="86"/>
      <c r="AV136" s="816">
        <f t="shared" si="88"/>
        <v>0</v>
      </c>
      <c r="AW136" s="816">
        <f t="shared" si="89"/>
        <v>0</v>
      </c>
      <c r="AX136" s="816">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8"/>
      <c r="C137" s="1179"/>
      <c r="D137" s="2300"/>
      <c r="E137" s="80">
        <f t="shared" si="87"/>
        <v>0</v>
      </c>
      <c r="F137" s="81"/>
      <c r="G137" s="82">
        <f t="shared" si="62"/>
        <v>0</v>
      </c>
      <c r="H137" s="83">
        <f t="shared" si="63"/>
        <v>0</v>
      </c>
      <c r="I137" s="1179"/>
      <c r="J137" s="84"/>
      <c r="K137" s="1179"/>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9"/>
      <c r="AG137" s="85"/>
      <c r="AH137" s="85"/>
      <c r="AI137" s="85"/>
      <c r="AJ137" s="85"/>
      <c r="AK137" s="85"/>
      <c r="AL137" s="85"/>
      <c r="AM137" s="85"/>
      <c r="AN137" s="85"/>
      <c r="AO137" s="85"/>
      <c r="AP137" s="85"/>
      <c r="AQ137" s="85"/>
      <c r="AR137" s="85"/>
      <c r="AS137" s="85"/>
      <c r="AT137" s="81"/>
      <c r="AU137" s="86"/>
      <c r="AV137" s="816">
        <f t="shared" si="88"/>
        <v>0</v>
      </c>
      <c r="AW137" s="816">
        <f t="shared" si="89"/>
        <v>0</v>
      </c>
      <c r="AX137" s="816">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8"/>
      <c r="C138" s="1179"/>
      <c r="D138" s="2300"/>
      <c r="E138" s="80">
        <f t="shared" si="87"/>
        <v>0</v>
      </c>
      <c r="F138" s="81"/>
      <c r="G138" s="82">
        <f t="shared" si="62"/>
        <v>0</v>
      </c>
      <c r="H138" s="83">
        <f t="shared" si="63"/>
        <v>0</v>
      </c>
      <c r="I138" s="1179"/>
      <c r="J138" s="84"/>
      <c r="K138" s="1179"/>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9"/>
      <c r="AG138" s="85"/>
      <c r="AH138" s="85"/>
      <c r="AI138" s="85"/>
      <c r="AJ138" s="85"/>
      <c r="AK138" s="85"/>
      <c r="AL138" s="85"/>
      <c r="AM138" s="85"/>
      <c r="AN138" s="85"/>
      <c r="AO138" s="85"/>
      <c r="AP138" s="85"/>
      <c r="AQ138" s="85"/>
      <c r="AR138" s="85"/>
      <c r="AS138" s="85"/>
      <c r="AT138" s="81"/>
      <c r="AU138" s="86"/>
      <c r="AV138" s="816">
        <f t="shared" si="88"/>
        <v>0</v>
      </c>
      <c r="AW138" s="816">
        <f t="shared" si="89"/>
        <v>0</v>
      </c>
      <c r="AX138" s="816">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8"/>
      <c r="C139" s="1179"/>
      <c r="D139" s="2300"/>
      <c r="E139" s="80">
        <f t="shared" si="87"/>
        <v>0</v>
      </c>
      <c r="F139" s="81"/>
      <c r="G139" s="82">
        <f t="shared" si="62"/>
        <v>0</v>
      </c>
      <c r="H139" s="83">
        <f t="shared" si="63"/>
        <v>0</v>
      </c>
      <c r="I139" s="1179"/>
      <c r="J139" s="84"/>
      <c r="K139" s="1179"/>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9"/>
      <c r="AG139" s="85"/>
      <c r="AH139" s="85"/>
      <c r="AI139" s="85"/>
      <c r="AJ139" s="85"/>
      <c r="AK139" s="85"/>
      <c r="AL139" s="85"/>
      <c r="AM139" s="85"/>
      <c r="AN139" s="85"/>
      <c r="AO139" s="85"/>
      <c r="AP139" s="85"/>
      <c r="AQ139" s="85"/>
      <c r="AR139" s="85"/>
      <c r="AS139" s="85"/>
      <c r="AT139" s="81"/>
      <c r="AU139" s="86"/>
      <c r="AV139" s="816">
        <f t="shared" si="88"/>
        <v>0</v>
      </c>
      <c r="AW139" s="816">
        <f t="shared" si="89"/>
        <v>0</v>
      </c>
      <c r="AX139" s="816">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8"/>
      <c r="C140" s="1179"/>
      <c r="D140" s="2300"/>
      <c r="E140" s="80">
        <f t="shared" si="87"/>
        <v>0</v>
      </c>
      <c r="F140" s="81"/>
      <c r="G140" s="82">
        <f t="shared" si="62"/>
        <v>0</v>
      </c>
      <c r="H140" s="83">
        <f t="shared" si="63"/>
        <v>0</v>
      </c>
      <c r="I140" s="1179"/>
      <c r="J140" s="84"/>
      <c r="K140" s="1179"/>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9"/>
      <c r="AG140" s="85"/>
      <c r="AH140" s="85"/>
      <c r="AI140" s="85"/>
      <c r="AJ140" s="85"/>
      <c r="AK140" s="85"/>
      <c r="AL140" s="85"/>
      <c r="AM140" s="85"/>
      <c r="AN140" s="85"/>
      <c r="AO140" s="85"/>
      <c r="AP140" s="85"/>
      <c r="AQ140" s="85"/>
      <c r="AR140" s="85"/>
      <c r="AS140" s="85"/>
      <c r="AT140" s="81"/>
      <c r="AU140" s="86"/>
      <c r="AV140" s="816">
        <f t="shared" si="88"/>
        <v>0</v>
      </c>
      <c r="AW140" s="816">
        <f t="shared" si="89"/>
        <v>0</v>
      </c>
      <c r="AX140" s="816">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8"/>
      <c r="C141" s="1179"/>
      <c r="D141" s="2300"/>
      <c r="E141" s="80">
        <f t="shared" si="87"/>
        <v>0</v>
      </c>
      <c r="F141" s="81"/>
      <c r="G141" s="82">
        <f t="shared" si="62"/>
        <v>0</v>
      </c>
      <c r="H141" s="83">
        <f t="shared" si="63"/>
        <v>0</v>
      </c>
      <c r="I141" s="1179"/>
      <c r="J141" s="84"/>
      <c r="K141" s="1179"/>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9"/>
      <c r="AG141" s="85"/>
      <c r="AH141" s="85"/>
      <c r="AI141" s="85"/>
      <c r="AJ141" s="85"/>
      <c r="AK141" s="85"/>
      <c r="AL141" s="85"/>
      <c r="AM141" s="85"/>
      <c r="AN141" s="85"/>
      <c r="AO141" s="85"/>
      <c r="AP141" s="85"/>
      <c r="AQ141" s="85"/>
      <c r="AR141" s="85"/>
      <c r="AS141" s="85"/>
      <c r="AT141" s="81"/>
      <c r="AU141" s="86"/>
      <c r="AV141" s="816">
        <f t="shared" si="88"/>
        <v>0</v>
      </c>
      <c r="AW141" s="816">
        <f t="shared" si="89"/>
        <v>0</v>
      </c>
      <c r="AX141" s="816">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8"/>
      <c r="C142" s="1179"/>
      <c r="D142" s="2300"/>
      <c r="E142" s="80">
        <f t="shared" si="87"/>
        <v>0</v>
      </c>
      <c r="F142" s="81"/>
      <c r="G142" s="82">
        <f t="shared" ref="G142:G173" si="91">H142+AC142+AT142</f>
        <v>0</v>
      </c>
      <c r="H142" s="83">
        <f t="shared" ref="H142:H173" si="92">SUMIF(I$12:AB$12,"总值",I142:AB142)</f>
        <v>0</v>
      </c>
      <c r="I142" s="1179"/>
      <c r="J142" s="84"/>
      <c r="K142" s="1179"/>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9"/>
      <c r="AG142" s="85"/>
      <c r="AH142" s="85"/>
      <c r="AI142" s="85"/>
      <c r="AJ142" s="85"/>
      <c r="AK142" s="85"/>
      <c r="AL142" s="85"/>
      <c r="AM142" s="85"/>
      <c r="AN142" s="85"/>
      <c r="AO142" s="85"/>
      <c r="AP142" s="85"/>
      <c r="AQ142" s="85"/>
      <c r="AR142" s="85"/>
      <c r="AS142" s="85"/>
      <c r="AT142" s="81"/>
      <c r="AU142" s="86"/>
      <c r="AV142" s="816">
        <f t="shared" si="88"/>
        <v>0</v>
      </c>
      <c r="AW142" s="816">
        <f t="shared" si="89"/>
        <v>0</v>
      </c>
      <c r="AX142" s="816">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8"/>
      <c r="C143" s="1179"/>
      <c r="D143" s="2300"/>
      <c r="E143" s="80">
        <f t="shared" si="87"/>
        <v>0</v>
      </c>
      <c r="F143" s="81"/>
      <c r="G143" s="82">
        <f t="shared" si="91"/>
        <v>0</v>
      </c>
      <c r="H143" s="83">
        <f t="shared" si="92"/>
        <v>0</v>
      </c>
      <c r="I143" s="1179"/>
      <c r="J143" s="84"/>
      <c r="K143" s="1179"/>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9"/>
      <c r="AG143" s="85"/>
      <c r="AH143" s="85"/>
      <c r="AI143" s="85"/>
      <c r="AJ143" s="85"/>
      <c r="AK143" s="85"/>
      <c r="AL143" s="85"/>
      <c r="AM143" s="85"/>
      <c r="AN143" s="85"/>
      <c r="AO143" s="85"/>
      <c r="AP143" s="85"/>
      <c r="AQ143" s="85"/>
      <c r="AR143" s="85"/>
      <c r="AS143" s="85"/>
      <c r="AT143" s="81"/>
      <c r="AU143" s="86"/>
      <c r="AV143" s="816">
        <f t="shared" si="88"/>
        <v>0</v>
      </c>
      <c r="AW143" s="816">
        <f t="shared" si="89"/>
        <v>0</v>
      </c>
      <c r="AX143" s="816">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8"/>
      <c r="C144" s="1179"/>
      <c r="D144" s="2300"/>
      <c r="E144" s="80">
        <f t="shared" si="87"/>
        <v>0</v>
      </c>
      <c r="F144" s="81"/>
      <c r="G144" s="82">
        <f t="shared" si="91"/>
        <v>0</v>
      </c>
      <c r="H144" s="83">
        <f t="shared" si="92"/>
        <v>0</v>
      </c>
      <c r="I144" s="1179"/>
      <c r="J144" s="84"/>
      <c r="K144" s="1179"/>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9"/>
      <c r="AG144" s="85"/>
      <c r="AH144" s="85"/>
      <c r="AI144" s="85"/>
      <c r="AJ144" s="85"/>
      <c r="AK144" s="85"/>
      <c r="AL144" s="85"/>
      <c r="AM144" s="85"/>
      <c r="AN144" s="85"/>
      <c r="AO144" s="85"/>
      <c r="AP144" s="85"/>
      <c r="AQ144" s="85"/>
      <c r="AR144" s="85"/>
      <c r="AS144" s="85"/>
      <c r="AT144" s="81"/>
      <c r="AU144" s="86"/>
      <c r="AV144" s="816">
        <f t="shared" si="88"/>
        <v>0</v>
      </c>
      <c r="AW144" s="816">
        <f t="shared" si="89"/>
        <v>0</v>
      </c>
      <c r="AX144" s="816">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8"/>
      <c r="C145" s="1179"/>
      <c r="D145" s="2300"/>
      <c r="E145" s="80">
        <f t="shared" ref="E145:E176" si="116">IF($C$3="是",ROUND($A$3*G145/$B$3,2),ROUND($A$3*(G145-AT145)/$B$3,2))</f>
        <v>0</v>
      </c>
      <c r="F145" s="81"/>
      <c r="G145" s="82">
        <f t="shared" si="91"/>
        <v>0</v>
      </c>
      <c r="H145" s="83">
        <f t="shared" si="92"/>
        <v>0</v>
      </c>
      <c r="I145" s="1179"/>
      <c r="J145" s="84"/>
      <c r="K145" s="1179"/>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9"/>
      <c r="AG145" s="85"/>
      <c r="AH145" s="85"/>
      <c r="AI145" s="85"/>
      <c r="AJ145" s="85"/>
      <c r="AK145" s="85"/>
      <c r="AL145" s="85"/>
      <c r="AM145" s="85"/>
      <c r="AN145" s="85"/>
      <c r="AO145" s="85"/>
      <c r="AP145" s="85"/>
      <c r="AQ145" s="85"/>
      <c r="AR145" s="85"/>
      <c r="AS145" s="85"/>
      <c r="AT145" s="81"/>
      <c r="AU145" s="86"/>
      <c r="AV145" s="816">
        <f t="shared" ref="AV145:AV176" si="117">A145</f>
        <v>0</v>
      </c>
      <c r="AW145" s="816">
        <f t="shared" ref="AW145:AW176" si="118">B145</f>
        <v>0</v>
      </c>
      <c r="AX145" s="816">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8"/>
      <c r="C146" s="1179"/>
      <c r="D146" s="2300"/>
      <c r="E146" s="80">
        <f t="shared" si="116"/>
        <v>0</v>
      </c>
      <c r="F146" s="81"/>
      <c r="G146" s="82">
        <f t="shared" si="91"/>
        <v>0</v>
      </c>
      <c r="H146" s="83">
        <f t="shared" si="92"/>
        <v>0</v>
      </c>
      <c r="I146" s="1179"/>
      <c r="J146" s="84"/>
      <c r="K146" s="1179"/>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9"/>
      <c r="AG146" s="85"/>
      <c r="AH146" s="85"/>
      <c r="AI146" s="85"/>
      <c r="AJ146" s="85"/>
      <c r="AK146" s="85"/>
      <c r="AL146" s="85"/>
      <c r="AM146" s="85"/>
      <c r="AN146" s="85"/>
      <c r="AO146" s="85"/>
      <c r="AP146" s="85"/>
      <c r="AQ146" s="85"/>
      <c r="AR146" s="85"/>
      <c r="AS146" s="85"/>
      <c r="AT146" s="81"/>
      <c r="AU146" s="86"/>
      <c r="AV146" s="816">
        <f t="shared" si="117"/>
        <v>0</v>
      </c>
      <c r="AW146" s="816">
        <f t="shared" si="118"/>
        <v>0</v>
      </c>
      <c r="AX146" s="816">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8"/>
      <c r="C147" s="1179"/>
      <c r="D147" s="2300"/>
      <c r="E147" s="80">
        <f t="shared" si="116"/>
        <v>0</v>
      </c>
      <c r="F147" s="81"/>
      <c r="G147" s="82">
        <f t="shared" si="91"/>
        <v>0</v>
      </c>
      <c r="H147" s="83">
        <f t="shared" si="92"/>
        <v>0</v>
      </c>
      <c r="I147" s="1179"/>
      <c r="J147" s="84"/>
      <c r="K147" s="1179"/>
      <c r="L147" s="84"/>
      <c r="M147" s="1179"/>
      <c r="N147" s="84"/>
      <c r="O147" s="84"/>
      <c r="P147" s="84"/>
      <c r="Q147" s="84"/>
      <c r="R147" s="84"/>
      <c r="S147" s="84"/>
      <c r="T147" s="84"/>
      <c r="U147" s="84"/>
      <c r="V147" s="84"/>
      <c r="W147" s="84"/>
      <c r="X147" s="84"/>
      <c r="Y147" s="84"/>
      <c r="Z147" s="84"/>
      <c r="AA147" s="84"/>
      <c r="AB147" s="84"/>
      <c r="AC147" s="80">
        <f t="shared" si="93"/>
        <v>0</v>
      </c>
      <c r="AD147" s="85"/>
      <c r="AE147" s="85"/>
      <c r="AF147" s="1179"/>
      <c r="AG147" s="85"/>
      <c r="AH147" s="85"/>
      <c r="AI147" s="85"/>
      <c r="AJ147" s="85"/>
      <c r="AK147" s="85"/>
      <c r="AL147" s="85"/>
      <c r="AM147" s="85"/>
      <c r="AN147" s="85"/>
      <c r="AO147" s="85"/>
      <c r="AP147" s="85"/>
      <c r="AQ147" s="85"/>
      <c r="AR147" s="85"/>
      <c r="AS147" s="85"/>
      <c r="AT147" s="81"/>
      <c r="AU147" s="86"/>
      <c r="AV147" s="816">
        <f t="shared" si="117"/>
        <v>0</v>
      </c>
      <c r="AW147" s="816">
        <f t="shared" si="118"/>
        <v>0</v>
      </c>
      <c r="AX147" s="816">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300"/>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6">
        <f t="shared" si="117"/>
        <v>0</v>
      </c>
      <c r="AW148" s="816">
        <f t="shared" si="118"/>
        <v>0</v>
      </c>
      <c r="AX148" s="816">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300"/>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6">
        <f t="shared" si="117"/>
        <v>0</v>
      </c>
      <c r="AW149" s="816">
        <f t="shared" si="118"/>
        <v>0</v>
      </c>
      <c r="AX149" s="816">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300"/>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6">
        <f t="shared" si="117"/>
        <v>0</v>
      </c>
      <c r="AW150" s="816">
        <f t="shared" si="118"/>
        <v>0</v>
      </c>
      <c r="AX150" s="816">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300"/>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6">
        <f t="shared" si="117"/>
        <v>0</v>
      </c>
      <c r="AW151" s="816">
        <f t="shared" si="118"/>
        <v>0</v>
      </c>
      <c r="AX151" s="816">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300"/>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6">
        <f t="shared" si="117"/>
        <v>0</v>
      </c>
      <c r="AW152" s="816">
        <f t="shared" si="118"/>
        <v>0</v>
      </c>
      <c r="AX152" s="816">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300"/>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6">
        <f t="shared" si="117"/>
        <v>0</v>
      </c>
      <c r="AW153" s="816">
        <f t="shared" si="118"/>
        <v>0</v>
      </c>
      <c r="AX153" s="816">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300"/>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6">
        <f t="shared" si="117"/>
        <v>0</v>
      </c>
      <c r="AW154" s="816">
        <f t="shared" si="118"/>
        <v>0</v>
      </c>
      <c r="AX154" s="816">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300"/>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6">
        <f t="shared" si="117"/>
        <v>0</v>
      </c>
      <c r="AW155" s="816">
        <f t="shared" si="118"/>
        <v>0</v>
      </c>
      <c r="AX155" s="816">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300"/>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6">
        <f t="shared" si="117"/>
        <v>0</v>
      </c>
      <c r="AW156" s="816">
        <f t="shared" si="118"/>
        <v>0</v>
      </c>
      <c r="AX156" s="816">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300"/>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6">
        <f t="shared" si="117"/>
        <v>0</v>
      </c>
      <c r="AW157" s="816">
        <f t="shared" si="118"/>
        <v>0</v>
      </c>
      <c r="AX157" s="816">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300"/>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6">
        <f t="shared" si="117"/>
        <v>0</v>
      </c>
      <c r="AW158" s="816">
        <f t="shared" si="118"/>
        <v>0</v>
      </c>
      <c r="AX158" s="816">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300"/>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6">
        <f t="shared" si="117"/>
        <v>0</v>
      </c>
      <c r="AW159" s="816">
        <f t="shared" si="118"/>
        <v>0</v>
      </c>
      <c r="AX159" s="816">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300"/>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6">
        <f t="shared" si="117"/>
        <v>0</v>
      </c>
      <c r="AW160" s="816">
        <f t="shared" si="118"/>
        <v>0</v>
      </c>
      <c r="AX160" s="816">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300"/>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6">
        <f t="shared" si="117"/>
        <v>0</v>
      </c>
      <c r="AW161" s="816">
        <f t="shared" si="118"/>
        <v>0</v>
      </c>
      <c r="AX161" s="816">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300"/>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6">
        <f t="shared" si="117"/>
        <v>0</v>
      </c>
      <c r="AW162" s="816">
        <f t="shared" si="118"/>
        <v>0</v>
      </c>
      <c r="AX162" s="816">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300"/>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6">
        <f t="shared" si="117"/>
        <v>0</v>
      </c>
      <c r="AW163" s="816">
        <f t="shared" si="118"/>
        <v>0</v>
      </c>
      <c r="AX163" s="816">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300"/>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6">
        <f t="shared" si="117"/>
        <v>0</v>
      </c>
      <c r="AW164" s="816">
        <f t="shared" si="118"/>
        <v>0</v>
      </c>
      <c r="AX164" s="816">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300"/>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6">
        <f t="shared" si="117"/>
        <v>0</v>
      </c>
      <c r="AW165" s="816">
        <f t="shared" si="118"/>
        <v>0</v>
      </c>
      <c r="AX165" s="816">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300"/>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6">
        <f t="shared" si="117"/>
        <v>0</v>
      </c>
      <c r="AW166" s="816">
        <f t="shared" si="118"/>
        <v>0</v>
      </c>
      <c r="AX166" s="816">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300"/>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6">
        <f t="shared" si="117"/>
        <v>0</v>
      </c>
      <c r="AW167" s="816">
        <f t="shared" si="118"/>
        <v>0</v>
      </c>
      <c r="AX167" s="816">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300"/>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6">
        <f t="shared" si="117"/>
        <v>0</v>
      </c>
      <c r="AW168" s="816">
        <f t="shared" si="118"/>
        <v>0</v>
      </c>
      <c r="AX168" s="816">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300"/>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6">
        <f t="shared" si="117"/>
        <v>0</v>
      </c>
      <c r="AW169" s="816">
        <f t="shared" si="118"/>
        <v>0</v>
      </c>
      <c r="AX169" s="816">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300"/>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6">
        <f t="shared" si="117"/>
        <v>0</v>
      </c>
      <c r="AW170" s="816">
        <f t="shared" si="118"/>
        <v>0</v>
      </c>
      <c r="AX170" s="816">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300"/>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6">
        <f t="shared" si="117"/>
        <v>0</v>
      </c>
      <c r="AW171" s="816">
        <f t="shared" si="118"/>
        <v>0</v>
      </c>
      <c r="AX171" s="816">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300"/>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6">
        <f t="shared" si="117"/>
        <v>0</v>
      </c>
      <c r="AW172" s="816">
        <f t="shared" si="118"/>
        <v>0</v>
      </c>
      <c r="AX172" s="816">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300"/>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6">
        <f t="shared" si="117"/>
        <v>0</v>
      </c>
      <c r="AW173" s="816">
        <f t="shared" si="118"/>
        <v>0</v>
      </c>
      <c r="AX173" s="816">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300"/>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6">
        <f t="shared" si="117"/>
        <v>0</v>
      </c>
      <c r="AW174" s="816">
        <f t="shared" si="118"/>
        <v>0</v>
      </c>
      <c r="AX174" s="816">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300"/>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6">
        <f t="shared" si="117"/>
        <v>0</v>
      </c>
      <c r="AW175" s="816">
        <f t="shared" si="118"/>
        <v>0</v>
      </c>
      <c r="AX175" s="816">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300"/>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6">
        <f t="shared" si="117"/>
        <v>0</v>
      </c>
      <c r="AW176" s="816">
        <f t="shared" si="118"/>
        <v>0</v>
      </c>
      <c r="AX176" s="816">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300"/>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6">
        <f t="shared" ref="AV177:AV204" si="146">A177</f>
        <v>0</v>
      </c>
      <c r="AW177" s="816">
        <f t="shared" ref="AW177:AW204" si="147">B177</f>
        <v>0</v>
      </c>
      <c r="AX177" s="816">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300"/>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6">
        <f t="shared" si="146"/>
        <v>0</v>
      </c>
      <c r="AW178" s="816">
        <f t="shared" si="147"/>
        <v>0</v>
      </c>
      <c r="AX178" s="816">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300"/>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6">
        <f t="shared" si="146"/>
        <v>0</v>
      </c>
      <c r="AW179" s="816">
        <f t="shared" si="147"/>
        <v>0</v>
      </c>
      <c r="AX179" s="816">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300"/>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6">
        <f t="shared" si="146"/>
        <v>0</v>
      </c>
      <c r="AW180" s="816">
        <f t="shared" si="147"/>
        <v>0</v>
      </c>
      <c r="AX180" s="816">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300"/>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6">
        <f t="shared" si="146"/>
        <v>0</v>
      </c>
      <c r="AW181" s="816">
        <f t="shared" si="147"/>
        <v>0</v>
      </c>
      <c r="AX181" s="816">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300"/>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6">
        <f t="shared" si="146"/>
        <v>0</v>
      </c>
      <c r="AW182" s="816">
        <f t="shared" si="147"/>
        <v>0</v>
      </c>
      <c r="AX182" s="816">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300"/>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6">
        <f t="shared" si="146"/>
        <v>0</v>
      </c>
      <c r="AW183" s="816">
        <f t="shared" si="147"/>
        <v>0</v>
      </c>
      <c r="AX183" s="816">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300"/>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6">
        <f t="shared" si="146"/>
        <v>0</v>
      </c>
      <c r="AW184" s="816">
        <f t="shared" si="147"/>
        <v>0</v>
      </c>
      <c r="AX184" s="816">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300"/>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6">
        <f t="shared" si="146"/>
        <v>0</v>
      </c>
      <c r="AW185" s="816">
        <f t="shared" si="147"/>
        <v>0</v>
      </c>
      <c r="AX185" s="816">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300"/>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6">
        <f t="shared" si="146"/>
        <v>0</v>
      </c>
      <c r="AW186" s="816">
        <f t="shared" si="147"/>
        <v>0</v>
      </c>
      <c r="AX186" s="816">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300"/>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6">
        <f t="shared" si="146"/>
        <v>0</v>
      </c>
      <c r="AW187" s="816">
        <f t="shared" si="147"/>
        <v>0</v>
      </c>
      <c r="AX187" s="816">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300"/>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6">
        <f t="shared" si="146"/>
        <v>0</v>
      </c>
      <c r="AW188" s="816">
        <f t="shared" si="147"/>
        <v>0</v>
      </c>
      <c r="AX188" s="816">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300"/>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6">
        <f t="shared" si="146"/>
        <v>0</v>
      </c>
      <c r="AW189" s="816">
        <f t="shared" si="147"/>
        <v>0</v>
      </c>
      <c r="AX189" s="816">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300"/>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6">
        <f t="shared" si="146"/>
        <v>0</v>
      </c>
      <c r="AW190" s="816">
        <f t="shared" si="147"/>
        <v>0</v>
      </c>
      <c r="AX190" s="816">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300"/>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6">
        <f t="shared" si="146"/>
        <v>0</v>
      </c>
      <c r="AW191" s="816">
        <f t="shared" si="147"/>
        <v>0</v>
      </c>
      <c r="AX191" s="816">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300"/>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6">
        <f t="shared" si="146"/>
        <v>0</v>
      </c>
      <c r="AW192" s="816">
        <f t="shared" si="147"/>
        <v>0</v>
      </c>
      <c r="AX192" s="816">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300"/>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6">
        <f t="shared" si="146"/>
        <v>0</v>
      </c>
      <c r="AW193" s="816">
        <f t="shared" si="147"/>
        <v>0</v>
      </c>
      <c r="AX193" s="816">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300"/>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6">
        <f t="shared" si="146"/>
        <v>0</v>
      </c>
      <c r="AW194" s="816">
        <f t="shared" si="147"/>
        <v>0</v>
      </c>
      <c r="AX194" s="816">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300"/>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6">
        <f t="shared" si="146"/>
        <v>0</v>
      </c>
      <c r="AW195" s="816">
        <f t="shared" si="147"/>
        <v>0</v>
      </c>
      <c r="AX195" s="816">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300"/>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6">
        <f t="shared" si="146"/>
        <v>0</v>
      </c>
      <c r="AW196" s="816">
        <f t="shared" si="147"/>
        <v>0</v>
      </c>
      <c r="AX196" s="816">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300"/>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6">
        <f t="shared" si="146"/>
        <v>0</v>
      </c>
      <c r="AW197" s="816">
        <f t="shared" si="147"/>
        <v>0</v>
      </c>
      <c r="AX197" s="816">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300"/>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6">
        <f t="shared" si="146"/>
        <v>0</v>
      </c>
      <c r="AW198" s="816">
        <f t="shared" si="147"/>
        <v>0</v>
      </c>
      <c r="AX198" s="816">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300"/>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6">
        <f t="shared" si="146"/>
        <v>0</v>
      </c>
      <c r="AW199" s="816">
        <f t="shared" si="147"/>
        <v>0</v>
      </c>
      <c r="AX199" s="816">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300"/>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6">
        <f t="shared" si="146"/>
        <v>0</v>
      </c>
      <c r="AW200" s="816">
        <f t="shared" si="147"/>
        <v>0</v>
      </c>
      <c r="AX200" s="816">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300"/>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6">
        <f t="shared" si="146"/>
        <v>0</v>
      </c>
      <c r="AW201" s="816">
        <f t="shared" si="147"/>
        <v>0</v>
      </c>
      <c r="AX201" s="816">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300"/>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6">
        <f t="shared" si="146"/>
        <v>0</v>
      </c>
      <c r="AW202" s="816">
        <f t="shared" si="147"/>
        <v>0</v>
      </c>
      <c r="AX202" s="816">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300"/>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6">
        <f t="shared" si="146"/>
        <v>0</v>
      </c>
      <c r="AW203" s="816">
        <f t="shared" si="147"/>
        <v>0</v>
      </c>
      <c r="AX203" s="816">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300"/>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6">
        <f t="shared" si="146"/>
        <v>0</v>
      </c>
      <c r="AW204" s="816">
        <f t="shared" si="147"/>
        <v>0</v>
      </c>
      <c r="AX204" s="816">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8"/>
      <c r="C205" s="1179"/>
      <c r="D205" s="2300"/>
      <c r="E205" s="80">
        <f t="shared" ref="E205:E296" si="149">IF($C$3="是",ROUND($A$3*G205/$B$3,2),ROUND($A$3*(G205-AT205)/$B$3,2))</f>
        <v>0</v>
      </c>
      <c r="F205" s="81"/>
      <c r="G205" s="82">
        <f t="shared" ref="G205:G293" si="150">H205+AC205+AT205</f>
        <v>0</v>
      </c>
      <c r="H205" s="83">
        <f t="shared" ref="H205:H293" si="151">SUMIF(I$12:AB$12,"总值",I205:AB205)</f>
        <v>0</v>
      </c>
      <c r="I205" s="1179"/>
      <c r="J205" s="84"/>
      <c r="K205" s="1179"/>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80"/>
      <c r="AG205" s="85"/>
      <c r="AH205" s="85"/>
      <c r="AI205" s="85"/>
      <c r="AJ205" s="85"/>
      <c r="AK205" s="85"/>
      <c r="AL205" s="85"/>
      <c r="AM205" s="85"/>
      <c r="AN205" s="1156"/>
      <c r="AO205" s="85"/>
      <c r="AP205" s="85"/>
      <c r="AQ205" s="85"/>
      <c r="AR205" s="85"/>
      <c r="AS205" s="85"/>
      <c r="AT205" s="81"/>
      <c r="AU205" s="86"/>
      <c r="AV205" s="816">
        <f t="shared" ref="AV205:AV296" si="153">A205</f>
        <v>0</v>
      </c>
      <c r="AW205" s="816">
        <f t="shared" ref="AW205:AW296" si="154">B205</f>
        <v>0</v>
      </c>
      <c r="AX205" s="816">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8"/>
      <c r="C206" s="1179"/>
      <c r="D206" s="2300"/>
      <c r="E206" s="80">
        <f t="shared" si="149"/>
        <v>0</v>
      </c>
      <c r="F206" s="81"/>
      <c r="G206" s="82">
        <f t="shared" si="150"/>
        <v>0</v>
      </c>
      <c r="H206" s="83">
        <f t="shared" si="151"/>
        <v>0</v>
      </c>
      <c r="I206" s="1179"/>
      <c r="J206" s="84"/>
      <c r="K206" s="1179"/>
      <c r="L206" s="84"/>
      <c r="M206" s="1156"/>
      <c r="N206" s="84"/>
      <c r="O206" s="84"/>
      <c r="P206" s="84"/>
      <c r="Q206" s="84"/>
      <c r="R206" s="84"/>
      <c r="S206" s="84"/>
      <c r="T206" s="84"/>
      <c r="U206" s="84"/>
      <c r="V206" s="84"/>
      <c r="W206" s="84"/>
      <c r="X206" s="84"/>
      <c r="Y206" s="84"/>
      <c r="Z206" s="84"/>
      <c r="AA206" s="84"/>
      <c r="AB206" s="84"/>
      <c r="AC206" s="80">
        <f t="shared" si="152"/>
        <v>0</v>
      </c>
      <c r="AD206" s="1156"/>
      <c r="AE206" s="85"/>
      <c r="AF206" s="1180"/>
      <c r="AG206" s="85"/>
      <c r="AH206" s="85"/>
      <c r="AI206" s="85"/>
      <c r="AJ206" s="85"/>
      <c r="AK206" s="85"/>
      <c r="AL206" s="1156"/>
      <c r="AM206" s="85"/>
      <c r="AN206" s="1156"/>
      <c r="AO206" s="85"/>
      <c r="AP206" s="85"/>
      <c r="AQ206" s="85"/>
      <c r="AR206" s="85"/>
      <c r="AS206" s="85"/>
      <c r="AT206" s="81"/>
      <c r="AU206" s="86"/>
      <c r="AV206" s="816">
        <f t="shared" si="153"/>
        <v>0</v>
      </c>
      <c r="AW206" s="816">
        <f t="shared" si="154"/>
        <v>0</v>
      </c>
      <c r="AX206" s="816">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8"/>
      <c r="C207" s="1179"/>
      <c r="D207" s="2300"/>
      <c r="E207" s="80">
        <f t="shared" si="149"/>
        <v>0</v>
      </c>
      <c r="F207" s="81"/>
      <c r="G207" s="82">
        <f t="shared" si="150"/>
        <v>0</v>
      </c>
      <c r="H207" s="83">
        <f t="shared" si="151"/>
        <v>0</v>
      </c>
      <c r="I207" s="1179"/>
      <c r="J207" s="84"/>
      <c r="K207" s="1179"/>
      <c r="L207" s="84"/>
      <c r="M207" s="1156"/>
      <c r="N207" s="84"/>
      <c r="O207" s="84"/>
      <c r="P207" s="84"/>
      <c r="Q207" s="84"/>
      <c r="R207" s="84"/>
      <c r="S207" s="84"/>
      <c r="T207" s="84"/>
      <c r="U207" s="84"/>
      <c r="V207" s="84"/>
      <c r="W207" s="84"/>
      <c r="X207" s="84"/>
      <c r="Y207" s="84"/>
      <c r="Z207" s="84"/>
      <c r="AA207" s="84"/>
      <c r="AB207" s="84"/>
      <c r="AC207" s="80">
        <f t="shared" si="152"/>
        <v>0</v>
      </c>
      <c r="AD207" s="85"/>
      <c r="AE207" s="85"/>
      <c r="AF207" s="1180"/>
      <c r="AG207" s="85"/>
      <c r="AH207" s="85"/>
      <c r="AI207" s="85"/>
      <c r="AJ207" s="85"/>
      <c r="AK207" s="85"/>
      <c r="AL207" s="1156"/>
      <c r="AM207" s="85"/>
      <c r="AN207" s="1156"/>
      <c r="AO207" s="85"/>
      <c r="AP207" s="85"/>
      <c r="AQ207" s="85"/>
      <c r="AR207" s="85"/>
      <c r="AS207" s="85"/>
      <c r="AT207" s="81"/>
      <c r="AU207" s="86"/>
      <c r="AV207" s="816">
        <f t="shared" si="153"/>
        <v>0</v>
      </c>
      <c r="AW207" s="816">
        <f t="shared" si="154"/>
        <v>0</v>
      </c>
      <c r="AX207" s="816">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8"/>
      <c r="C208" s="1179"/>
      <c r="D208" s="2300"/>
      <c r="E208" s="80">
        <f t="shared" si="149"/>
        <v>0</v>
      </c>
      <c r="F208" s="81"/>
      <c r="G208" s="82">
        <f t="shared" si="150"/>
        <v>0</v>
      </c>
      <c r="H208" s="83">
        <f t="shared" si="151"/>
        <v>0</v>
      </c>
      <c r="I208" s="1179"/>
      <c r="J208" s="84"/>
      <c r="K208" s="1179"/>
      <c r="L208" s="84"/>
      <c r="M208" s="84"/>
      <c r="N208" s="84"/>
      <c r="O208" s="1156"/>
      <c r="P208" s="84"/>
      <c r="Q208" s="84"/>
      <c r="R208" s="84"/>
      <c r="S208" s="84"/>
      <c r="T208" s="84"/>
      <c r="U208" s="84"/>
      <c r="V208" s="84"/>
      <c r="W208" s="84"/>
      <c r="X208" s="84"/>
      <c r="Y208" s="84"/>
      <c r="Z208" s="84"/>
      <c r="AA208" s="84"/>
      <c r="AB208" s="84"/>
      <c r="AC208" s="80">
        <f t="shared" si="152"/>
        <v>0</v>
      </c>
      <c r="AD208" s="85"/>
      <c r="AE208" s="85"/>
      <c r="AF208" s="1180"/>
      <c r="AG208" s="85"/>
      <c r="AH208" s="85"/>
      <c r="AI208" s="85"/>
      <c r="AJ208" s="85"/>
      <c r="AK208" s="85"/>
      <c r="AL208" s="85"/>
      <c r="AM208" s="85"/>
      <c r="AN208" s="1156"/>
      <c r="AO208" s="85"/>
      <c r="AP208" s="85"/>
      <c r="AQ208" s="85"/>
      <c r="AR208" s="85"/>
      <c r="AS208" s="85"/>
      <c r="AT208" s="81"/>
      <c r="AU208" s="86"/>
      <c r="AV208" s="816">
        <f t="shared" si="153"/>
        <v>0</v>
      </c>
      <c r="AW208" s="816">
        <f t="shared" si="154"/>
        <v>0</v>
      </c>
      <c r="AX208" s="816">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8"/>
      <c r="C209" s="1179"/>
      <c r="D209" s="2300"/>
      <c r="E209" s="80">
        <f t="shared" si="149"/>
        <v>0</v>
      </c>
      <c r="F209" s="81"/>
      <c r="G209" s="82">
        <f t="shared" si="150"/>
        <v>0</v>
      </c>
      <c r="H209" s="83">
        <f t="shared" si="151"/>
        <v>0</v>
      </c>
      <c r="I209" s="1179"/>
      <c r="J209" s="84"/>
      <c r="K209" s="1179"/>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80"/>
      <c r="AG209" s="85"/>
      <c r="AH209" s="85"/>
      <c r="AI209" s="85"/>
      <c r="AJ209" s="85"/>
      <c r="AK209" s="85"/>
      <c r="AL209" s="85"/>
      <c r="AM209" s="85"/>
      <c r="AN209" s="85"/>
      <c r="AO209" s="85"/>
      <c r="AP209" s="85"/>
      <c r="AQ209" s="85"/>
      <c r="AR209" s="85"/>
      <c r="AS209" s="85"/>
      <c r="AT209" s="81"/>
      <c r="AU209" s="86"/>
      <c r="AV209" s="816">
        <f t="shared" si="153"/>
        <v>0</v>
      </c>
      <c r="AW209" s="816">
        <f t="shared" si="154"/>
        <v>0</v>
      </c>
      <c r="AX209" s="816">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8"/>
      <c r="C210" s="1179"/>
      <c r="D210" s="2300"/>
      <c r="E210" s="80">
        <f t="shared" si="149"/>
        <v>0</v>
      </c>
      <c r="F210" s="81"/>
      <c r="G210" s="82">
        <f t="shared" si="150"/>
        <v>0</v>
      </c>
      <c r="H210" s="83">
        <f t="shared" si="151"/>
        <v>0</v>
      </c>
      <c r="I210" s="1179"/>
      <c r="J210" s="84"/>
      <c r="K210" s="1179"/>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80"/>
      <c r="AG210" s="85"/>
      <c r="AH210" s="85"/>
      <c r="AI210" s="85"/>
      <c r="AJ210" s="85"/>
      <c r="AK210" s="85"/>
      <c r="AL210" s="85"/>
      <c r="AM210" s="85"/>
      <c r="AN210" s="85"/>
      <c r="AO210" s="85"/>
      <c r="AP210" s="85"/>
      <c r="AQ210" s="85"/>
      <c r="AR210" s="85"/>
      <c r="AS210" s="85"/>
      <c r="AT210" s="81"/>
      <c r="AU210" s="86"/>
      <c r="AV210" s="816">
        <f t="shared" si="153"/>
        <v>0</v>
      </c>
      <c r="AW210" s="816">
        <f t="shared" si="154"/>
        <v>0</v>
      </c>
      <c r="AX210" s="816">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8"/>
      <c r="C211" s="1179"/>
      <c r="D211" s="2300"/>
      <c r="E211" s="80">
        <f t="shared" si="149"/>
        <v>0</v>
      </c>
      <c r="F211" s="81"/>
      <c r="G211" s="82">
        <f t="shared" si="150"/>
        <v>0</v>
      </c>
      <c r="H211" s="83">
        <f t="shared" si="151"/>
        <v>0</v>
      </c>
      <c r="I211" s="1179"/>
      <c r="J211" s="84"/>
      <c r="K211" s="1179"/>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80"/>
      <c r="AG211" s="85"/>
      <c r="AH211" s="85"/>
      <c r="AI211" s="85"/>
      <c r="AJ211" s="85"/>
      <c r="AK211" s="85"/>
      <c r="AL211" s="85"/>
      <c r="AM211" s="85"/>
      <c r="AN211" s="85"/>
      <c r="AO211" s="85"/>
      <c r="AP211" s="85"/>
      <c r="AQ211" s="85"/>
      <c r="AR211" s="85"/>
      <c r="AS211" s="85"/>
      <c r="AT211" s="81"/>
      <c r="AU211" s="86"/>
      <c r="AV211" s="816">
        <f t="shared" si="153"/>
        <v>0</v>
      </c>
      <c r="AW211" s="816">
        <f t="shared" si="154"/>
        <v>0</v>
      </c>
      <c r="AX211" s="816">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8"/>
      <c r="C212" s="1179"/>
      <c r="D212" s="2300"/>
      <c r="E212" s="80">
        <f t="shared" si="149"/>
        <v>0</v>
      </c>
      <c r="F212" s="81"/>
      <c r="G212" s="82">
        <f t="shared" si="150"/>
        <v>0</v>
      </c>
      <c r="H212" s="83">
        <f t="shared" si="151"/>
        <v>0</v>
      </c>
      <c r="I212" s="1179"/>
      <c r="J212" s="84"/>
      <c r="K212" s="1179"/>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9"/>
      <c r="AG212" s="85"/>
      <c r="AH212" s="85"/>
      <c r="AI212" s="85"/>
      <c r="AJ212" s="85"/>
      <c r="AK212" s="85"/>
      <c r="AL212" s="85"/>
      <c r="AM212" s="85"/>
      <c r="AN212" s="85"/>
      <c r="AO212" s="85"/>
      <c r="AP212" s="85"/>
      <c r="AQ212" s="85"/>
      <c r="AR212" s="85"/>
      <c r="AS212" s="85"/>
      <c r="AT212" s="81"/>
      <c r="AU212" s="86"/>
      <c r="AV212" s="816">
        <f t="shared" si="153"/>
        <v>0</v>
      </c>
      <c r="AW212" s="816">
        <f t="shared" si="154"/>
        <v>0</v>
      </c>
      <c r="AX212" s="816">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8"/>
      <c r="C213" s="1179"/>
      <c r="D213" s="2300"/>
      <c r="E213" s="80">
        <f t="shared" si="149"/>
        <v>0</v>
      </c>
      <c r="F213" s="81"/>
      <c r="G213" s="82">
        <f t="shared" si="150"/>
        <v>0</v>
      </c>
      <c r="H213" s="83">
        <f t="shared" si="151"/>
        <v>0</v>
      </c>
      <c r="I213" s="1179"/>
      <c r="J213" s="84"/>
      <c r="K213" s="1179"/>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9"/>
      <c r="AG213" s="85"/>
      <c r="AH213" s="85"/>
      <c r="AI213" s="85"/>
      <c r="AJ213" s="85"/>
      <c r="AK213" s="85"/>
      <c r="AL213" s="85"/>
      <c r="AM213" s="85"/>
      <c r="AN213" s="85"/>
      <c r="AO213" s="85"/>
      <c r="AP213" s="85"/>
      <c r="AQ213" s="85"/>
      <c r="AR213" s="85"/>
      <c r="AS213" s="85"/>
      <c r="AT213" s="81"/>
      <c r="AU213" s="86"/>
      <c r="AV213" s="816">
        <f t="shared" si="153"/>
        <v>0</v>
      </c>
      <c r="AW213" s="816">
        <f t="shared" si="154"/>
        <v>0</v>
      </c>
      <c r="AX213" s="816">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8"/>
      <c r="C214" s="1179"/>
      <c r="D214" s="2300"/>
      <c r="E214" s="80">
        <f t="shared" si="149"/>
        <v>0</v>
      </c>
      <c r="F214" s="81"/>
      <c r="G214" s="82">
        <f t="shared" si="150"/>
        <v>0</v>
      </c>
      <c r="H214" s="83">
        <f t="shared" si="151"/>
        <v>0</v>
      </c>
      <c r="I214" s="1179"/>
      <c r="J214" s="84"/>
      <c r="K214" s="1179"/>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9"/>
      <c r="AG214" s="85"/>
      <c r="AH214" s="85"/>
      <c r="AI214" s="85"/>
      <c r="AJ214" s="85"/>
      <c r="AK214" s="85"/>
      <c r="AL214" s="85"/>
      <c r="AM214" s="85"/>
      <c r="AN214" s="85"/>
      <c r="AO214" s="85"/>
      <c r="AP214" s="85"/>
      <c r="AQ214" s="85"/>
      <c r="AR214" s="85"/>
      <c r="AS214" s="85"/>
      <c r="AT214" s="81"/>
      <c r="AU214" s="86"/>
      <c r="AV214" s="816">
        <f t="shared" si="153"/>
        <v>0</v>
      </c>
      <c r="AW214" s="816">
        <f t="shared" si="154"/>
        <v>0</v>
      </c>
      <c r="AX214" s="816">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8"/>
      <c r="C215" s="1179"/>
      <c r="D215" s="2300"/>
      <c r="E215" s="80">
        <f t="shared" si="149"/>
        <v>0</v>
      </c>
      <c r="F215" s="81"/>
      <c r="G215" s="82">
        <f t="shared" si="150"/>
        <v>0</v>
      </c>
      <c r="H215" s="83">
        <f t="shared" si="151"/>
        <v>0</v>
      </c>
      <c r="I215" s="1179"/>
      <c r="J215" s="84"/>
      <c r="K215" s="1179"/>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9"/>
      <c r="AG215" s="85"/>
      <c r="AH215" s="85"/>
      <c r="AI215" s="85"/>
      <c r="AJ215" s="85"/>
      <c r="AK215" s="85"/>
      <c r="AL215" s="85"/>
      <c r="AM215" s="85"/>
      <c r="AN215" s="85"/>
      <c r="AO215" s="85"/>
      <c r="AP215" s="85"/>
      <c r="AQ215" s="85"/>
      <c r="AR215" s="85"/>
      <c r="AS215" s="85"/>
      <c r="AT215" s="81"/>
      <c r="AU215" s="86"/>
      <c r="AV215" s="816">
        <f t="shared" si="153"/>
        <v>0</v>
      </c>
      <c r="AW215" s="816">
        <f t="shared" si="154"/>
        <v>0</v>
      </c>
      <c r="AX215" s="816">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8"/>
      <c r="C216" s="1179"/>
      <c r="D216" s="2300"/>
      <c r="E216" s="80">
        <f t="shared" si="149"/>
        <v>0</v>
      </c>
      <c r="F216" s="81"/>
      <c r="G216" s="82">
        <f t="shared" si="150"/>
        <v>0</v>
      </c>
      <c r="H216" s="83">
        <f t="shared" si="151"/>
        <v>0</v>
      </c>
      <c r="I216" s="1179"/>
      <c r="J216" s="84"/>
      <c r="K216" s="1179"/>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9"/>
      <c r="AG216" s="85"/>
      <c r="AH216" s="85"/>
      <c r="AI216" s="85"/>
      <c r="AJ216" s="85"/>
      <c r="AK216" s="85"/>
      <c r="AL216" s="85"/>
      <c r="AM216" s="85"/>
      <c r="AN216" s="85"/>
      <c r="AO216" s="85"/>
      <c r="AP216" s="85"/>
      <c r="AQ216" s="85"/>
      <c r="AR216" s="85"/>
      <c r="AS216" s="85"/>
      <c r="AT216" s="81"/>
      <c r="AU216" s="86"/>
      <c r="AV216" s="816">
        <f t="shared" si="153"/>
        <v>0</v>
      </c>
      <c r="AW216" s="816">
        <f t="shared" si="154"/>
        <v>0</v>
      </c>
      <c r="AX216" s="816">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8"/>
      <c r="C217" s="1179"/>
      <c r="D217" s="2300"/>
      <c r="E217" s="80">
        <f t="shared" si="149"/>
        <v>0</v>
      </c>
      <c r="F217" s="81"/>
      <c r="G217" s="82">
        <f t="shared" si="150"/>
        <v>0</v>
      </c>
      <c r="H217" s="83">
        <f t="shared" si="151"/>
        <v>0</v>
      </c>
      <c r="I217" s="1179"/>
      <c r="J217" s="84"/>
      <c r="K217" s="1179"/>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9"/>
      <c r="AG217" s="85"/>
      <c r="AH217" s="85"/>
      <c r="AI217" s="85"/>
      <c r="AJ217" s="85"/>
      <c r="AK217" s="85"/>
      <c r="AL217" s="85"/>
      <c r="AM217" s="85"/>
      <c r="AN217" s="85"/>
      <c r="AO217" s="85"/>
      <c r="AP217" s="85"/>
      <c r="AQ217" s="85"/>
      <c r="AR217" s="85"/>
      <c r="AS217" s="85"/>
      <c r="AT217" s="81"/>
      <c r="AU217" s="86"/>
      <c r="AV217" s="816">
        <f t="shared" si="153"/>
        <v>0</v>
      </c>
      <c r="AW217" s="816">
        <f t="shared" si="154"/>
        <v>0</v>
      </c>
      <c r="AX217" s="816">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8"/>
      <c r="C218" s="1179"/>
      <c r="D218" s="2300"/>
      <c r="E218" s="80">
        <f t="shared" si="149"/>
        <v>0</v>
      </c>
      <c r="F218" s="81"/>
      <c r="G218" s="82">
        <f t="shared" si="150"/>
        <v>0</v>
      </c>
      <c r="H218" s="83">
        <f t="shared" si="151"/>
        <v>0</v>
      </c>
      <c r="I218" s="1179"/>
      <c r="J218" s="84"/>
      <c r="K218" s="1179"/>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9"/>
      <c r="AG218" s="85"/>
      <c r="AH218" s="85"/>
      <c r="AI218" s="85"/>
      <c r="AJ218" s="85"/>
      <c r="AK218" s="85"/>
      <c r="AL218" s="85"/>
      <c r="AM218" s="85"/>
      <c r="AN218" s="85"/>
      <c r="AO218" s="85"/>
      <c r="AP218" s="85"/>
      <c r="AQ218" s="85"/>
      <c r="AR218" s="85"/>
      <c r="AS218" s="85"/>
      <c r="AT218" s="81"/>
      <c r="AU218" s="86"/>
      <c r="AV218" s="816">
        <f t="shared" si="153"/>
        <v>0</v>
      </c>
      <c r="AW218" s="816">
        <f t="shared" si="154"/>
        <v>0</v>
      </c>
      <c r="AX218" s="816">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8"/>
      <c r="C219" s="1179"/>
      <c r="D219" s="2300"/>
      <c r="E219" s="80">
        <f t="shared" si="149"/>
        <v>0</v>
      </c>
      <c r="F219" s="81"/>
      <c r="G219" s="82">
        <f t="shared" si="150"/>
        <v>0</v>
      </c>
      <c r="H219" s="83">
        <f t="shared" si="151"/>
        <v>0</v>
      </c>
      <c r="I219" s="1179"/>
      <c r="J219" s="84"/>
      <c r="K219" s="1179"/>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9"/>
      <c r="AG219" s="85"/>
      <c r="AH219" s="85"/>
      <c r="AI219" s="85"/>
      <c r="AJ219" s="85"/>
      <c r="AK219" s="85"/>
      <c r="AL219" s="85"/>
      <c r="AM219" s="85"/>
      <c r="AN219" s="85"/>
      <c r="AO219" s="85"/>
      <c r="AP219" s="85"/>
      <c r="AQ219" s="85"/>
      <c r="AR219" s="85"/>
      <c r="AS219" s="85"/>
      <c r="AT219" s="81"/>
      <c r="AU219" s="86"/>
      <c r="AV219" s="816">
        <f t="shared" si="153"/>
        <v>0</v>
      </c>
      <c r="AW219" s="816">
        <f t="shared" si="154"/>
        <v>0</v>
      </c>
      <c r="AX219" s="816">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8"/>
      <c r="C220" s="1179"/>
      <c r="D220" s="2300"/>
      <c r="E220" s="80">
        <f t="shared" si="149"/>
        <v>0</v>
      </c>
      <c r="F220" s="81"/>
      <c r="G220" s="82">
        <f t="shared" si="150"/>
        <v>0</v>
      </c>
      <c r="H220" s="83">
        <f t="shared" si="151"/>
        <v>0</v>
      </c>
      <c r="I220" s="1179"/>
      <c r="J220" s="84"/>
      <c r="K220" s="1179"/>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9"/>
      <c r="AG220" s="85"/>
      <c r="AH220" s="85"/>
      <c r="AI220" s="85"/>
      <c r="AJ220" s="85"/>
      <c r="AK220" s="85"/>
      <c r="AL220" s="85"/>
      <c r="AM220" s="85"/>
      <c r="AN220" s="85"/>
      <c r="AO220" s="85"/>
      <c r="AP220" s="85"/>
      <c r="AQ220" s="85"/>
      <c r="AR220" s="85"/>
      <c r="AS220" s="85"/>
      <c r="AT220" s="81"/>
      <c r="AU220" s="86"/>
      <c r="AV220" s="816">
        <f t="shared" si="153"/>
        <v>0</v>
      </c>
      <c r="AW220" s="816">
        <f t="shared" si="154"/>
        <v>0</v>
      </c>
      <c r="AX220" s="816">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8"/>
      <c r="C221" s="1179"/>
      <c r="D221" s="2300"/>
      <c r="E221" s="80">
        <f t="shared" si="149"/>
        <v>0</v>
      </c>
      <c r="F221" s="81"/>
      <c r="G221" s="82">
        <f t="shared" si="150"/>
        <v>0</v>
      </c>
      <c r="H221" s="83">
        <f t="shared" si="151"/>
        <v>0</v>
      </c>
      <c r="I221" s="1179"/>
      <c r="J221" s="84"/>
      <c r="K221" s="1179"/>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9"/>
      <c r="AG221" s="85"/>
      <c r="AH221" s="85"/>
      <c r="AI221" s="85"/>
      <c r="AJ221" s="85"/>
      <c r="AK221" s="85"/>
      <c r="AL221" s="85"/>
      <c r="AM221" s="85"/>
      <c r="AN221" s="85"/>
      <c r="AO221" s="85"/>
      <c r="AP221" s="85"/>
      <c r="AQ221" s="85"/>
      <c r="AR221" s="85"/>
      <c r="AS221" s="85"/>
      <c r="AT221" s="81"/>
      <c r="AU221" s="86"/>
      <c r="AV221" s="816">
        <f t="shared" si="153"/>
        <v>0</v>
      </c>
      <c r="AW221" s="816">
        <f t="shared" si="154"/>
        <v>0</v>
      </c>
      <c r="AX221" s="816">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8"/>
      <c r="C222" s="1179"/>
      <c r="D222" s="2300"/>
      <c r="E222" s="80">
        <f t="shared" si="149"/>
        <v>0</v>
      </c>
      <c r="F222" s="81"/>
      <c r="G222" s="82">
        <f t="shared" si="150"/>
        <v>0</v>
      </c>
      <c r="H222" s="83">
        <f t="shared" si="151"/>
        <v>0</v>
      </c>
      <c r="I222" s="1179"/>
      <c r="J222" s="84"/>
      <c r="K222" s="1179"/>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9"/>
      <c r="AG222" s="85"/>
      <c r="AH222" s="85"/>
      <c r="AI222" s="85"/>
      <c r="AJ222" s="85"/>
      <c r="AK222" s="85"/>
      <c r="AL222" s="85"/>
      <c r="AM222" s="85"/>
      <c r="AN222" s="85"/>
      <c r="AO222" s="85"/>
      <c r="AP222" s="85"/>
      <c r="AQ222" s="85"/>
      <c r="AR222" s="85"/>
      <c r="AS222" s="85"/>
      <c r="AT222" s="81"/>
      <c r="AU222" s="86"/>
      <c r="AV222" s="816">
        <f t="shared" si="153"/>
        <v>0</v>
      </c>
      <c r="AW222" s="816">
        <f t="shared" si="154"/>
        <v>0</v>
      </c>
      <c r="AX222" s="816">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8"/>
      <c r="C223" s="1179"/>
      <c r="D223" s="2300"/>
      <c r="E223" s="80">
        <f t="shared" si="149"/>
        <v>0</v>
      </c>
      <c r="F223" s="81"/>
      <c r="G223" s="82">
        <f t="shared" si="150"/>
        <v>0</v>
      </c>
      <c r="H223" s="83">
        <f t="shared" si="151"/>
        <v>0</v>
      </c>
      <c r="I223" s="1179"/>
      <c r="J223" s="84"/>
      <c r="K223" s="1179"/>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9"/>
      <c r="AG223" s="85"/>
      <c r="AH223" s="85"/>
      <c r="AI223" s="85"/>
      <c r="AJ223" s="85"/>
      <c r="AK223" s="85"/>
      <c r="AL223" s="85"/>
      <c r="AM223" s="85"/>
      <c r="AN223" s="85"/>
      <c r="AO223" s="85"/>
      <c r="AP223" s="85"/>
      <c r="AQ223" s="85"/>
      <c r="AR223" s="85"/>
      <c r="AS223" s="85"/>
      <c r="AT223" s="81"/>
      <c r="AU223" s="86"/>
      <c r="AV223" s="816">
        <f t="shared" si="153"/>
        <v>0</v>
      </c>
      <c r="AW223" s="816">
        <f t="shared" si="154"/>
        <v>0</v>
      </c>
      <c r="AX223" s="816">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8"/>
      <c r="C224" s="1179"/>
      <c r="D224" s="2300"/>
      <c r="E224" s="80">
        <f t="shared" si="149"/>
        <v>0</v>
      </c>
      <c r="F224" s="81"/>
      <c r="G224" s="82">
        <f t="shared" si="150"/>
        <v>0</v>
      </c>
      <c r="H224" s="83">
        <f t="shared" si="151"/>
        <v>0</v>
      </c>
      <c r="I224" s="1179"/>
      <c r="J224" s="84"/>
      <c r="K224" s="1179"/>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9"/>
      <c r="AG224" s="85"/>
      <c r="AH224" s="85"/>
      <c r="AI224" s="85"/>
      <c r="AJ224" s="85"/>
      <c r="AK224" s="85"/>
      <c r="AL224" s="85"/>
      <c r="AM224" s="85"/>
      <c r="AN224" s="85"/>
      <c r="AO224" s="85"/>
      <c r="AP224" s="85"/>
      <c r="AQ224" s="85"/>
      <c r="AR224" s="85"/>
      <c r="AS224" s="85"/>
      <c r="AT224" s="81"/>
      <c r="AU224" s="86"/>
      <c r="AV224" s="816">
        <f t="shared" si="153"/>
        <v>0</v>
      </c>
      <c r="AW224" s="816">
        <f t="shared" si="154"/>
        <v>0</v>
      </c>
      <c r="AX224" s="816">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8"/>
      <c r="C225" s="1179"/>
      <c r="D225" s="2300"/>
      <c r="E225" s="80">
        <f t="shared" si="149"/>
        <v>0</v>
      </c>
      <c r="F225" s="81"/>
      <c r="G225" s="82">
        <f t="shared" si="150"/>
        <v>0</v>
      </c>
      <c r="H225" s="83">
        <f t="shared" si="151"/>
        <v>0</v>
      </c>
      <c r="I225" s="1179"/>
      <c r="J225" s="84"/>
      <c r="K225" s="1179"/>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9"/>
      <c r="AG225" s="85"/>
      <c r="AH225" s="85"/>
      <c r="AI225" s="85"/>
      <c r="AJ225" s="85"/>
      <c r="AK225" s="85"/>
      <c r="AL225" s="85"/>
      <c r="AM225" s="85"/>
      <c r="AN225" s="85"/>
      <c r="AO225" s="85"/>
      <c r="AP225" s="85"/>
      <c r="AQ225" s="85"/>
      <c r="AR225" s="85"/>
      <c r="AS225" s="85"/>
      <c r="AT225" s="81"/>
      <c r="AU225" s="86"/>
      <c r="AV225" s="816">
        <f t="shared" si="153"/>
        <v>0</v>
      </c>
      <c r="AW225" s="816">
        <f t="shared" si="154"/>
        <v>0</v>
      </c>
      <c r="AX225" s="816">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8"/>
      <c r="C226" s="1179"/>
      <c r="D226" s="2300"/>
      <c r="E226" s="80">
        <f t="shared" si="149"/>
        <v>0</v>
      </c>
      <c r="F226" s="81"/>
      <c r="G226" s="82">
        <f t="shared" si="150"/>
        <v>0</v>
      </c>
      <c r="H226" s="83">
        <f t="shared" si="151"/>
        <v>0</v>
      </c>
      <c r="I226" s="1179"/>
      <c r="J226" s="84"/>
      <c r="K226" s="1179"/>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9"/>
      <c r="AG226" s="85"/>
      <c r="AH226" s="85"/>
      <c r="AI226" s="85"/>
      <c r="AJ226" s="85"/>
      <c r="AK226" s="85"/>
      <c r="AL226" s="85"/>
      <c r="AM226" s="85"/>
      <c r="AN226" s="85"/>
      <c r="AO226" s="85"/>
      <c r="AP226" s="85"/>
      <c r="AQ226" s="85"/>
      <c r="AR226" s="85"/>
      <c r="AS226" s="85"/>
      <c r="AT226" s="81"/>
      <c r="AU226" s="86"/>
      <c r="AV226" s="816">
        <f t="shared" si="153"/>
        <v>0</v>
      </c>
      <c r="AW226" s="816">
        <f t="shared" si="154"/>
        <v>0</v>
      </c>
      <c r="AX226" s="816">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8"/>
      <c r="C227" s="1179"/>
      <c r="D227" s="2300"/>
      <c r="E227" s="80">
        <f t="shared" si="149"/>
        <v>0</v>
      </c>
      <c r="F227" s="81"/>
      <c r="G227" s="82">
        <f t="shared" si="150"/>
        <v>0</v>
      </c>
      <c r="H227" s="83">
        <f t="shared" si="151"/>
        <v>0</v>
      </c>
      <c r="I227" s="1179"/>
      <c r="J227" s="84"/>
      <c r="K227" s="1179"/>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9"/>
      <c r="AG227" s="85"/>
      <c r="AH227" s="85"/>
      <c r="AI227" s="85"/>
      <c r="AJ227" s="85"/>
      <c r="AK227" s="85"/>
      <c r="AL227" s="85"/>
      <c r="AM227" s="85"/>
      <c r="AN227" s="85"/>
      <c r="AO227" s="85"/>
      <c r="AP227" s="85"/>
      <c r="AQ227" s="85"/>
      <c r="AR227" s="85"/>
      <c r="AS227" s="85"/>
      <c r="AT227" s="81"/>
      <c r="AU227" s="86"/>
      <c r="AV227" s="816">
        <f t="shared" si="153"/>
        <v>0</v>
      </c>
      <c r="AW227" s="816">
        <f t="shared" si="154"/>
        <v>0</v>
      </c>
      <c r="AX227" s="816">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8"/>
      <c r="C228" s="1179"/>
      <c r="D228" s="2300"/>
      <c r="E228" s="80">
        <f t="shared" si="149"/>
        <v>0</v>
      </c>
      <c r="F228" s="81"/>
      <c r="G228" s="82">
        <f t="shared" si="150"/>
        <v>0</v>
      </c>
      <c r="H228" s="83">
        <f t="shared" si="151"/>
        <v>0</v>
      </c>
      <c r="I228" s="1179"/>
      <c r="J228" s="84"/>
      <c r="K228" s="1179"/>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9"/>
      <c r="AG228" s="85"/>
      <c r="AH228" s="85"/>
      <c r="AI228" s="85"/>
      <c r="AJ228" s="85"/>
      <c r="AK228" s="85"/>
      <c r="AL228" s="85"/>
      <c r="AM228" s="85"/>
      <c r="AN228" s="85"/>
      <c r="AO228" s="85"/>
      <c r="AP228" s="85"/>
      <c r="AQ228" s="85"/>
      <c r="AR228" s="85"/>
      <c r="AS228" s="85"/>
      <c r="AT228" s="81"/>
      <c r="AU228" s="86"/>
      <c r="AV228" s="816">
        <f t="shared" si="153"/>
        <v>0</v>
      </c>
      <c r="AW228" s="816">
        <f t="shared" si="154"/>
        <v>0</v>
      </c>
      <c r="AX228" s="816">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8"/>
      <c r="C229" s="1179"/>
      <c r="D229" s="2300"/>
      <c r="E229" s="80">
        <f t="shared" si="149"/>
        <v>0</v>
      </c>
      <c r="F229" s="81"/>
      <c r="G229" s="82">
        <f t="shared" si="150"/>
        <v>0</v>
      </c>
      <c r="H229" s="83">
        <f t="shared" si="151"/>
        <v>0</v>
      </c>
      <c r="I229" s="1179"/>
      <c r="J229" s="84"/>
      <c r="K229" s="1179"/>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9"/>
      <c r="AG229" s="85"/>
      <c r="AH229" s="85"/>
      <c r="AI229" s="85"/>
      <c r="AJ229" s="85"/>
      <c r="AK229" s="85"/>
      <c r="AL229" s="85"/>
      <c r="AM229" s="85"/>
      <c r="AN229" s="85"/>
      <c r="AO229" s="85"/>
      <c r="AP229" s="85"/>
      <c r="AQ229" s="85"/>
      <c r="AR229" s="85"/>
      <c r="AS229" s="85"/>
      <c r="AT229" s="81"/>
      <c r="AU229" s="86"/>
      <c r="AV229" s="816">
        <f t="shared" si="153"/>
        <v>0</v>
      </c>
      <c r="AW229" s="816">
        <f t="shared" si="154"/>
        <v>0</v>
      </c>
      <c r="AX229" s="816">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8"/>
      <c r="C230" s="1179"/>
      <c r="D230" s="2300"/>
      <c r="E230" s="80">
        <f t="shared" si="149"/>
        <v>0</v>
      </c>
      <c r="F230" s="81"/>
      <c r="G230" s="82">
        <f t="shared" si="150"/>
        <v>0</v>
      </c>
      <c r="H230" s="83">
        <f t="shared" si="151"/>
        <v>0</v>
      </c>
      <c r="I230" s="1179"/>
      <c r="J230" s="84"/>
      <c r="K230" s="1179"/>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9"/>
      <c r="AG230" s="85"/>
      <c r="AH230" s="85"/>
      <c r="AI230" s="85"/>
      <c r="AJ230" s="85"/>
      <c r="AK230" s="85"/>
      <c r="AL230" s="85"/>
      <c r="AM230" s="85"/>
      <c r="AN230" s="85"/>
      <c r="AO230" s="85"/>
      <c r="AP230" s="85"/>
      <c r="AQ230" s="85"/>
      <c r="AR230" s="85"/>
      <c r="AS230" s="85"/>
      <c r="AT230" s="81"/>
      <c r="AU230" s="86"/>
      <c r="AV230" s="816">
        <f t="shared" si="153"/>
        <v>0</v>
      </c>
      <c r="AW230" s="816">
        <f t="shared" si="154"/>
        <v>0</v>
      </c>
      <c r="AX230" s="816">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8"/>
      <c r="C231" s="1179"/>
      <c r="D231" s="2300"/>
      <c r="E231" s="80">
        <f t="shared" si="149"/>
        <v>0</v>
      </c>
      <c r="F231" s="81"/>
      <c r="G231" s="82">
        <f t="shared" si="150"/>
        <v>0</v>
      </c>
      <c r="H231" s="83">
        <f t="shared" si="151"/>
        <v>0</v>
      </c>
      <c r="I231" s="1179"/>
      <c r="J231" s="84"/>
      <c r="K231" s="1179"/>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9"/>
      <c r="AG231" s="85"/>
      <c r="AH231" s="85"/>
      <c r="AI231" s="85"/>
      <c r="AJ231" s="85"/>
      <c r="AK231" s="85"/>
      <c r="AL231" s="85"/>
      <c r="AM231" s="85"/>
      <c r="AN231" s="85"/>
      <c r="AO231" s="85"/>
      <c r="AP231" s="85"/>
      <c r="AQ231" s="85"/>
      <c r="AR231" s="85"/>
      <c r="AS231" s="85"/>
      <c r="AT231" s="81"/>
      <c r="AU231" s="86"/>
      <c r="AV231" s="816">
        <f t="shared" si="153"/>
        <v>0</v>
      </c>
      <c r="AW231" s="816">
        <f t="shared" si="154"/>
        <v>0</v>
      </c>
      <c r="AX231" s="816">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8"/>
      <c r="C232" s="1179"/>
      <c r="D232" s="2300"/>
      <c r="E232" s="80">
        <f t="shared" si="149"/>
        <v>0</v>
      </c>
      <c r="F232" s="81"/>
      <c r="G232" s="82">
        <f t="shared" si="150"/>
        <v>0</v>
      </c>
      <c r="H232" s="83">
        <f t="shared" si="151"/>
        <v>0</v>
      </c>
      <c r="I232" s="1179"/>
      <c r="J232" s="84"/>
      <c r="K232" s="1179"/>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9"/>
      <c r="AG232" s="85"/>
      <c r="AH232" s="85"/>
      <c r="AI232" s="85"/>
      <c r="AJ232" s="85"/>
      <c r="AK232" s="85"/>
      <c r="AL232" s="85"/>
      <c r="AM232" s="85"/>
      <c r="AN232" s="85"/>
      <c r="AO232" s="85"/>
      <c r="AP232" s="85"/>
      <c r="AQ232" s="85"/>
      <c r="AR232" s="85"/>
      <c r="AS232" s="85"/>
      <c r="AT232" s="81"/>
      <c r="AU232" s="86"/>
      <c r="AV232" s="816">
        <f t="shared" si="153"/>
        <v>0</v>
      </c>
      <c r="AW232" s="816">
        <f t="shared" si="154"/>
        <v>0</v>
      </c>
      <c r="AX232" s="816">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8"/>
      <c r="C233" s="1179"/>
      <c r="D233" s="2300"/>
      <c r="E233" s="80">
        <f t="shared" si="149"/>
        <v>0</v>
      </c>
      <c r="F233" s="81"/>
      <c r="G233" s="82">
        <f t="shared" si="150"/>
        <v>0</v>
      </c>
      <c r="H233" s="83">
        <f t="shared" si="151"/>
        <v>0</v>
      </c>
      <c r="I233" s="1179"/>
      <c r="J233" s="84"/>
      <c r="K233" s="1179"/>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9"/>
      <c r="AG233" s="85"/>
      <c r="AH233" s="85"/>
      <c r="AI233" s="85"/>
      <c r="AJ233" s="85"/>
      <c r="AK233" s="85"/>
      <c r="AL233" s="85"/>
      <c r="AM233" s="85"/>
      <c r="AN233" s="85"/>
      <c r="AO233" s="85"/>
      <c r="AP233" s="85"/>
      <c r="AQ233" s="85"/>
      <c r="AR233" s="85"/>
      <c r="AS233" s="85"/>
      <c r="AT233" s="81"/>
      <c r="AU233" s="86"/>
      <c r="AV233" s="816">
        <f t="shared" si="153"/>
        <v>0</v>
      </c>
      <c r="AW233" s="816">
        <f t="shared" si="154"/>
        <v>0</v>
      </c>
      <c r="AX233" s="816">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8"/>
      <c r="C234" s="1179"/>
      <c r="D234" s="2300"/>
      <c r="E234" s="80">
        <f t="shared" si="149"/>
        <v>0</v>
      </c>
      <c r="F234" s="81"/>
      <c r="G234" s="82">
        <f t="shared" si="150"/>
        <v>0</v>
      </c>
      <c r="H234" s="83">
        <f t="shared" si="151"/>
        <v>0</v>
      </c>
      <c r="I234" s="1179"/>
      <c r="J234" s="84"/>
      <c r="K234" s="1179"/>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9"/>
      <c r="AG234" s="85"/>
      <c r="AH234" s="85"/>
      <c r="AI234" s="85"/>
      <c r="AJ234" s="85"/>
      <c r="AK234" s="85"/>
      <c r="AL234" s="85"/>
      <c r="AM234" s="85"/>
      <c r="AN234" s="85"/>
      <c r="AO234" s="85"/>
      <c r="AP234" s="85"/>
      <c r="AQ234" s="85"/>
      <c r="AR234" s="85"/>
      <c r="AS234" s="85"/>
      <c r="AT234" s="81"/>
      <c r="AU234" s="86"/>
      <c r="AV234" s="816">
        <f t="shared" si="153"/>
        <v>0</v>
      </c>
      <c r="AW234" s="816">
        <f t="shared" si="154"/>
        <v>0</v>
      </c>
      <c r="AX234" s="816">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8"/>
      <c r="C235" s="1179"/>
      <c r="D235" s="2300"/>
      <c r="E235" s="80">
        <f t="shared" si="149"/>
        <v>0</v>
      </c>
      <c r="F235" s="81"/>
      <c r="G235" s="82">
        <f t="shared" si="150"/>
        <v>0</v>
      </c>
      <c r="H235" s="83">
        <f t="shared" si="151"/>
        <v>0</v>
      </c>
      <c r="I235" s="1179"/>
      <c r="J235" s="84"/>
      <c r="K235" s="1179"/>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9"/>
      <c r="AG235" s="85"/>
      <c r="AH235" s="85"/>
      <c r="AI235" s="85"/>
      <c r="AJ235" s="85"/>
      <c r="AK235" s="85"/>
      <c r="AL235" s="85"/>
      <c r="AM235" s="85"/>
      <c r="AN235" s="85"/>
      <c r="AO235" s="85"/>
      <c r="AP235" s="85"/>
      <c r="AQ235" s="85"/>
      <c r="AR235" s="85"/>
      <c r="AS235" s="85"/>
      <c r="AT235" s="81"/>
      <c r="AU235" s="86"/>
      <c r="AV235" s="816">
        <f t="shared" si="153"/>
        <v>0</v>
      </c>
      <c r="AW235" s="816">
        <f t="shared" si="154"/>
        <v>0</v>
      </c>
      <c r="AX235" s="816">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8"/>
      <c r="C236" s="1179"/>
      <c r="D236" s="2300"/>
      <c r="E236" s="80">
        <f t="shared" si="149"/>
        <v>0</v>
      </c>
      <c r="F236" s="81"/>
      <c r="G236" s="82">
        <f t="shared" si="150"/>
        <v>0</v>
      </c>
      <c r="H236" s="83">
        <f t="shared" si="151"/>
        <v>0</v>
      </c>
      <c r="I236" s="1179"/>
      <c r="J236" s="84"/>
      <c r="K236" s="1179"/>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9"/>
      <c r="AG236" s="85"/>
      <c r="AH236" s="85"/>
      <c r="AI236" s="85"/>
      <c r="AJ236" s="85"/>
      <c r="AK236" s="85"/>
      <c r="AL236" s="85"/>
      <c r="AM236" s="85"/>
      <c r="AN236" s="85"/>
      <c r="AO236" s="85"/>
      <c r="AP236" s="85"/>
      <c r="AQ236" s="85"/>
      <c r="AR236" s="85"/>
      <c r="AS236" s="85"/>
      <c r="AT236" s="81"/>
      <c r="AU236" s="86"/>
      <c r="AV236" s="816">
        <f t="shared" si="153"/>
        <v>0</v>
      </c>
      <c r="AW236" s="816">
        <f t="shared" si="154"/>
        <v>0</v>
      </c>
      <c r="AX236" s="816">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8"/>
      <c r="C237" s="1179"/>
      <c r="D237" s="2300"/>
      <c r="E237" s="80">
        <f t="shared" si="149"/>
        <v>0</v>
      </c>
      <c r="F237" s="81"/>
      <c r="G237" s="82">
        <f t="shared" si="150"/>
        <v>0</v>
      </c>
      <c r="H237" s="83">
        <f t="shared" si="151"/>
        <v>0</v>
      </c>
      <c r="I237" s="1179"/>
      <c r="J237" s="84"/>
      <c r="K237" s="1179"/>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9"/>
      <c r="AG237" s="85"/>
      <c r="AH237" s="85"/>
      <c r="AI237" s="85"/>
      <c r="AJ237" s="85"/>
      <c r="AK237" s="85"/>
      <c r="AL237" s="85"/>
      <c r="AM237" s="85"/>
      <c r="AN237" s="85"/>
      <c r="AO237" s="85"/>
      <c r="AP237" s="85"/>
      <c r="AQ237" s="85"/>
      <c r="AR237" s="85"/>
      <c r="AS237" s="85"/>
      <c r="AT237" s="81"/>
      <c r="AU237" s="86"/>
      <c r="AV237" s="816">
        <f t="shared" si="153"/>
        <v>0</v>
      </c>
      <c r="AW237" s="816">
        <f t="shared" si="154"/>
        <v>0</v>
      </c>
      <c r="AX237" s="816">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8"/>
      <c r="C238" s="1179"/>
      <c r="D238" s="2300"/>
      <c r="E238" s="80">
        <f t="shared" si="149"/>
        <v>0</v>
      </c>
      <c r="F238" s="81"/>
      <c r="G238" s="82">
        <f t="shared" si="150"/>
        <v>0</v>
      </c>
      <c r="H238" s="83">
        <f t="shared" si="151"/>
        <v>0</v>
      </c>
      <c r="I238" s="1179"/>
      <c r="J238" s="84"/>
      <c r="K238" s="1179"/>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9"/>
      <c r="AG238" s="85"/>
      <c r="AH238" s="85"/>
      <c r="AI238" s="85"/>
      <c r="AJ238" s="85"/>
      <c r="AK238" s="85"/>
      <c r="AL238" s="85"/>
      <c r="AM238" s="85"/>
      <c r="AN238" s="85"/>
      <c r="AO238" s="85"/>
      <c r="AP238" s="85"/>
      <c r="AQ238" s="85"/>
      <c r="AR238" s="85"/>
      <c r="AS238" s="85"/>
      <c r="AT238" s="81"/>
      <c r="AU238" s="86"/>
      <c r="AV238" s="816">
        <f t="shared" si="153"/>
        <v>0</v>
      </c>
      <c r="AW238" s="816">
        <f t="shared" si="154"/>
        <v>0</v>
      </c>
      <c r="AX238" s="816">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8"/>
      <c r="C239" s="1179"/>
      <c r="D239" s="2300"/>
      <c r="E239" s="80">
        <f t="shared" si="149"/>
        <v>0</v>
      </c>
      <c r="F239" s="81"/>
      <c r="G239" s="82">
        <f t="shared" si="150"/>
        <v>0</v>
      </c>
      <c r="H239" s="83">
        <f t="shared" si="151"/>
        <v>0</v>
      </c>
      <c r="I239" s="1179"/>
      <c r="J239" s="84"/>
      <c r="K239" s="1179"/>
      <c r="L239" s="84"/>
      <c r="M239" s="1179"/>
      <c r="N239" s="84"/>
      <c r="O239" s="84"/>
      <c r="P239" s="84"/>
      <c r="Q239" s="84"/>
      <c r="R239" s="84"/>
      <c r="S239" s="84"/>
      <c r="T239" s="84"/>
      <c r="U239" s="84"/>
      <c r="V239" s="84"/>
      <c r="W239" s="84"/>
      <c r="X239" s="84"/>
      <c r="Y239" s="84"/>
      <c r="Z239" s="84"/>
      <c r="AA239" s="84"/>
      <c r="AB239" s="84"/>
      <c r="AC239" s="80">
        <f t="shared" si="152"/>
        <v>0</v>
      </c>
      <c r="AD239" s="85"/>
      <c r="AE239" s="85"/>
      <c r="AF239" s="1179"/>
      <c r="AG239" s="85"/>
      <c r="AH239" s="85"/>
      <c r="AI239" s="85"/>
      <c r="AJ239" s="85"/>
      <c r="AK239" s="85"/>
      <c r="AL239" s="85"/>
      <c r="AM239" s="85"/>
      <c r="AN239" s="85"/>
      <c r="AO239" s="85"/>
      <c r="AP239" s="85"/>
      <c r="AQ239" s="85"/>
      <c r="AR239" s="85"/>
      <c r="AS239" s="85"/>
      <c r="AT239" s="81"/>
      <c r="AU239" s="86"/>
      <c r="AV239" s="816">
        <f t="shared" si="153"/>
        <v>0</v>
      </c>
      <c r="AW239" s="816">
        <f t="shared" si="154"/>
        <v>0</v>
      </c>
      <c r="AX239" s="816">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300"/>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6">
        <f t="shared" si="153"/>
        <v>0</v>
      </c>
      <c r="AW240" s="816">
        <f t="shared" si="154"/>
        <v>0</v>
      </c>
      <c r="AX240" s="816">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300"/>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6">
        <f t="shared" si="153"/>
        <v>0</v>
      </c>
      <c r="AW241" s="816">
        <f t="shared" si="154"/>
        <v>0</v>
      </c>
      <c r="AX241" s="816">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300"/>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6">
        <f t="shared" si="153"/>
        <v>0</v>
      </c>
      <c r="AW242" s="816">
        <f t="shared" si="154"/>
        <v>0</v>
      </c>
      <c r="AX242" s="816">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300"/>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6">
        <f t="shared" si="153"/>
        <v>0</v>
      </c>
      <c r="AW243" s="816">
        <f t="shared" si="154"/>
        <v>0</v>
      </c>
      <c r="AX243" s="816">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300"/>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6">
        <f t="shared" si="153"/>
        <v>0</v>
      </c>
      <c r="AW244" s="816">
        <f t="shared" si="154"/>
        <v>0</v>
      </c>
      <c r="AX244" s="816">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300"/>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6">
        <f t="shared" si="153"/>
        <v>0</v>
      </c>
      <c r="AW245" s="816">
        <f t="shared" si="154"/>
        <v>0</v>
      </c>
      <c r="AX245" s="816">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300"/>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6">
        <f t="shared" si="153"/>
        <v>0</v>
      </c>
      <c r="AW246" s="816">
        <f t="shared" si="154"/>
        <v>0</v>
      </c>
      <c r="AX246" s="816">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300"/>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6">
        <f t="shared" si="153"/>
        <v>0</v>
      </c>
      <c r="AW247" s="816">
        <f t="shared" si="154"/>
        <v>0</v>
      </c>
      <c r="AX247" s="816">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300"/>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6">
        <f t="shared" si="153"/>
        <v>0</v>
      </c>
      <c r="AW248" s="816">
        <f t="shared" si="154"/>
        <v>0</v>
      </c>
      <c r="AX248" s="816">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300"/>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6">
        <f t="shared" si="153"/>
        <v>0</v>
      </c>
      <c r="AW249" s="816">
        <f t="shared" si="154"/>
        <v>0</v>
      </c>
      <c r="AX249" s="816">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300"/>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6">
        <f t="shared" si="153"/>
        <v>0</v>
      </c>
      <c r="AW250" s="816">
        <f t="shared" si="154"/>
        <v>0</v>
      </c>
      <c r="AX250" s="816">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300"/>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6">
        <f t="shared" si="153"/>
        <v>0</v>
      </c>
      <c r="AW251" s="816">
        <f t="shared" si="154"/>
        <v>0</v>
      </c>
      <c r="AX251" s="816">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300"/>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6">
        <f t="shared" si="153"/>
        <v>0</v>
      </c>
      <c r="AW252" s="816">
        <f t="shared" si="154"/>
        <v>0</v>
      </c>
      <c r="AX252" s="816">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300"/>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6">
        <f t="shared" si="153"/>
        <v>0</v>
      </c>
      <c r="AW253" s="816">
        <f t="shared" si="154"/>
        <v>0</v>
      </c>
      <c r="AX253" s="816">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300"/>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6">
        <f t="shared" si="153"/>
        <v>0</v>
      </c>
      <c r="AW254" s="816">
        <f t="shared" si="154"/>
        <v>0</v>
      </c>
      <c r="AX254" s="816">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300"/>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6">
        <f t="shared" si="153"/>
        <v>0</v>
      </c>
      <c r="AW255" s="816">
        <f t="shared" si="154"/>
        <v>0</v>
      </c>
      <c r="AX255" s="816">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300"/>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6">
        <f t="shared" si="153"/>
        <v>0</v>
      </c>
      <c r="AW256" s="816">
        <f t="shared" si="154"/>
        <v>0</v>
      </c>
      <c r="AX256" s="816">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300"/>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6">
        <f t="shared" si="153"/>
        <v>0</v>
      </c>
      <c r="AW257" s="816">
        <f t="shared" si="154"/>
        <v>0</v>
      </c>
      <c r="AX257" s="816">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300"/>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6">
        <f t="shared" si="153"/>
        <v>0</v>
      </c>
      <c r="AW258" s="816">
        <f t="shared" si="154"/>
        <v>0</v>
      </c>
      <c r="AX258" s="816">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300"/>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6">
        <f t="shared" si="153"/>
        <v>0</v>
      </c>
      <c r="AW259" s="816">
        <f t="shared" si="154"/>
        <v>0</v>
      </c>
      <c r="AX259" s="816">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300"/>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6">
        <f t="shared" si="153"/>
        <v>0</v>
      </c>
      <c r="AW260" s="816">
        <f t="shared" si="154"/>
        <v>0</v>
      </c>
      <c r="AX260" s="816">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300"/>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6">
        <f t="shared" si="153"/>
        <v>0</v>
      </c>
      <c r="AW261" s="816">
        <f t="shared" si="154"/>
        <v>0</v>
      </c>
      <c r="AX261" s="816">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300"/>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6">
        <f t="shared" si="153"/>
        <v>0</v>
      </c>
      <c r="AW262" s="816">
        <f t="shared" si="154"/>
        <v>0</v>
      </c>
      <c r="AX262" s="816">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300"/>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6">
        <f t="shared" si="153"/>
        <v>0</v>
      </c>
      <c r="AW263" s="816">
        <f t="shared" si="154"/>
        <v>0</v>
      </c>
      <c r="AX263" s="816">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300"/>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6">
        <f t="shared" si="153"/>
        <v>0</v>
      </c>
      <c r="AW264" s="816">
        <f t="shared" si="154"/>
        <v>0</v>
      </c>
      <c r="AX264" s="816">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300"/>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6">
        <f t="shared" si="153"/>
        <v>0</v>
      </c>
      <c r="AW265" s="816">
        <f t="shared" si="154"/>
        <v>0</v>
      </c>
      <c r="AX265" s="816">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300"/>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6">
        <f t="shared" si="153"/>
        <v>0</v>
      </c>
      <c r="AW266" s="816">
        <f t="shared" si="154"/>
        <v>0</v>
      </c>
      <c r="AX266" s="816">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300"/>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6">
        <f t="shared" si="153"/>
        <v>0</v>
      </c>
      <c r="AW267" s="816">
        <f t="shared" si="154"/>
        <v>0</v>
      </c>
      <c r="AX267" s="816">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300"/>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6">
        <f t="shared" si="153"/>
        <v>0</v>
      </c>
      <c r="AW268" s="816">
        <f t="shared" si="154"/>
        <v>0</v>
      </c>
      <c r="AX268" s="816">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300"/>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6">
        <f t="shared" si="153"/>
        <v>0</v>
      </c>
      <c r="AW269" s="816">
        <f t="shared" si="154"/>
        <v>0</v>
      </c>
      <c r="AX269" s="816">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300"/>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6">
        <f t="shared" si="153"/>
        <v>0</v>
      </c>
      <c r="AW270" s="816">
        <f t="shared" si="154"/>
        <v>0</v>
      </c>
      <c r="AX270" s="816">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300"/>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6">
        <f t="shared" si="153"/>
        <v>0</v>
      </c>
      <c r="AW271" s="816">
        <f t="shared" si="154"/>
        <v>0</v>
      </c>
      <c r="AX271" s="816">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300"/>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6">
        <f t="shared" si="153"/>
        <v>0</v>
      </c>
      <c r="AW272" s="816">
        <f t="shared" si="154"/>
        <v>0</v>
      </c>
      <c r="AX272" s="816">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300"/>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6">
        <f t="shared" si="153"/>
        <v>0</v>
      </c>
      <c r="AW273" s="816">
        <f t="shared" si="154"/>
        <v>0</v>
      </c>
      <c r="AX273" s="816">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300"/>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6">
        <f t="shared" si="153"/>
        <v>0</v>
      </c>
      <c r="AW274" s="816">
        <f t="shared" si="154"/>
        <v>0</v>
      </c>
      <c r="AX274" s="816">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300"/>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6">
        <f t="shared" si="153"/>
        <v>0</v>
      </c>
      <c r="AW275" s="816">
        <f t="shared" si="154"/>
        <v>0</v>
      </c>
      <c r="AX275" s="816">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300"/>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6">
        <f t="shared" si="153"/>
        <v>0</v>
      </c>
      <c r="AW276" s="816">
        <f t="shared" si="154"/>
        <v>0</v>
      </c>
      <c r="AX276" s="816">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300"/>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6">
        <f t="shared" si="153"/>
        <v>0</v>
      </c>
      <c r="AW277" s="816">
        <f t="shared" si="154"/>
        <v>0</v>
      </c>
      <c r="AX277" s="816">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300"/>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6">
        <f t="shared" si="153"/>
        <v>0</v>
      </c>
      <c r="AW278" s="816">
        <f t="shared" si="154"/>
        <v>0</v>
      </c>
      <c r="AX278" s="816">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300"/>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6">
        <f t="shared" si="153"/>
        <v>0</v>
      </c>
      <c r="AW279" s="816">
        <f t="shared" si="154"/>
        <v>0</v>
      </c>
      <c r="AX279" s="816">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300"/>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6">
        <f t="shared" si="153"/>
        <v>0</v>
      </c>
      <c r="AW280" s="816">
        <f t="shared" si="154"/>
        <v>0</v>
      </c>
      <c r="AX280" s="816">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300"/>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6">
        <f t="shared" si="153"/>
        <v>0</v>
      </c>
      <c r="AW281" s="816">
        <f t="shared" si="154"/>
        <v>0</v>
      </c>
      <c r="AX281" s="816">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300"/>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6">
        <f t="shared" si="153"/>
        <v>0</v>
      </c>
      <c r="AW282" s="816">
        <f t="shared" si="154"/>
        <v>0</v>
      </c>
      <c r="AX282" s="816">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300"/>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6">
        <f t="shared" si="153"/>
        <v>0</v>
      </c>
      <c r="AW283" s="816">
        <f t="shared" si="154"/>
        <v>0</v>
      </c>
      <c r="AX283" s="816">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300"/>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6">
        <f t="shared" si="153"/>
        <v>0</v>
      </c>
      <c r="AW284" s="816">
        <f t="shared" si="154"/>
        <v>0</v>
      </c>
      <c r="AX284" s="816">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300"/>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6">
        <f t="shared" si="153"/>
        <v>0</v>
      </c>
      <c r="AW285" s="816">
        <f t="shared" si="154"/>
        <v>0</v>
      </c>
      <c r="AX285" s="816">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300"/>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6">
        <f t="shared" si="153"/>
        <v>0</v>
      </c>
      <c r="AW286" s="816">
        <f t="shared" si="154"/>
        <v>0</v>
      </c>
      <c r="AX286" s="816">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300"/>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6">
        <f t="shared" si="153"/>
        <v>0</v>
      </c>
      <c r="AW287" s="816">
        <f t="shared" si="154"/>
        <v>0</v>
      </c>
      <c r="AX287" s="816">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300"/>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6">
        <f t="shared" si="153"/>
        <v>0</v>
      </c>
      <c r="AW288" s="816">
        <f t="shared" si="154"/>
        <v>0</v>
      </c>
      <c r="AX288" s="816">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300"/>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6">
        <f t="shared" si="153"/>
        <v>0</v>
      </c>
      <c r="AW289" s="816">
        <f t="shared" si="154"/>
        <v>0</v>
      </c>
      <c r="AX289" s="816">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300"/>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6">
        <f t="shared" si="153"/>
        <v>0</v>
      </c>
      <c r="AW290" s="816">
        <f t="shared" si="154"/>
        <v>0</v>
      </c>
      <c r="AX290" s="816">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300"/>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6">
        <f t="shared" si="153"/>
        <v>0</v>
      </c>
      <c r="AW291" s="816">
        <f t="shared" si="154"/>
        <v>0</v>
      </c>
      <c r="AX291" s="816">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300"/>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6">
        <f t="shared" si="153"/>
        <v>0</v>
      </c>
      <c r="AW292" s="816">
        <f t="shared" si="154"/>
        <v>0</v>
      </c>
      <c r="AX292" s="816">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300"/>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6">
        <f t="shared" si="153"/>
        <v>0</v>
      </c>
      <c r="AW293" s="816">
        <f t="shared" si="154"/>
        <v>0</v>
      </c>
      <c r="AX293" s="816">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300"/>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6">
        <f t="shared" si="153"/>
        <v>0</v>
      </c>
      <c r="AW294" s="816">
        <f t="shared" si="154"/>
        <v>0</v>
      </c>
      <c r="AX294" s="816">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300"/>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6">
        <f t="shared" si="153"/>
        <v>0</v>
      </c>
      <c r="AW295" s="816">
        <f t="shared" si="154"/>
        <v>0</v>
      </c>
      <c r="AX295" s="816">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300"/>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6">
        <f t="shared" si="153"/>
        <v>0</v>
      </c>
      <c r="AW296" s="816">
        <f t="shared" si="154"/>
        <v>0</v>
      </c>
      <c r="AX296" s="816">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8"/>
      <c r="C297" s="1179"/>
      <c r="D297" s="2300"/>
      <c r="E297" s="80">
        <f t="shared" ref="E297:E328" si="203">IF($C$3="是",ROUND($A$3*G297/$B$3,2),ROUND($A$3*(G297-AT297)/$B$3,2))</f>
        <v>0</v>
      </c>
      <c r="F297" s="81"/>
      <c r="G297" s="82">
        <f t="shared" si="178"/>
        <v>0</v>
      </c>
      <c r="H297" s="83">
        <f t="shared" si="179"/>
        <v>0</v>
      </c>
      <c r="I297" s="1179"/>
      <c r="J297" s="84"/>
      <c r="K297" s="1179"/>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80"/>
      <c r="AG297" s="85"/>
      <c r="AH297" s="85"/>
      <c r="AI297" s="85"/>
      <c r="AJ297" s="85"/>
      <c r="AK297" s="85"/>
      <c r="AL297" s="85"/>
      <c r="AM297" s="85"/>
      <c r="AN297" s="1156"/>
      <c r="AO297" s="85"/>
      <c r="AP297" s="85"/>
      <c r="AQ297" s="85"/>
      <c r="AR297" s="85"/>
      <c r="AS297" s="85"/>
      <c r="AT297" s="81"/>
      <c r="AU297" s="86"/>
      <c r="AV297" s="816">
        <f t="shared" ref="AV297:AV328" si="204">A297</f>
        <v>0</v>
      </c>
      <c r="AW297" s="816">
        <f t="shared" ref="AW297:AW328" si="205">B297</f>
        <v>0</v>
      </c>
      <c r="AX297" s="816">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8"/>
      <c r="C298" s="1179"/>
      <c r="D298" s="2300"/>
      <c r="E298" s="80">
        <f t="shared" si="203"/>
        <v>0</v>
      </c>
      <c r="F298" s="81"/>
      <c r="G298" s="82">
        <f t="shared" si="178"/>
        <v>0</v>
      </c>
      <c r="H298" s="83">
        <f t="shared" si="179"/>
        <v>0</v>
      </c>
      <c r="I298" s="1179"/>
      <c r="J298" s="84"/>
      <c r="K298" s="1179"/>
      <c r="L298" s="84"/>
      <c r="M298" s="1156"/>
      <c r="N298" s="84"/>
      <c r="O298" s="84"/>
      <c r="P298" s="84"/>
      <c r="Q298" s="84"/>
      <c r="R298" s="84"/>
      <c r="S298" s="84"/>
      <c r="T298" s="84"/>
      <c r="U298" s="84"/>
      <c r="V298" s="84"/>
      <c r="W298" s="84"/>
      <c r="X298" s="84"/>
      <c r="Y298" s="84"/>
      <c r="Z298" s="84"/>
      <c r="AA298" s="84"/>
      <c r="AB298" s="84"/>
      <c r="AC298" s="80">
        <f t="shared" si="180"/>
        <v>0</v>
      </c>
      <c r="AD298" s="1156"/>
      <c r="AE298" s="85"/>
      <c r="AF298" s="1180"/>
      <c r="AG298" s="85"/>
      <c r="AH298" s="85"/>
      <c r="AI298" s="85"/>
      <c r="AJ298" s="85"/>
      <c r="AK298" s="85"/>
      <c r="AL298" s="1156"/>
      <c r="AM298" s="85"/>
      <c r="AN298" s="1156"/>
      <c r="AO298" s="85"/>
      <c r="AP298" s="85"/>
      <c r="AQ298" s="85"/>
      <c r="AR298" s="85"/>
      <c r="AS298" s="85"/>
      <c r="AT298" s="81"/>
      <c r="AU298" s="86"/>
      <c r="AV298" s="816">
        <f t="shared" si="204"/>
        <v>0</v>
      </c>
      <c r="AW298" s="816">
        <f t="shared" si="205"/>
        <v>0</v>
      </c>
      <c r="AX298" s="816">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8"/>
      <c r="C299" s="1179"/>
      <c r="D299" s="2300"/>
      <c r="E299" s="80">
        <f t="shared" si="203"/>
        <v>0</v>
      </c>
      <c r="F299" s="81"/>
      <c r="G299" s="82">
        <f t="shared" si="178"/>
        <v>0</v>
      </c>
      <c r="H299" s="83">
        <f t="shared" si="179"/>
        <v>0</v>
      </c>
      <c r="I299" s="1179"/>
      <c r="J299" s="84"/>
      <c r="K299" s="1179"/>
      <c r="L299" s="84"/>
      <c r="M299" s="1156"/>
      <c r="N299" s="84"/>
      <c r="O299" s="84"/>
      <c r="P299" s="84"/>
      <c r="Q299" s="84"/>
      <c r="R299" s="84"/>
      <c r="S299" s="84"/>
      <c r="T299" s="84"/>
      <c r="U299" s="84"/>
      <c r="V299" s="84"/>
      <c r="W299" s="84"/>
      <c r="X299" s="84"/>
      <c r="Y299" s="84"/>
      <c r="Z299" s="84"/>
      <c r="AA299" s="84"/>
      <c r="AB299" s="84"/>
      <c r="AC299" s="80">
        <f t="shared" si="180"/>
        <v>0</v>
      </c>
      <c r="AD299" s="85"/>
      <c r="AE299" s="85"/>
      <c r="AF299" s="1180"/>
      <c r="AG299" s="85"/>
      <c r="AH299" s="85"/>
      <c r="AI299" s="85"/>
      <c r="AJ299" s="85"/>
      <c r="AK299" s="85"/>
      <c r="AL299" s="1156"/>
      <c r="AM299" s="85"/>
      <c r="AN299" s="1156"/>
      <c r="AO299" s="85"/>
      <c r="AP299" s="85"/>
      <c r="AQ299" s="85"/>
      <c r="AR299" s="85"/>
      <c r="AS299" s="85"/>
      <c r="AT299" s="81"/>
      <c r="AU299" s="86"/>
      <c r="AV299" s="816">
        <f t="shared" si="204"/>
        <v>0</v>
      </c>
      <c r="AW299" s="816">
        <f t="shared" si="205"/>
        <v>0</v>
      </c>
      <c r="AX299" s="816">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8"/>
      <c r="C300" s="1179"/>
      <c r="D300" s="2300"/>
      <c r="E300" s="80">
        <f t="shared" si="203"/>
        <v>0</v>
      </c>
      <c r="F300" s="81"/>
      <c r="G300" s="82">
        <f t="shared" si="178"/>
        <v>0</v>
      </c>
      <c r="H300" s="83">
        <f t="shared" si="179"/>
        <v>0</v>
      </c>
      <c r="I300" s="1179"/>
      <c r="J300" s="84"/>
      <c r="K300" s="1179"/>
      <c r="L300" s="84"/>
      <c r="M300" s="84"/>
      <c r="N300" s="84"/>
      <c r="O300" s="1156"/>
      <c r="P300" s="84"/>
      <c r="Q300" s="84"/>
      <c r="R300" s="84"/>
      <c r="S300" s="84"/>
      <c r="T300" s="84"/>
      <c r="U300" s="84"/>
      <c r="V300" s="84"/>
      <c r="W300" s="84"/>
      <c r="X300" s="84"/>
      <c r="Y300" s="84"/>
      <c r="Z300" s="84"/>
      <c r="AA300" s="84"/>
      <c r="AB300" s="84"/>
      <c r="AC300" s="80">
        <f t="shared" si="180"/>
        <v>0</v>
      </c>
      <c r="AD300" s="85"/>
      <c r="AE300" s="85"/>
      <c r="AF300" s="1180"/>
      <c r="AG300" s="85"/>
      <c r="AH300" s="85"/>
      <c r="AI300" s="85"/>
      <c r="AJ300" s="85"/>
      <c r="AK300" s="85"/>
      <c r="AL300" s="85"/>
      <c r="AM300" s="85"/>
      <c r="AN300" s="1156"/>
      <c r="AO300" s="85"/>
      <c r="AP300" s="85"/>
      <c r="AQ300" s="85"/>
      <c r="AR300" s="85"/>
      <c r="AS300" s="85"/>
      <c r="AT300" s="81"/>
      <c r="AU300" s="86"/>
      <c r="AV300" s="816">
        <f t="shared" si="204"/>
        <v>0</v>
      </c>
      <c r="AW300" s="816">
        <f t="shared" si="205"/>
        <v>0</v>
      </c>
      <c r="AX300" s="816">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8"/>
      <c r="C301" s="1179"/>
      <c r="D301" s="2300"/>
      <c r="E301" s="80">
        <f t="shared" si="203"/>
        <v>0</v>
      </c>
      <c r="F301" s="81"/>
      <c r="G301" s="82">
        <f t="shared" si="178"/>
        <v>0</v>
      </c>
      <c r="H301" s="83">
        <f t="shared" si="179"/>
        <v>0</v>
      </c>
      <c r="I301" s="1179"/>
      <c r="J301" s="84"/>
      <c r="K301" s="1179"/>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80"/>
      <c r="AG301" s="85"/>
      <c r="AH301" s="85"/>
      <c r="AI301" s="85"/>
      <c r="AJ301" s="85"/>
      <c r="AK301" s="85"/>
      <c r="AL301" s="85"/>
      <c r="AM301" s="85"/>
      <c r="AN301" s="85"/>
      <c r="AO301" s="85"/>
      <c r="AP301" s="85"/>
      <c r="AQ301" s="85"/>
      <c r="AR301" s="85"/>
      <c r="AS301" s="85"/>
      <c r="AT301" s="81"/>
      <c r="AU301" s="86"/>
      <c r="AV301" s="816">
        <f t="shared" si="204"/>
        <v>0</v>
      </c>
      <c r="AW301" s="816">
        <f t="shared" si="205"/>
        <v>0</v>
      </c>
      <c r="AX301" s="816">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8"/>
      <c r="C302" s="1179"/>
      <c r="D302" s="2300"/>
      <c r="E302" s="80">
        <f t="shared" si="203"/>
        <v>0</v>
      </c>
      <c r="F302" s="81"/>
      <c r="G302" s="82">
        <f t="shared" si="178"/>
        <v>0</v>
      </c>
      <c r="H302" s="83">
        <f t="shared" si="179"/>
        <v>0</v>
      </c>
      <c r="I302" s="1179"/>
      <c r="J302" s="84"/>
      <c r="K302" s="1179"/>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80"/>
      <c r="AG302" s="85"/>
      <c r="AH302" s="85"/>
      <c r="AI302" s="85"/>
      <c r="AJ302" s="85"/>
      <c r="AK302" s="85"/>
      <c r="AL302" s="85"/>
      <c r="AM302" s="85"/>
      <c r="AN302" s="85"/>
      <c r="AO302" s="85"/>
      <c r="AP302" s="85"/>
      <c r="AQ302" s="85"/>
      <c r="AR302" s="85"/>
      <c r="AS302" s="85"/>
      <c r="AT302" s="81"/>
      <c r="AU302" s="86"/>
      <c r="AV302" s="816">
        <f t="shared" si="204"/>
        <v>0</v>
      </c>
      <c r="AW302" s="816">
        <f t="shared" si="205"/>
        <v>0</v>
      </c>
      <c r="AX302" s="816">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8"/>
      <c r="C303" s="1179"/>
      <c r="D303" s="2300"/>
      <c r="E303" s="80">
        <f t="shared" si="203"/>
        <v>0</v>
      </c>
      <c r="F303" s="81"/>
      <c r="G303" s="82">
        <f t="shared" si="178"/>
        <v>0</v>
      </c>
      <c r="H303" s="83">
        <f t="shared" si="179"/>
        <v>0</v>
      </c>
      <c r="I303" s="1179"/>
      <c r="J303" s="84"/>
      <c r="K303" s="1179"/>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80"/>
      <c r="AG303" s="85"/>
      <c r="AH303" s="85"/>
      <c r="AI303" s="85"/>
      <c r="AJ303" s="85"/>
      <c r="AK303" s="85"/>
      <c r="AL303" s="85"/>
      <c r="AM303" s="85"/>
      <c r="AN303" s="85"/>
      <c r="AO303" s="85"/>
      <c r="AP303" s="85"/>
      <c r="AQ303" s="85"/>
      <c r="AR303" s="85"/>
      <c r="AS303" s="85"/>
      <c r="AT303" s="81"/>
      <c r="AU303" s="86"/>
      <c r="AV303" s="816">
        <f t="shared" si="204"/>
        <v>0</v>
      </c>
      <c r="AW303" s="816">
        <f t="shared" si="205"/>
        <v>0</v>
      </c>
      <c r="AX303" s="816">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8"/>
      <c r="C304" s="1179"/>
      <c r="D304" s="2300"/>
      <c r="E304" s="80">
        <f t="shared" si="203"/>
        <v>0</v>
      </c>
      <c r="F304" s="81"/>
      <c r="G304" s="82">
        <f t="shared" si="178"/>
        <v>0</v>
      </c>
      <c r="H304" s="83">
        <f t="shared" si="179"/>
        <v>0</v>
      </c>
      <c r="I304" s="1179"/>
      <c r="J304" s="84"/>
      <c r="K304" s="1179"/>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9"/>
      <c r="AG304" s="85"/>
      <c r="AH304" s="85"/>
      <c r="AI304" s="85"/>
      <c r="AJ304" s="85"/>
      <c r="AK304" s="85"/>
      <c r="AL304" s="85"/>
      <c r="AM304" s="85"/>
      <c r="AN304" s="85"/>
      <c r="AO304" s="85"/>
      <c r="AP304" s="85"/>
      <c r="AQ304" s="85"/>
      <c r="AR304" s="85"/>
      <c r="AS304" s="85"/>
      <c r="AT304" s="81"/>
      <c r="AU304" s="86"/>
      <c r="AV304" s="816">
        <f t="shared" si="204"/>
        <v>0</v>
      </c>
      <c r="AW304" s="816">
        <f t="shared" si="205"/>
        <v>0</v>
      </c>
      <c r="AX304" s="816">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8"/>
      <c r="C305" s="1179"/>
      <c r="D305" s="2300"/>
      <c r="E305" s="80">
        <f t="shared" si="203"/>
        <v>0</v>
      </c>
      <c r="F305" s="81"/>
      <c r="G305" s="82">
        <f t="shared" si="178"/>
        <v>0</v>
      </c>
      <c r="H305" s="83">
        <f t="shared" si="179"/>
        <v>0</v>
      </c>
      <c r="I305" s="1179"/>
      <c r="J305" s="84"/>
      <c r="K305" s="1179"/>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9"/>
      <c r="AG305" s="85"/>
      <c r="AH305" s="85"/>
      <c r="AI305" s="85"/>
      <c r="AJ305" s="85"/>
      <c r="AK305" s="85"/>
      <c r="AL305" s="85"/>
      <c r="AM305" s="85"/>
      <c r="AN305" s="85"/>
      <c r="AO305" s="85"/>
      <c r="AP305" s="85"/>
      <c r="AQ305" s="85"/>
      <c r="AR305" s="85"/>
      <c r="AS305" s="85"/>
      <c r="AT305" s="81"/>
      <c r="AU305" s="86"/>
      <c r="AV305" s="816">
        <f t="shared" si="204"/>
        <v>0</v>
      </c>
      <c r="AW305" s="816">
        <f t="shared" si="205"/>
        <v>0</v>
      </c>
      <c r="AX305" s="816">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8"/>
      <c r="C306" s="1179"/>
      <c r="D306" s="2300"/>
      <c r="E306" s="80">
        <f t="shared" si="203"/>
        <v>0</v>
      </c>
      <c r="F306" s="81"/>
      <c r="G306" s="82">
        <f t="shared" si="178"/>
        <v>0</v>
      </c>
      <c r="H306" s="83">
        <f t="shared" si="179"/>
        <v>0</v>
      </c>
      <c r="I306" s="1179"/>
      <c r="J306" s="84"/>
      <c r="K306" s="1179"/>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9"/>
      <c r="AG306" s="85"/>
      <c r="AH306" s="85"/>
      <c r="AI306" s="85"/>
      <c r="AJ306" s="85"/>
      <c r="AK306" s="85"/>
      <c r="AL306" s="85"/>
      <c r="AM306" s="85"/>
      <c r="AN306" s="85"/>
      <c r="AO306" s="85"/>
      <c r="AP306" s="85"/>
      <c r="AQ306" s="85"/>
      <c r="AR306" s="85"/>
      <c r="AS306" s="85"/>
      <c r="AT306" s="81"/>
      <c r="AU306" s="86"/>
      <c r="AV306" s="816">
        <f t="shared" si="204"/>
        <v>0</v>
      </c>
      <c r="AW306" s="816">
        <f t="shared" si="205"/>
        <v>0</v>
      </c>
      <c r="AX306" s="816">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8"/>
      <c r="C307" s="1179"/>
      <c r="D307" s="2300"/>
      <c r="E307" s="80">
        <f t="shared" si="203"/>
        <v>0</v>
      </c>
      <c r="F307" s="81"/>
      <c r="G307" s="82">
        <f t="shared" si="178"/>
        <v>0</v>
      </c>
      <c r="H307" s="83">
        <f t="shared" si="179"/>
        <v>0</v>
      </c>
      <c r="I307" s="1179"/>
      <c r="J307" s="84"/>
      <c r="K307" s="1179"/>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9"/>
      <c r="AG307" s="85"/>
      <c r="AH307" s="85"/>
      <c r="AI307" s="85"/>
      <c r="AJ307" s="85"/>
      <c r="AK307" s="85"/>
      <c r="AL307" s="85"/>
      <c r="AM307" s="85"/>
      <c r="AN307" s="85"/>
      <c r="AO307" s="85"/>
      <c r="AP307" s="85"/>
      <c r="AQ307" s="85"/>
      <c r="AR307" s="85"/>
      <c r="AS307" s="85"/>
      <c r="AT307" s="81"/>
      <c r="AU307" s="86"/>
      <c r="AV307" s="816">
        <f t="shared" si="204"/>
        <v>0</v>
      </c>
      <c r="AW307" s="816">
        <f t="shared" si="205"/>
        <v>0</v>
      </c>
      <c r="AX307" s="816">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8"/>
      <c r="C308" s="1179"/>
      <c r="D308" s="2300"/>
      <c r="E308" s="80">
        <f t="shared" si="203"/>
        <v>0</v>
      </c>
      <c r="F308" s="81"/>
      <c r="G308" s="82">
        <f t="shared" si="178"/>
        <v>0</v>
      </c>
      <c r="H308" s="83">
        <f t="shared" si="179"/>
        <v>0</v>
      </c>
      <c r="I308" s="1179"/>
      <c r="J308" s="84"/>
      <c r="K308" s="1179"/>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9"/>
      <c r="AG308" s="85"/>
      <c r="AH308" s="85"/>
      <c r="AI308" s="85"/>
      <c r="AJ308" s="85"/>
      <c r="AK308" s="85"/>
      <c r="AL308" s="85"/>
      <c r="AM308" s="85"/>
      <c r="AN308" s="85"/>
      <c r="AO308" s="85"/>
      <c r="AP308" s="85"/>
      <c r="AQ308" s="85"/>
      <c r="AR308" s="85"/>
      <c r="AS308" s="85"/>
      <c r="AT308" s="81"/>
      <c r="AU308" s="86"/>
      <c r="AV308" s="816">
        <f t="shared" si="204"/>
        <v>0</v>
      </c>
      <c r="AW308" s="816">
        <f t="shared" si="205"/>
        <v>0</v>
      </c>
      <c r="AX308" s="816">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8"/>
      <c r="C309" s="1179"/>
      <c r="D309" s="2300"/>
      <c r="E309" s="80">
        <f t="shared" si="203"/>
        <v>0</v>
      </c>
      <c r="F309" s="81"/>
      <c r="G309" s="82">
        <f t="shared" si="178"/>
        <v>0</v>
      </c>
      <c r="H309" s="83">
        <f t="shared" si="179"/>
        <v>0</v>
      </c>
      <c r="I309" s="1179"/>
      <c r="J309" s="84"/>
      <c r="K309" s="1179"/>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9"/>
      <c r="AG309" s="85"/>
      <c r="AH309" s="85"/>
      <c r="AI309" s="85"/>
      <c r="AJ309" s="85"/>
      <c r="AK309" s="85"/>
      <c r="AL309" s="85"/>
      <c r="AM309" s="85"/>
      <c r="AN309" s="85"/>
      <c r="AO309" s="85"/>
      <c r="AP309" s="85"/>
      <c r="AQ309" s="85"/>
      <c r="AR309" s="85"/>
      <c r="AS309" s="85"/>
      <c r="AT309" s="81"/>
      <c r="AU309" s="86"/>
      <c r="AV309" s="816">
        <f t="shared" si="204"/>
        <v>0</v>
      </c>
      <c r="AW309" s="816">
        <f t="shared" si="205"/>
        <v>0</v>
      </c>
      <c r="AX309" s="816">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8"/>
      <c r="C310" s="1179"/>
      <c r="D310" s="2300"/>
      <c r="E310" s="80">
        <f t="shared" si="203"/>
        <v>0</v>
      </c>
      <c r="F310" s="81"/>
      <c r="G310" s="82">
        <f t="shared" si="178"/>
        <v>0</v>
      </c>
      <c r="H310" s="83">
        <f t="shared" si="179"/>
        <v>0</v>
      </c>
      <c r="I310" s="1179"/>
      <c r="J310" s="84"/>
      <c r="K310" s="1179"/>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9"/>
      <c r="AG310" s="85"/>
      <c r="AH310" s="85"/>
      <c r="AI310" s="85"/>
      <c r="AJ310" s="85"/>
      <c r="AK310" s="85"/>
      <c r="AL310" s="85"/>
      <c r="AM310" s="85"/>
      <c r="AN310" s="85"/>
      <c r="AO310" s="85"/>
      <c r="AP310" s="85"/>
      <c r="AQ310" s="85"/>
      <c r="AR310" s="85"/>
      <c r="AS310" s="85"/>
      <c r="AT310" s="81"/>
      <c r="AU310" s="86"/>
      <c r="AV310" s="816">
        <f t="shared" si="204"/>
        <v>0</v>
      </c>
      <c r="AW310" s="816">
        <f t="shared" si="205"/>
        <v>0</v>
      </c>
      <c r="AX310" s="816">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8"/>
      <c r="C311" s="1179"/>
      <c r="D311" s="2300"/>
      <c r="E311" s="80">
        <f t="shared" si="203"/>
        <v>0</v>
      </c>
      <c r="F311" s="81"/>
      <c r="G311" s="82">
        <f t="shared" si="178"/>
        <v>0</v>
      </c>
      <c r="H311" s="83">
        <f t="shared" si="179"/>
        <v>0</v>
      </c>
      <c r="I311" s="1179"/>
      <c r="J311" s="84"/>
      <c r="K311" s="1179"/>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9"/>
      <c r="AG311" s="85"/>
      <c r="AH311" s="85"/>
      <c r="AI311" s="85"/>
      <c r="AJ311" s="85"/>
      <c r="AK311" s="85"/>
      <c r="AL311" s="85"/>
      <c r="AM311" s="85"/>
      <c r="AN311" s="85"/>
      <c r="AO311" s="85"/>
      <c r="AP311" s="85"/>
      <c r="AQ311" s="85"/>
      <c r="AR311" s="85"/>
      <c r="AS311" s="85"/>
      <c r="AT311" s="81"/>
      <c r="AU311" s="86"/>
      <c r="AV311" s="816">
        <f t="shared" si="204"/>
        <v>0</v>
      </c>
      <c r="AW311" s="816">
        <f t="shared" si="205"/>
        <v>0</v>
      </c>
      <c r="AX311" s="816">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8"/>
      <c r="C312" s="1179"/>
      <c r="D312" s="2300"/>
      <c r="E312" s="80">
        <f t="shared" si="203"/>
        <v>0</v>
      </c>
      <c r="F312" s="81"/>
      <c r="G312" s="82">
        <f t="shared" si="178"/>
        <v>0</v>
      </c>
      <c r="H312" s="83">
        <f t="shared" si="179"/>
        <v>0</v>
      </c>
      <c r="I312" s="1179"/>
      <c r="J312" s="84"/>
      <c r="K312" s="1179"/>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9"/>
      <c r="AG312" s="85"/>
      <c r="AH312" s="85"/>
      <c r="AI312" s="85"/>
      <c r="AJ312" s="85"/>
      <c r="AK312" s="85"/>
      <c r="AL312" s="85"/>
      <c r="AM312" s="85"/>
      <c r="AN312" s="85"/>
      <c r="AO312" s="85"/>
      <c r="AP312" s="85"/>
      <c r="AQ312" s="85"/>
      <c r="AR312" s="85"/>
      <c r="AS312" s="85"/>
      <c r="AT312" s="81"/>
      <c r="AU312" s="86"/>
      <c r="AV312" s="816">
        <f t="shared" si="204"/>
        <v>0</v>
      </c>
      <c r="AW312" s="816">
        <f t="shared" si="205"/>
        <v>0</v>
      </c>
      <c r="AX312" s="816">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8"/>
      <c r="C313" s="1179"/>
      <c r="D313" s="2300"/>
      <c r="E313" s="80">
        <f t="shared" si="203"/>
        <v>0</v>
      </c>
      <c r="F313" s="81"/>
      <c r="G313" s="82">
        <f t="shared" si="178"/>
        <v>0</v>
      </c>
      <c r="H313" s="83">
        <f t="shared" si="179"/>
        <v>0</v>
      </c>
      <c r="I313" s="1179"/>
      <c r="J313" s="84"/>
      <c r="K313" s="1179"/>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9"/>
      <c r="AG313" s="85"/>
      <c r="AH313" s="85"/>
      <c r="AI313" s="85"/>
      <c r="AJ313" s="85"/>
      <c r="AK313" s="85"/>
      <c r="AL313" s="85"/>
      <c r="AM313" s="85"/>
      <c r="AN313" s="85"/>
      <c r="AO313" s="85"/>
      <c r="AP313" s="85"/>
      <c r="AQ313" s="85"/>
      <c r="AR313" s="85"/>
      <c r="AS313" s="85"/>
      <c r="AT313" s="81"/>
      <c r="AU313" s="86"/>
      <c r="AV313" s="816">
        <f t="shared" si="204"/>
        <v>0</v>
      </c>
      <c r="AW313" s="816">
        <f t="shared" si="205"/>
        <v>0</v>
      </c>
      <c r="AX313" s="816">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8"/>
      <c r="C314" s="1179"/>
      <c r="D314" s="2300"/>
      <c r="E314" s="80">
        <f t="shared" si="203"/>
        <v>0</v>
      </c>
      <c r="F314" s="81"/>
      <c r="G314" s="82">
        <f t="shared" si="178"/>
        <v>0</v>
      </c>
      <c r="H314" s="83">
        <f t="shared" si="179"/>
        <v>0</v>
      </c>
      <c r="I314" s="1179"/>
      <c r="J314" s="84"/>
      <c r="K314" s="1179"/>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9"/>
      <c r="AG314" s="85"/>
      <c r="AH314" s="85"/>
      <c r="AI314" s="85"/>
      <c r="AJ314" s="85"/>
      <c r="AK314" s="85"/>
      <c r="AL314" s="85"/>
      <c r="AM314" s="85"/>
      <c r="AN314" s="85"/>
      <c r="AO314" s="85"/>
      <c r="AP314" s="85"/>
      <c r="AQ314" s="85"/>
      <c r="AR314" s="85"/>
      <c r="AS314" s="85"/>
      <c r="AT314" s="81"/>
      <c r="AU314" s="86"/>
      <c r="AV314" s="816">
        <f t="shared" si="204"/>
        <v>0</v>
      </c>
      <c r="AW314" s="816">
        <f t="shared" si="205"/>
        <v>0</v>
      </c>
      <c r="AX314" s="816">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8"/>
      <c r="C315" s="1179"/>
      <c r="D315" s="2300"/>
      <c r="E315" s="80">
        <f t="shared" si="203"/>
        <v>0</v>
      </c>
      <c r="F315" s="81"/>
      <c r="G315" s="82">
        <f t="shared" si="178"/>
        <v>0</v>
      </c>
      <c r="H315" s="83">
        <f t="shared" si="179"/>
        <v>0</v>
      </c>
      <c r="I315" s="1179"/>
      <c r="J315" s="84"/>
      <c r="K315" s="1179"/>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9"/>
      <c r="AG315" s="85"/>
      <c r="AH315" s="85"/>
      <c r="AI315" s="85"/>
      <c r="AJ315" s="85"/>
      <c r="AK315" s="85"/>
      <c r="AL315" s="85"/>
      <c r="AM315" s="85"/>
      <c r="AN315" s="85"/>
      <c r="AO315" s="85"/>
      <c r="AP315" s="85"/>
      <c r="AQ315" s="85"/>
      <c r="AR315" s="85"/>
      <c r="AS315" s="85"/>
      <c r="AT315" s="81"/>
      <c r="AU315" s="86"/>
      <c r="AV315" s="816">
        <f t="shared" si="204"/>
        <v>0</v>
      </c>
      <c r="AW315" s="816">
        <f t="shared" si="205"/>
        <v>0</v>
      </c>
      <c r="AX315" s="816">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8"/>
      <c r="C316" s="1179"/>
      <c r="D316" s="2300"/>
      <c r="E316" s="80">
        <f t="shared" si="203"/>
        <v>0</v>
      </c>
      <c r="F316" s="81"/>
      <c r="G316" s="82">
        <f t="shared" si="178"/>
        <v>0</v>
      </c>
      <c r="H316" s="83">
        <f t="shared" si="179"/>
        <v>0</v>
      </c>
      <c r="I316" s="1179"/>
      <c r="J316" s="84"/>
      <c r="K316" s="1179"/>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9"/>
      <c r="AG316" s="85"/>
      <c r="AH316" s="85"/>
      <c r="AI316" s="85"/>
      <c r="AJ316" s="85"/>
      <c r="AK316" s="85"/>
      <c r="AL316" s="85"/>
      <c r="AM316" s="85"/>
      <c r="AN316" s="85"/>
      <c r="AO316" s="85"/>
      <c r="AP316" s="85"/>
      <c r="AQ316" s="85"/>
      <c r="AR316" s="85"/>
      <c r="AS316" s="85"/>
      <c r="AT316" s="81"/>
      <c r="AU316" s="86"/>
      <c r="AV316" s="816">
        <f t="shared" si="204"/>
        <v>0</v>
      </c>
      <c r="AW316" s="816">
        <f t="shared" si="205"/>
        <v>0</v>
      </c>
      <c r="AX316" s="816">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8"/>
      <c r="C317" s="1179"/>
      <c r="D317" s="2300"/>
      <c r="E317" s="80">
        <f t="shared" si="203"/>
        <v>0</v>
      </c>
      <c r="F317" s="81"/>
      <c r="G317" s="82">
        <f t="shared" si="178"/>
        <v>0</v>
      </c>
      <c r="H317" s="83">
        <f t="shared" si="179"/>
        <v>0</v>
      </c>
      <c r="I317" s="1179"/>
      <c r="J317" s="84"/>
      <c r="K317" s="1179"/>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9"/>
      <c r="AG317" s="85"/>
      <c r="AH317" s="85"/>
      <c r="AI317" s="85"/>
      <c r="AJ317" s="85"/>
      <c r="AK317" s="85"/>
      <c r="AL317" s="85"/>
      <c r="AM317" s="85"/>
      <c r="AN317" s="85"/>
      <c r="AO317" s="85"/>
      <c r="AP317" s="85"/>
      <c r="AQ317" s="85"/>
      <c r="AR317" s="85"/>
      <c r="AS317" s="85"/>
      <c r="AT317" s="81"/>
      <c r="AU317" s="86"/>
      <c r="AV317" s="816">
        <f t="shared" si="204"/>
        <v>0</v>
      </c>
      <c r="AW317" s="816">
        <f t="shared" si="205"/>
        <v>0</v>
      </c>
      <c r="AX317" s="816">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8"/>
      <c r="C318" s="1179"/>
      <c r="D318" s="2300"/>
      <c r="E318" s="80">
        <f t="shared" si="203"/>
        <v>0</v>
      </c>
      <c r="F318" s="81"/>
      <c r="G318" s="82">
        <f t="shared" si="178"/>
        <v>0</v>
      </c>
      <c r="H318" s="83">
        <f t="shared" si="179"/>
        <v>0</v>
      </c>
      <c r="I318" s="1179"/>
      <c r="J318" s="84"/>
      <c r="K318" s="1179"/>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9"/>
      <c r="AG318" s="85"/>
      <c r="AH318" s="85"/>
      <c r="AI318" s="85"/>
      <c r="AJ318" s="85"/>
      <c r="AK318" s="85"/>
      <c r="AL318" s="85"/>
      <c r="AM318" s="85"/>
      <c r="AN318" s="85"/>
      <c r="AO318" s="85"/>
      <c r="AP318" s="85"/>
      <c r="AQ318" s="85"/>
      <c r="AR318" s="85"/>
      <c r="AS318" s="85"/>
      <c r="AT318" s="81"/>
      <c r="AU318" s="86"/>
      <c r="AV318" s="816">
        <f t="shared" si="204"/>
        <v>0</v>
      </c>
      <c r="AW318" s="816">
        <f t="shared" si="205"/>
        <v>0</v>
      </c>
      <c r="AX318" s="816">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8"/>
      <c r="C319" s="1179"/>
      <c r="D319" s="2300"/>
      <c r="E319" s="80">
        <f t="shared" si="203"/>
        <v>0</v>
      </c>
      <c r="F319" s="81"/>
      <c r="G319" s="82">
        <f t="shared" si="178"/>
        <v>0</v>
      </c>
      <c r="H319" s="83">
        <f t="shared" si="179"/>
        <v>0</v>
      </c>
      <c r="I319" s="1179"/>
      <c r="J319" s="84"/>
      <c r="K319" s="1179"/>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9"/>
      <c r="AG319" s="85"/>
      <c r="AH319" s="85"/>
      <c r="AI319" s="85"/>
      <c r="AJ319" s="85"/>
      <c r="AK319" s="85"/>
      <c r="AL319" s="85"/>
      <c r="AM319" s="85"/>
      <c r="AN319" s="85"/>
      <c r="AO319" s="85"/>
      <c r="AP319" s="85"/>
      <c r="AQ319" s="85"/>
      <c r="AR319" s="85"/>
      <c r="AS319" s="85"/>
      <c r="AT319" s="81"/>
      <c r="AU319" s="86"/>
      <c r="AV319" s="816">
        <f t="shared" si="204"/>
        <v>0</v>
      </c>
      <c r="AW319" s="816">
        <f t="shared" si="205"/>
        <v>0</v>
      </c>
      <c r="AX319" s="816">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8"/>
      <c r="C320" s="1179"/>
      <c r="D320" s="2300"/>
      <c r="E320" s="80">
        <f t="shared" si="203"/>
        <v>0</v>
      </c>
      <c r="F320" s="81"/>
      <c r="G320" s="82">
        <f t="shared" si="178"/>
        <v>0</v>
      </c>
      <c r="H320" s="83">
        <f t="shared" si="179"/>
        <v>0</v>
      </c>
      <c r="I320" s="1179"/>
      <c r="J320" s="84"/>
      <c r="K320" s="1179"/>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9"/>
      <c r="AG320" s="85"/>
      <c r="AH320" s="85"/>
      <c r="AI320" s="85"/>
      <c r="AJ320" s="85"/>
      <c r="AK320" s="85"/>
      <c r="AL320" s="85"/>
      <c r="AM320" s="85"/>
      <c r="AN320" s="85"/>
      <c r="AO320" s="85"/>
      <c r="AP320" s="85"/>
      <c r="AQ320" s="85"/>
      <c r="AR320" s="85"/>
      <c r="AS320" s="85"/>
      <c r="AT320" s="81"/>
      <c r="AU320" s="86"/>
      <c r="AV320" s="816">
        <f t="shared" si="204"/>
        <v>0</v>
      </c>
      <c r="AW320" s="816">
        <f t="shared" si="205"/>
        <v>0</v>
      </c>
      <c r="AX320" s="816">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8"/>
      <c r="C321" s="1179"/>
      <c r="D321" s="2300"/>
      <c r="E321" s="80">
        <f t="shared" si="203"/>
        <v>0</v>
      </c>
      <c r="F321" s="81"/>
      <c r="G321" s="82">
        <f t="shared" si="178"/>
        <v>0</v>
      </c>
      <c r="H321" s="83">
        <f t="shared" si="179"/>
        <v>0</v>
      </c>
      <c r="I321" s="1179"/>
      <c r="J321" s="84"/>
      <c r="K321" s="1179"/>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9"/>
      <c r="AG321" s="85"/>
      <c r="AH321" s="85"/>
      <c r="AI321" s="85"/>
      <c r="AJ321" s="85"/>
      <c r="AK321" s="85"/>
      <c r="AL321" s="85"/>
      <c r="AM321" s="85"/>
      <c r="AN321" s="85"/>
      <c r="AO321" s="85"/>
      <c r="AP321" s="85"/>
      <c r="AQ321" s="85"/>
      <c r="AR321" s="85"/>
      <c r="AS321" s="85"/>
      <c r="AT321" s="81"/>
      <c r="AU321" s="86"/>
      <c r="AV321" s="816">
        <f t="shared" si="204"/>
        <v>0</v>
      </c>
      <c r="AW321" s="816">
        <f t="shared" si="205"/>
        <v>0</v>
      </c>
      <c r="AX321" s="816">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8"/>
      <c r="C322" s="1179"/>
      <c r="D322" s="2300"/>
      <c r="E322" s="80">
        <f t="shared" si="203"/>
        <v>0</v>
      </c>
      <c r="F322" s="81"/>
      <c r="G322" s="82">
        <f t="shared" si="178"/>
        <v>0</v>
      </c>
      <c r="H322" s="83">
        <f t="shared" si="179"/>
        <v>0</v>
      </c>
      <c r="I322" s="1179"/>
      <c r="J322" s="84"/>
      <c r="K322" s="1179"/>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9"/>
      <c r="AG322" s="85"/>
      <c r="AH322" s="85"/>
      <c r="AI322" s="85"/>
      <c r="AJ322" s="85"/>
      <c r="AK322" s="85"/>
      <c r="AL322" s="85"/>
      <c r="AM322" s="85"/>
      <c r="AN322" s="85"/>
      <c r="AO322" s="85"/>
      <c r="AP322" s="85"/>
      <c r="AQ322" s="85"/>
      <c r="AR322" s="85"/>
      <c r="AS322" s="85"/>
      <c r="AT322" s="81"/>
      <c r="AU322" s="86"/>
      <c r="AV322" s="816">
        <f t="shared" si="204"/>
        <v>0</v>
      </c>
      <c r="AW322" s="816">
        <f t="shared" si="205"/>
        <v>0</v>
      </c>
      <c r="AX322" s="816">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8"/>
      <c r="C323" s="1179"/>
      <c r="D323" s="2300"/>
      <c r="E323" s="80">
        <f t="shared" si="203"/>
        <v>0</v>
      </c>
      <c r="F323" s="81"/>
      <c r="G323" s="82">
        <f t="shared" si="178"/>
        <v>0</v>
      </c>
      <c r="H323" s="83">
        <f t="shared" si="179"/>
        <v>0</v>
      </c>
      <c r="I323" s="1179"/>
      <c r="J323" s="84"/>
      <c r="K323" s="1179"/>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9"/>
      <c r="AG323" s="85"/>
      <c r="AH323" s="85"/>
      <c r="AI323" s="85"/>
      <c r="AJ323" s="85"/>
      <c r="AK323" s="85"/>
      <c r="AL323" s="85"/>
      <c r="AM323" s="85"/>
      <c r="AN323" s="85"/>
      <c r="AO323" s="85"/>
      <c r="AP323" s="85"/>
      <c r="AQ323" s="85"/>
      <c r="AR323" s="85"/>
      <c r="AS323" s="85"/>
      <c r="AT323" s="81"/>
      <c r="AU323" s="86"/>
      <c r="AV323" s="816">
        <f t="shared" si="204"/>
        <v>0</v>
      </c>
      <c r="AW323" s="816">
        <f t="shared" si="205"/>
        <v>0</v>
      </c>
      <c r="AX323" s="816">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8"/>
      <c r="C324" s="1179"/>
      <c r="D324" s="2300"/>
      <c r="E324" s="80">
        <f t="shared" si="203"/>
        <v>0</v>
      </c>
      <c r="F324" s="81"/>
      <c r="G324" s="82">
        <f t="shared" si="178"/>
        <v>0</v>
      </c>
      <c r="H324" s="83">
        <f t="shared" si="179"/>
        <v>0</v>
      </c>
      <c r="I324" s="1179"/>
      <c r="J324" s="84"/>
      <c r="K324" s="1179"/>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9"/>
      <c r="AG324" s="85"/>
      <c r="AH324" s="85"/>
      <c r="AI324" s="85"/>
      <c r="AJ324" s="85"/>
      <c r="AK324" s="85"/>
      <c r="AL324" s="85"/>
      <c r="AM324" s="85"/>
      <c r="AN324" s="85"/>
      <c r="AO324" s="85"/>
      <c r="AP324" s="85"/>
      <c r="AQ324" s="85"/>
      <c r="AR324" s="85"/>
      <c r="AS324" s="85"/>
      <c r="AT324" s="81"/>
      <c r="AU324" s="86"/>
      <c r="AV324" s="816">
        <f t="shared" si="204"/>
        <v>0</v>
      </c>
      <c r="AW324" s="816">
        <f t="shared" si="205"/>
        <v>0</v>
      </c>
      <c r="AX324" s="816">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8"/>
      <c r="C325" s="1179"/>
      <c r="D325" s="2300"/>
      <c r="E325" s="80">
        <f t="shared" si="203"/>
        <v>0</v>
      </c>
      <c r="F325" s="81"/>
      <c r="G325" s="82">
        <f t="shared" si="178"/>
        <v>0</v>
      </c>
      <c r="H325" s="83">
        <f t="shared" si="179"/>
        <v>0</v>
      </c>
      <c r="I325" s="1179"/>
      <c r="J325" s="84"/>
      <c r="K325" s="1179"/>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9"/>
      <c r="AG325" s="85"/>
      <c r="AH325" s="85"/>
      <c r="AI325" s="85"/>
      <c r="AJ325" s="85"/>
      <c r="AK325" s="85"/>
      <c r="AL325" s="85"/>
      <c r="AM325" s="85"/>
      <c r="AN325" s="85"/>
      <c r="AO325" s="85"/>
      <c r="AP325" s="85"/>
      <c r="AQ325" s="85"/>
      <c r="AR325" s="85"/>
      <c r="AS325" s="85"/>
      <c r="AT325" s="81"/>
      <c r="AU325" s="86"/>
      <c r="AV325" s="816">
        <f t="shared" si="204"/>
        <v>0</v>
      </c>
      <c r="AW325" s="816">
        <f t="shared" si="205"/>
        <v>0</v>
      </c>
      <c r="AX325" s="816">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8"/>
      <c r="C326" s="1179"/>
      <c r="D326" s="2300"/>
      <c r="E326" s="80">
        <f t="shared" si="203"/>
        <v>0</v>
      </c>
      <c r="F326" s="81"/>
      <c r="G326" s="82">
        <f t="shared" ref="G326:G357" si="207">H326+AC326+AT326</f>
        <v>0</v>
      </c>
      <c r="H326" s="83">
        <f t="shared" ref="H326:H357" si="208">SUMIF(I$12:AB$12,"总值",I326:AB326)</f>
        <v>0</v>
      </c>
      <c r="I326" s="1179"/>
      <c r="J326" s="84"/>
      <c r="K326" s="1179"/>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9"/>
      <c r="AG326" s="85"/>
      <c r="AH326" s="85"/>
      <c r="AI326" s="85"/>
      <c r="AJ326" s="85"/>
      <c r="AK326" s="85"/>
      <c r="AL326" s="85"/>
      <c r="AM326" s="85"/>
      <c r="AN326" s="85"/>
      <c r="AO326" s="85"/>
      <c r="AP326" s="85"/>
      <c r="AQ326" s="85"/>
      <c r="AR326" s="85"/>
      <c r="AS326" s="85"/>
      <c r="AT326" s="81"/>
      <c r="AU326" s="86"/>
      <c r="AV326" s="816">
        <f t="shared" si="204"/>
        <v>0</v>
      </c>
      <c r="AW326" s="816">
        <f t="shared" si="205"/>
        <v>0</v>
      </c>
      <c r="AX326" s="816">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8"/>
      <c r="C327" s="1179"/>
      <c r="D327" s="2300"/>
      <c r="E327" s="80">
        <f t="shared" si="203"/>
        <v>0</v>
      </c>
      <c r="F327" s="81"/>
      <c r="G327" s="82">
        <f t="shared" si="207"/>
        <v>0</v>
      </c>
      <c r="H327" s="83">
        <f t="shared" si="208"/>
        <v>0</v>
      </c>
      <c r="I327" s="1179"/>
      <c r="J327" s="84"/>
      <c r="K327" s="1179"/>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9"/>
      <c r="AG327" s="85"/>
      <c r="AH327" s="85"/>
      <c r="AI327" s="85"/>
      <c r="AJ327" s="85"/>
      <c r="AK327" s="85"/>
      <c r="AL327" s="85"/>
      <c r="AM327" s="85"/>
      <c r="AN327" s="85"/>
      <c r="AO327" s="85"/>
      <c r="AP327" s="85"/>
      <c r="AQ327" s="85"/>
      <c r="AR327" s="85"/>
      <c r="AS327" s="85"/>
      <c r="AT327" s="81"/>
      <c r="AU327" s="86"/>
      <c r="AV327" s="816">
        <f t="shared" si="204"/>
        <v>0</v>
      </c>
      <c r="AW327" s="816">
        <f t="shared" si="205"/>
        <v>0</v>
      </c>
      <c r="AX327" s="816">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8"/>
      <c r="C328" s="1179"/>
      <c r="D328" s="2300"/>
      <c r="E328" s="80">
        <f t="shared" si="203"/>
        <v>0</v>
      </c>
      <c r="F328" s="81"/>
      <c r="G328" s="82">
        <f t="shared" si="207"/>
        <v>0</v>
      </c>
      <c r="H328" s="83">
        <f t="shared" si="208"/>
        <v>0</v>
      </c>
      <c r="I328" s="1179"/>
      <c r="J328" s="84"/>
      <c r="K328" s="1179"/>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9"/>
      <c r="AG328" s="85"/>
      <c r="AH328" s="85"/>
      <c r="AI328" s="85"/>
      <c r="AJ328" s="85"/>
      <c r="AK328" s="85"/>
      <c r="AL328" s="85"/>
      <c r="AM328" s="85"/>
      <c r="AN328" s="85"/>
      <c r="AO328" s="85"/>
      <c r="AP328" s="85"/>
      <c r="AQ328" s="85"/>
      <c r="AR328" s="85"/>
      <c r="AS328" s="85"/>
      <c r="AT328" s="81"/>
      <c r="AU328" s="86"/>
      <c r="AV328" s="816">
        <f t="shared" si="204"/>
        <v>0</v>
      </c>
      <c r="AW328" s="816">
        <f t="shared" si="205"/>
        <v>0</v>
      </c>
      <c r="AX328" s="816">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8"/>
      <c r="C329" s="1179"/>
      <c r="D329" s="2300"/>
      <c r="E329" s="80">
        <f t="shared" ref="E329:E360" si="232">IF($C$3="是",ROUND($A$3*G329/$B$3,2),ROUND($A$3*(G329-AT329)/$B$3,2))</f>
        <v>0</v>
      </c>
      <c r="F329" s="81"/>
      <c r="G329" s="82">
        <f t="shared" si="207"/>
        <v>0</v>
      </c>
      <c r="H329" s="83">
        <f t="shared" si="208"/>
        <v>0</v>
      </c>
      <c r="I329" s="1179"/>
      <c r="J329" s="84"/>
      <c r="K329" s="1179"/>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9"/>
      <c r="AG329" s="85"/>
      <c r="AH329" s="85"/>
      <c r="AI329" s="85"/>
      <c r="AJ329" s="85"/>
      <c r="AK329" s="85"/>
      <c r="AL329" s="85"/>
      <c r="AM329" s="85"/>
      <c r="AN329" s="85"/>
      <c r="AO329" s="85"/>
      <c r="AP329" s="85"/>
      <c r="AQ329" s="85"/>
      <c r="AR329" s="85"/>
      <c r="AS329" s="85"/>
      <c r="AT329" s="81"/>
      <c r="AU329" s="86"/>
      <c r="AV329" s="816">
        <f t="shared" ref="AV329:AV360" si="233">A329</f>
        <v>0</v>
      </c>
      <c r="AW329" s="816">
        <f t="shared" ref="AW329:AW360" si="234">B329</f>
        <v>0</v>
      </c>
      <c r="AX329" s="816">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8"/>
      <c r="C330" s="1179"/>
      <c r="D330" s="2300"/>
      <c r="E330" s="80">
        <f t="shared" si="232"/>
        <v>0</v>
      </c>
      <c r="F330" s="81"/>
      <c r="G330" s="82">
        <f t="shared" si="207"/>
        <v>0</v>
      </c>
      <c r="H330" s="83">
        <f t="shared" si="208"/>
        <v>0</v>
      </c>
      <c r="I330" s="1179"/>
      <c r="J330" s="84"/>
      <c r="K330" s="1179"/>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9"/>
      <c r="AG330" s="85"/>
      <c r="AH330" s="85"/>
      <c r="AI330" s="85"/>
      <c r="AJ330" s="85"/>
      <c r="AK330" s="85"/>
      <c r="AL330" s="85"/>
      <c r="AM330" s="85"/>
      <c r="AN330" s="85"/>
      <c r="AO330" s="85"/>
      <c r="AP330" s="85"/>
      <c r="AQ330" s="85"/>
      <c r="AR330" s="85"/>
      <c r="AS330" s="85"/>
      <c r="AT330" s="81"/>
      <c r="AU330" s="86"/>
      <c r="AV330" s="816">
        <f t="shared" si="233"/>
        <v>0</v>
      </c>
      <c r="AW330" s="816">
        <f t="shared" si="234"/>
        <v>0</v>
      </c>
      <c r="AX330" s="816">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8"/>
      <c r="C331" s="1179"/>
      <c r="D331" s="2300"/>
      <c r="E331" s="80">
        <f t="shared" si="232"/>
        <v>0</v>
      </c>
      <c r="F331" s="81"/>
      <c r="G331" s="82">
        <f t="shared" si="207"/>
        <v>0</v>
      </c>
      <c r="H331" s="83">
        <f t="shared" si="208"/>
        <v>0</v>
      </c>
      <c r="I331" s="1179"/>
      <c r="J331" s="84"/>
      <c r="K331" s="1179"/>
      <c r="L331" s="84"/>
      <c r="M331" s="1179"/>
      <c r="N331" s="84"/>
      <c r="O331" s="84"/>
      <c r="P331" s="84"/>
      <c r="Q331" s="84"/>
      <c r="R331" s="84"/>
      <c r="S331" s="84"/>
      <c r="T331" s="84"/>
      <c r="U331" s="84"/>
      <c r="V331" s="84"/>
      <c r="W331" s="84"/>
      <c r="X331" s="84"/>
      <c r="Y331" s="84"/>
      <c r="Z331" s="84"/>
      <c r="AA331" s="84"/>
      <c r="AB331" s="84"/>
      <c r="AC331" s="80">
        <f t="shared" si="209"/>
        <v>0</v>
      </c>
      <c r="AD331" s="85"/>
      <c r="AE331" s="85"/>
      <c r="AF331" s="1179"/>
      <c r="AG331" s="85"/>
      <c r="AH331" s="85"/>
      <c r="AI331" s="85"/>
      <c r="AJ331" s="85"/>
      <c r="AK331" s="85"/>
      <c r="AL331" s="85"/>
      <c r="AM331" s="85"/>
      <c r="AN331" s="85"/>
      <c r="AO331" s="85"/>
      <c r="AP331" s="85"/>
      <c r="AQ331" s="85"/>
      <c r="AR331" s="85"/>
      <c r="AS331" s="85"/>
      <c r="AT331" s="81"/>
      <c r="AU331" s="86"/>
      <c r="AV331" s="816">
        <f t="shared" si="233"/>
        <v>0</v>
      </c>
      <c r="AW331" s="816">
        <f t="shared" si="234"/>
        <v>0</v>
      </c>
      <c r="AX331" s="816">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300"/>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6">
        <f t="shared" si="233"/>
        <v>0</v>
      </c>
      <c r="AW332" s="816">
        <f t="shared" si="234"/>
        <v>0</v>
      </c>
      <c r="AX332" s="816">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300"/>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6">
        <f t="shared" si="233"/>
        <v>0</v>
      </c>
      <c r="AW333" s="816">
        <f t="shared" si="234"/>
        <v>0</v>
      </c>
      <c r="AX333" s="816">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300"/>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6">
        <f t="shared" si="233"/>
        <v>0</v>
      </c>
      <c r="AW334" s="816">
        <f t="shared" si="234"/>
        <v>0</v>
      </c>
      <c r="AX334" s="816">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300"/>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6">
        <f t="shared" si="233"/>
        <v>0</v>
      </c>
      <c r="AW335" s="816">
        <f t="shared" si="234"/>
        <v>0</v>
      </c>
      <c r="AX335" s="816">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300"/>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6">
        <f t="shared" si="233"/>
        <v>0</v>
      </c>
      <c r="AW336" s="816">
        <f t="shared" si="234"/>
        <v>0</v>
      </c>
      <c r="AX336" s="816">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300"/>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6">
        <f t="shared" si="233"/>
        <v>0</v>
      </c>
      <c r="AW337" s="816">
        <f t="shared" si="234"/>
        <v>0</v>
      </c>
      <c r="AX337" s="816">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300"/>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6">
        <f t="shared" si="233"/>
        <v>0</v>
      </c>
      <c r="AW338" s="816">
        <f t="shared" si="234"/>
        <v>0</v>
      </c>
      <c r="AX338" s="816">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300"/>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6">
        <f t="shared" si="233"/>
        <v>0</v>
      </c>
      <c r="AW339" s="816">
        <f t="shared" si="234"/>
        <v>0</v>
      </c>
      <c r="AX339" s="816">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300"/>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6">
        <f t="shared" si="233"/>
        <v>0</v>
      </c>
      <c r="AW340" s="816">
        <f t="shared" si="234"/>
        <v>0</v>
      </c>
      <c r="AX340" s="816">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300"/>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6">
        <f t="shared" si="233"/>
        <v>0</v>
      </c>
      <c r="AW341" s="816">
        <f t="shared" si="234"/>
        <v>0</v>
      </c>
      <c r="AX341" s="816">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300"/>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6">
        <f t="shared" si="233"/>
        <v>0</v>
      </c>
      <c r="AW342" s="816">
        <f t="shared" si="234"/>
        <v>0</v>
      </c>
      <c r="AX342" s="816">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300"/>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6">
        <f t="shared" si="233"/>
        <v>0</v>
      </c>
      <c r="AW343" s="816">
        <f t="shared" si="234"/>
        <v>0</v>
      </c>
      <c r="AX343" s="816">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300"/>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6">
        <f t="shared" si="233"/>
        <v>0</v>
      </c>
      <c r="AW344" s="816">
        <f t="shared" si="234"/>
        <v>0</v>
      </c>
      <c r="AX344" s="816">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300"/>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6">
        <f t="shared" si="233"/>
        <v>0</v>
      </c>
      <c r="AW345" s="816">
        <f t="shared" si="234"/>
        <v>0</v>
      </c>
      <c r="AX345" s="816">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300"/>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6">
        <f t="shared" si="233"/>
        <v>0</v>
      </c>
      <c r="AW346" s="816">
        <f t="shared" si="234"/>
        <v>0</v>
      </c>
      <c r="AX346" s="816">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300"/>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6">
        <f t="shared" si="233"/>
        <v>0</v>
      </c>
      <c r="AW347" s="816">
        <f t="shared" si="234"/>
        <v>0</v>
      </c>
      <c r="AX347" s="816">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300"/>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6">
        <f t="shared" si="233"/>
        <v>0</v>
      </c>
      <c r="AW348" s="816">
        <f t="shared" si="234"/>
        <v>0</v>
      </c>
      <c r="AX348" s="816">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300"/>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6">
        <f t="shared" si="233"/>
        <v>0</v>
      </c>
      <c r="AW349" s="816">
        <f t="shared" si="234"/>
        <v>0</v>
      </c>
      <c r="AX349" s="816">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300"/>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6">
        <f t="shared" si="233"/>
        <v>0</v>
      </c>
      <c r="AW350" s="816">
        <f t="shared" si="234"/>
        <v>0</v>
      </c>
      <c r="AX350" s="816">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300"/>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6">
        <f t="shared" si="233"/>
        <v>0</v>
      </c>
      <c r="AW351" s="816">
        <f t="shared" si="234"/>
        <v>0</v>
      </c>
      <c r="AX351" s="816">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300"/>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6">
        <f t="shared" si="233"/>
        <v>0</v>
      </c>
      <c r="AW352" s="816">
        <f t="shared" si="234"/>
        <v>0</v>
      </c>
      <c r="AX352" s="816">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300"/>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6">
        <f t="shared" si="233"/>
        <v>0</v>
      </c>
      <c r="AW353" s="816">
        <f t="shared" si="234"/>
        <v>0</v>
      </c>
      <c r="AX353" s="816">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300"/>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6">
        <f t="shared" si="233"/>
        <v>0</v>
      </c>
      <c r="AW354" s="816">
        <f t="shared" si="234"/>
        <v>0</v>
      </c>
      <c r="AX354" s="816">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300"/>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6">
        <f t="shared" si="233"/>
        <v>0</v>
      </c>
      <c r="AW355" s="816">
        <f t="shared" si="234"/>
        <v>0</v>
      </c>
      <c r="AX355" s="816">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300"/>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6">
        <f t="shared" si="233"/>
        <v>0</v>
      </c>
      <c r="AW356" s="816">
        <f t="shared" si="234"/>
        <v>0</v>
      </c>
      <c r="AX356" s="816">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300"/>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6">
        <f t="shared" si="233"/>
        <v>0</v>
      </c>
      <c r="AW357" s="816">
        <f t="shared" si="234"/>
        <v>0</v>
      </c>
      <c r="AX357" s="816">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300"/>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6">
        <f t="shared" si="233"/>
        <v>0</v>
      </c>
      <c r="AW358" s="816">
        <f t="shared" si="234"/>
        <v>0</v>
      </c>
      <c r="AX358" s="816">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300"/>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6">
        <f t="shared" si="233"/>
        <v>0</v>
      </c>
      <c r="AW359" s="816">
        <f t="shared" si="234"/>
        <v>0</v>
      </c>
      <c r="AX359" s="816">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300"/>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6">
        <f t="shared" si="233"/>
        <v>0</v>
      </c>
      <c r="AW360" s="816">
        <f t="shared" si="234"/>
        <v>0</v>
      </c>
      <c r="AX360" s="816">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300"/>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6">
        <f t="shared" ref="AV361:AV388" si="262">A361</f>
        <v>0</v>
      </c>
      <c r="AW361" s="816">
        <f t="shared" ref="AW361:AW388" si="263">B361</f>
        <v>0</v>
      </c>
      <c r="AX361" s="816">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300"/>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6">
        <f t="shared" si="262"/>
        <v>0</v>
      </c>
      <c r="AW362" s="816">
        <f t="shared" si="263"/>
        <v>0</v>
      </c>
      <c r="AX362" s="816">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300"/>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6">
        <f t="shared" si="262"/>
        <v>0</v>
      </c>
      <c r="AW363" s="816">
        <f t="shared" si="263"/>
        <v>0</v>
      </c>
      <c r="AX363" s="816">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300"/>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6">
        <f t="shared" si="262"/>
        <v>0</v>
      </c>
      <c r="AW364" s="816">
        <f t="shared" si="263"/>
        <v>0</v>
      </c>
      <c r="AX364" s="816">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300"/>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6">
        <f t="shared" si="262"/>
        <v>0</v>
      </c>
      <c r="AW365" s="816">
        <f t="shared" si="263"/>
        <v>0</v>
      </c>
      <c r="AX365" s="816">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300"/>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6">
        <f t="shared" si="262"/>
        <v>0</v>
      </c>
      <c r="AW366" s="816">
        <f t="shared" si="263"/>
        <v>0</v>
      </c>
      <c r="AX366" s="816">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300"/>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6">
        <f t="shared" si="262"/>
        <v>0</v>
      </c>
      <c r="AW367" s="816">
        <f t="shared" si="263"/>
        <v>0</v>
      </c>
      <c r="AX367" s="816">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300"/>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6">
        <f t="shared" si="262"/>
        <v>0</v>
      </c>
      <c r="AW368" s="816">
        <f t="shared" si="263"/>
        <v>0</v>
      </c>
      <c r="AX368" s="816">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300"/>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6">
        <f t="shared" si="262"/>
        <v>0</v>
      </c>
      <c r="AW369" s="816">
        <f t="shared" si="263"/>
        <v>0</v>
      </c>
      <c r="AX369" s="816">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300"/>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6">
        <f t="shared" si="262"/>
        <v>0</v>
      </c>
      <c r="AW370" s="816">
        <f t="shared" si="263"/>
        <v>0</v>
      </c>
      <c r="AX370" s="816">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300"/>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6">
        <f t="shared" si="262"/>
        <v>0</v>
      </c>
      <c r="AW371" s="816">
        <f t="shared" si="263"/>
        <v>0</v>
      </c>
      <c r="AX371" s="816">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300"/>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6">
        <f t="shared" si="262"/>
        <v>0</v>
      </c>
      <c r="AW372" s="816">
        <f t="shared" si="263"/>
        <v>0</v>
      </c>
      <c r="AX372" s="816">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300"/>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6">
        <f t="shared" si="262"/>
        <v>0</v>
      </c>
      <c r="AW373" s="816">
        <f t="shared" si="263"/>
        <v>0</v>
      </c>
      <c r="AX373" s="816">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300"/>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6">
        <f t="shared" si="262"/>
        <v>0</v>
      </c>
      <c r="AW374" s="816">
        <f t="shared" si="263"/>
        <v>0</v>
      </c>
      <c r="AX374" s="816">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300"/>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6">
        <f t="shared" si="262"/>
        <v>0</v>
      </c>
      <c r="AW375" s="816">
        <f t="shared" si="263"/>
        <v>0</v>
      </c>
      <c r="AX375" s="816">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300"/>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6">
        <f t="shared" si="262"/>
        <v>0</v>
      </c>
      <c r="AW376" s="816">
        <f t="shared" si="263"/>
        <v>0</v>
      </c>
      <c r="AX376" s="816">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300"/>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6">
        <f t="shared" si="262"/>
        <v>0</v>
      </c>
      <c r="AW377" s="816">
        <f t="shared" si="263"/>
        <v>0</v>
      </c>
      <c r="AX377" s="816">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300"/>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6">
        <f t="shared" si="262"/>
        <v>0</v>
      </c>
      <c r="AW378" s="816">
        <f t="shared" si="263"/>
        <v>0</v>
      </c>
      <c r="AX378" s="816">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300"/>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6">
        <f t="shared" si="262"/>
        <v>0</v>
      </c>
      <c r="AW379" s="816">
        <f t="shared" si="263"/>
        <v>0</v>
      </c>
      <c r="AX379" s="816">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300"/>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6">
        <f t="shared" si="262"/>
        <v>0</v>
      </c>
      <c r="AW380" s="816">
        <f t="shared" si="263"/>
        <v>0</v>
      </c>
      <c r="AX380" s="816">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300"/>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6">
        <f t="shared" si="262"/>
        <v>0</v>
      </c>
      <c r="AW381" s="816">
        <f t="shared" si="263"/>
        <v>0</v>
      </c>
      <c r="AX381" s="816">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300"/>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6">
        <f t="shared" si="262"/>
        <v>0</v>
      </c>
      <c r="AW382" s="816">
        <f t="shared" si="263"/>
        <v>0</v>
      </c>
      <c r="AX382" s="816">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300"/>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6">
        <f t="shared" si="262"/>
        <v>0</v>
      </c>
      <c r="AW383" s="816">
        <f t="shared" si="263"/>
        <v>0</v>
      </c>
      <c r="AX383" s="816">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300"/>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6">
        <f t="shared" si="262"/>
        <v>0</v>
      </c>
      <c r="AW384" s="816">
        <f t="shared" si="263"/>
        <v>0</v>
      </c>
      <c r="AX384" s="816">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300"/>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6">
        <f t="shared" si="262"/>
        <v>0</v>
      </c>
      <c r="AW385" s="816">
        <f t="shared" si="263"/>
        <v>0</v>
      </c>
      <c r="AX385" s="816">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300"/>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6">
        <f t="shared" si="262"/>
        <v>0</v>
      </c>
      <c r="AW386" s="816">
        <f t="shared" si="263"/>
        <v>0</v>
      </c>
      <c r="AX386" s="816">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300"/>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6">
        <f t="shared" si="262"/>
        <v>0</v>
      </c>
      <c r="AW387" s="816">
        <f t="shared" si="263"/>
        <v>0</v>
      </c>
      <c r="AX387" s="816">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300"/>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6">
        <f t="shared" si="262"/>
        <v>0</v>
      </c>
      <c r="AW388" s="816">
        <f t="shared" si="263"/>
        <v>0</v>
      </c>
      <c r="AX388" s="816">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8"/>
      <c r="C389" s="1179"/>
      <c r="D389" s="2300"/>
      <c r="E389" s="80">
        <f t="shared" ref="E389:E480" si="265">IF($C$3="是",ROUND($A$3*G389/$B$3,2),ROUND($A$3*(G389-AT389)/$B$3,2))</f>
        <v>0</v>
      </c>
      <c r="F389" s="81"/>
      <c r="G389" s="82">
        <f t="shared" ref="G389:G477" si="266">H389+AC389+AT389</f>
        <v>0</v>
      </c>
      <c r="H389" s="83">
        <f t="shared" ref="H389:H477" si="267">SUMIF(I$12:AB$12,"总值",I389:AB389)</f>
        <v>0</v>
      </c>
      <c r="I389" s="1179"/>
      <c r="J389" s="84"/>
      <c r="K389" s="1179"/>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80"/>
      <c r="AG389" s="85"/>
      <c r="AH389" s="85"/>
      <c r="AI389" s="85"/>
      <c r="AJ389" s="85"/>
      <c r="AK389" s="85"/>
      <c r="AL389" s="85"/>
      <c r="AM389" s="85"/>
      <c r="AN389" s="1156"/>
      <c r="AO389" s="85"/>
      <c r="AP389" s="85"/>
      <c r="AQ389" s="85"/>
      <c r="AR389" s="85"/>
      <c r="AS389" s="85"/>
      <c r="AT389" s="81"/>
      <c r="AU389" s="86"/>
      <c r="AV389" s="816">
        <f t="shared" ref="AV389:AV480" si="269">A389</f>
        <v>0</v>
      </c>
      <c r="AW389" s="816">
        <f t="shared" ref="AW389:AW480" si="270">B389</f>
        <v>0</v>
      </c>
      <c r="AX389" s="816">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8"/>
      <c r="C390" s="1179"/>
      <c r="D390" s="2300"/>
      <c r="E390" s="80">
        <f t="shared" si="265"/>
        <v>0</v>
      </c>
      <c r="F390" s="81"/>
      <c r="G390" s="82">
        <f t="shared" si="266"/>
        <v>0</v>
      </c>
      <c r="H390" s="83">
        <f t="shared" si="267"/>
        <v>0</v>
      </c>
      <c r="I390" s="1179"/>
      <c r="J390" s="84"/>
      <c r="K390" s="1179"/>
      <c r="L390" s="84"/>
      <c r="M390" s="1156"/>
      <c r="N390" s="84"/>
      <c r="O390" s="84"/>
      <c r="P390" s="84"/>
      <c r="Q390" s="84"/>
      <c r="R390" s="84"/>
      <c r="S390" s="84"/>
      <c r="T390" s="84"/>
      <c r="U390" s="84"/>
      <c r="V390" s="84"/>
      <c r="W390" s="84"/>
      <c r="X390" s="84"/>
      <c r="Y390" s="84"/>
      <c r="Z390" s="84"/>
      <c r="AA390" s="84"/>
      <c r="AB390" s="84"/>
      <c r="AC390" s="80">
        <f t="shared" si="268"/>
        <v>0</v>
      </c>
      <c r="AD390" s="1156"/>
      <c r="AE390" s="85"/>
      <c r="AF390" s="1180"/>
      <c r="AG390" s="85"/>
      <c r="AH390" s="85"/>
      <c r="AI390" s="85"/>
      <c r="AJ390" s="85"/>
      <c r="AK390" s="85"/>
      <c r="AL390" s="1156"/>
      <c r="AM390" s="85"/>
      <c r="AN390" s="1156"/>
      <c r="AO390" s="85"/>
      <c r="AP390" s="85"/>
      <c r="AQ390" s="85"/>
      <c r="AR390" s="85"/>
      <c r="AS390" s="85"/>
      <c r="AT390" s="81"/>
      <c r="AU390" s="86"/>
      <c r="AV390" s="816">
        <f t="shared" si="269"/>
        <v>0</v>
      </c>
      <c r="AW390" s="816">
        <f t="shared" si="270"/>
        <v>0</v>
      </c>
      <c r="AX390" s="816">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8"/>
      <c r="C391" s="1179"/>
      <c r="D391" s="2300"/>
      <c r="E391" s="80">
        <f t="shared" si="265"/>
        <v>0</v>
      </c>
      <c r="F391" s="81"/>
      <c r="G391" s="82">
        <f t="shared" si="266"/>
        <v>0</v>
      </c>
      <c r="H391" s="83">
        <f t="shared" si="267"/>
        <v>0</v>
      </c>
      <c r="I391" s="1179"/>
      <c r="J391" s="84"/>
      <c r="K391" s="1179"/>
      <c r="L391" s="84"/>
      <c r="M391" s="1156"/>
      <c r="N391" s="84"/>
      <c r="O391" s="84"/>
      <c r="P391" s="84"/>
      <c r="Q391" s="84"/>
      <c r="R391" s="84"/>
      <c r="S391" s="84"/>
      <c r="T391" s="84"/>
      <c r="U391" s="84"/>
      <c r="V391" s="84"/>
      <c r="W391" s="84"/>
      <c r="X391" s="84"/>
      <c r="Y391" s="84"/>
      <c r="Z391" s="84"/>
      <c r="AA391" s="84"/>
      <c r="AB391" s="84"/>
      <c r="AC391" s="80">
        <f t="shared" si="268"/>
        <v>0</v>
      </c>
      <c r="AD391" s="85"/>
      <c r="AE391" s="85"/>
      <c r="AF391" s="1180"/>
      <c r="AG391" s="85"/>
      <c r="AH391" s="85"/>
      <c r="AI391" s="85"/>
      <c r="AJ391" s="85"/>
      <c r="AK391" s="85"/>
      <c r="AL391" s="1156"/>
      <c r="AM391" s="85"/>
      <c r="AN391" s="1156"/>
      <c r="AO391" s="85"/>
      <c r="AP391" s="85"/>
      <c r="AQ391" s="85"/>
      <c r="AR391" s="85"/>
      <c r="AS391" s="85"/>
      <c r="AT391" s="81"/>
      <c r="AU391" s="86"/>
      <c r="AV391" s="816">
        <f t="shared" si="269"/>
        <v>0</v>
      </c>
      <c r="AW391" s="816">
        <f t="shared" si="270"/>
        <v>0</v>
      </c>
      <c r="AX391" s="816">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8"/>
      <c r="C392" s="1179"/>
      <c r="D392" s="2300"/>
      <c r="E392" s="80">
        <f t="shared" si="265"/>
        <v>0</v>
      </c>
      <c r="F392" s="81"/>
      <c r="G392" s="82">
        <f t="shared" si="266"/>
        <v>0</v>
      </c>
      <c r="H392" s="83">
        <f t="shared" si="267"/>
        <v>0</v>
      </c>
      <c r="I392" s="1179"/>
      <c r="J392" s="84"/>
      <c r="K392" s="1179"/>
      <c r="L392" s="84"/>
      <c r="M392" s="84"/>
      <c r="N392" s="84"/>
      <c r="O392" s="1156"/>
      <c r="P392" s="84"/>
      <c r="Q392" s="84"/>
      <c r="R392" s="84"/>
      <c r="S392" s="84"/>
      <c r="T392" s="84"/>
      <c r="U392" s="84"/>
      <c r="V392" s="84"/>
      <c r="W392" s="84"/>
      <c r="X392" s="84"/>
      <c r="Y392" s="84"/>
      <c r="Z392" s="84"/>
      <c r="AA392" s="84"/>
      <c r="AB392" s="84"/>
      <c r="AC392" s="80">
        <f t="shared" si="268"/>
        <v>0</v>
      </c>
      <c r="AD392" s="85"/>
      <c r="AE392" s="85"/>
      <c r="AF392" s="1180"/>
      <c r="AG392" s="85"/>
      <c r="AH392" s="85"/>
      <c r="AI392" s="85"/>
      <c r="AJ392" s="85"/>
      <c r="AK392" s="85"/>
      <c r="AL392" s="85"/>
      <c r="AM392" s="85"/>
      <c r="AN392" s="1156"/>
      <c r="AO392" s="85"/>
      <c r="AP392" s="85"/>
      <c r="AQ392" s="85"/>
      <c r="AR392" s="85"/>
      <c r="AS392" s="85"/>
      <c r="AT392" s="81"/>
      <c r="AU392" s="86"/>
      <c r="AV392" s="816">
        <f t="shared" si="269"/>
        <v>0</v>
      </c>
      <c r="AW392" s="816">
        <f t="shared" si="270"/>
        <v>0</v>
      </c>
      <c r="AX392" s="816">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8"/>
      <c r="C393" s="1179"/>
      <c r="D393" s="2300"/>
      <c r="E393" s="80">
        <f t="shared" si="265"/>
        <v>0</v>
      </c>
      <c r="F393" s="81"/>
      <c r="G393" s="82">
        <f t="shared" si="266"/>
        <v>0</v>
      </c>
      <c r="H393" s="83">
        <f t="shared" si="267"/>
        <v>0</v>
      </c>
      <c r="I393" s="1179"/>
      <c r="J393" s="84"/>
      <c r="K393" s="1179"/>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80"/>
      <c r="AG393" s="85"/>
      <c r="AH393" s="85"/>
      <c r="AI393" s="85"/>
      <c r="AJ393" s="85"/>
      <c r="AK393" s="85"/>
      <c r="AL393" s="85"/>
      <c r="AM393" s="85"/>
      <c r="AN393" s="85"/>
      <c r="AO393" s="85"/>
      <c r="AP393" s="85"/>
      <c r="AQ393" s="85"/>
      <c r="AR393" s="85"/>
      <c r="AS393" s="85"/>
      <c r="AT393" s="81"/>
      <c r="AU393" s="86"/>
      <c r="AV393" s="816">
        <f t="shared" si="269"/>
        <v>0</v>
      </c>
      <c r="AW393" s="816">
        <f t="shared" si="270"/>
        <v>0</v>
      </c>
      <c r="AX393" s="816">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8"/>
      <c r="C394" s="1179"/>
      <c r="D394" s="2300"/>
      <c r="E394" s="80">
        <f t="shared" si="265"/>
        <v>0</v>
      </c>
      <c r="F394" s="81"/>
      <c r="G394" s="82">
        <f t="shared" si="266"/>
        <v>0</v>
      </c>
      <c r="H394" s="83">
        <f t="shared" si="267"/>
        <v>0</v>
      </c>
      <c r="I394" s="1179"/>
      <c r="J394" s="84"/>
      <c r="K394" s="1179"/>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80"/>
      <c r="AG394" s="85"/>
      <c r="AH394" s="85"/>
      <c r="AI394" s="85"/>
      <c r="AJ394" s="85"/>
      <c r="AK394" s="85"/>
      <c r="AL394" s="85"/>
      <c r="AM394" s="85"/>
      <c r="AN394" s="85"/>
      <c r="AO394" s="85"/>
      <c r="AP394" s="85"/>
      <c r="AQ394" s="85"/>
      <c r="AR394" s="85"/>
      <c r="AS394" s="85"/>
      <c r="AT394" s="81"/>
      <c r="AU394" s="86"/>
      <c r="AV394" s="816">
        <f t="shared" si="269"/>
        <v>0</v>
      </c>
      <c r="AW394" s="816">
        <f t="shared" si="270"/>
        <v>0</v>
      </c>
      <c r="AX394" s="816">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8"/>
      <c r="C395" s="1179"/>
      <c r="D395" s="2300"/>
      <c r="E395" s="80">
        <f t="shared" si="265"/>
        <v>0</v>
      </c>
      <c r="F395" s="81"/>
      <c r="G395" s="82">
        <f t="shared" si="266"/>
        <v>0</v>
      </c>
      <c r="H395" s="83">
        <f t="shared" si="267"/>
        <v>0</v>
      </c>
      <c r="I395" s="1179"/>
      <c r="J395" s="84"/>
      <c r="K395" s="1179"/>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80"/>
      <c r="AG395" s="85"/>
      <c r="AH395" s="85"/>
      <c r="AI395" s="85"/>
      <c r="AJ395" s="85"/>
      <c r="AK395" s="85"/>
      <c r="AL395" s="85"/>
      <c r="AM395" s="85"/>
      <c r="AN395" s="85"/>
      <c r="AO395" s="85"/>
      <c r="AP395" s="85"/>
      <c r="AQ395" s="85"/>
      <c r="AR395" s="85"/>
      <c r="AS395" s="85"/>
      <c r="AT395" s="81"/>
      <c r="AU395" s="86"/>
      <c r="AV395" s="816">
        <f t="shared" si="269"/>
        <v>0</v>
      </c>
      <c r="AW395" s="816">
        <f t="shared" si="270"/>
        <v>0</v>
      </c>
      <c r="AX395" s="816">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8"/>
      <c r="C396" s="1179"/>
      <c r="D396" s="2300"/>
      <c r="E396" s="80">
        <f t="shared" si="265"/>
        <v>0</v>
      </c>
      <c r="F396" s="81"/>
      <c r="G396" s="82">
        <f t="shared" si="266"/>
        <v>0</v>
      </c>
      <c r="H396" s="83">
        <f t="shared" si="267"/>
        <v>0</v>
      </c>
      <c r="I396" s="1179"/>
      <c r="J396" s="84"/>
      <c r="K396" s="1179"/>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9"/>
      <c r="AG396" s="85"/>
      <c r="AH396" s="85"/>
      <c r="AI396" s="85"/>
      <c r="AJ396" s="85"/>
      <c r="AK396" s="85"/>
      <c r="AL396" s="85"/>
      <c r="AM396" s="85"/>
      <c r="AN396" s="85"/>
      <c r="AO396" s="85"/>
      <c r="AP396" s="85"/>
      <c r="AQ396" s="85"/>
      <c r="AR396" s="85"/>
      <c r="AS396" s="85"/>
      <c r="AT396" s="81"/>
      <c r="AU396" s="86"/>
      <c r="AV396" s="816">
        <f t="shared" si="269"/>
        <v>0</v>
      </c>
      <c r="AW396" s="816">
        <f t="shared" si="270"/>
        <v>0</v>
      </c>
      <c r="AX396" s="816">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8"/>
      <c r="C397" s="1179"/>
      <c r="D397" s="2300"/>
      <c r="E397" s="80">
        <f t="shared" si="265"/>
        <v>0</v>
      </c>
      <c r="F397" s="81"/>
      <c r="G397" s="82">
        <f t="shared" si="266"/>
        <v>0</v>
      </c>
      <c r="H397" s="83">
        <f t="shared" si="267"/>
        <v>0</v>
      </c>
      <c r="I397" s="1179"/>
      <c r="J397" s="84"/>
      <c r="K397" s="1179"/>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9"/>
      <c r="AG397" s="85"/>
      <c r="AH397" s="85"/>
      <c r="AI397" s="85"/>
      <c r="AJ397" s="85"/>
      <c r="AK397" s="85"/>
      <c r="AL397" s="85"/>
      <c r="AM397" s="85"/>
      <c r="AN397" s="85"/>
      <c r="AO397" s="85"/>
      <c r="AP397" s="85"/>
      <c r="AQ397" s="85"/>
      <c r="AR397" s="85"/>
      <c r="AS397" s="85"/>
      <c r="AT397" s="81"/>
      <c r="AU397" s="86"/>
      <c r="AV397" s="816">
        <f t="shared" si="269"/>
        <v>0</v>
      </c>
      <c r="AW397" s="816">
        <f t="shared" si="270"/>
        <v>0</v>
      </c>
      <c r="AX397" s="816">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8"/>
      <c r="C398" s="1179"/>
      <c r="D398" s="2300"/>
      <c r="E398" s="80">
        <f t="shared" si="265"/>
        <v>0</v>
      </c>
      <c r="F398" s="81"/>
      <c r="G398" s="82">
        <f t="shared" si="266"/>
        <v>0</v>
      </c>
      <c r="H398" s="83">
        <f t="shared" si="267"/>
        <v>0</v>
      </c>
      <c r="I398" s="1179"/>
      <c r="J398" s="84"/>
      <c r="K398" s="1179"/>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9"/>
      <c r="AG398" s="85"/>
      <c r="AH398" s="85"/>
      <c r="AI398" s="85"/>
      <c r="AJ398" s="85"/>
      <c r="AK398" s="85"/>
      <c r="AL398" s="85"/>
      <c r="AM398" s="85"/>
      <c r="AN398" s="85"/>
      <c r="AO398" s="85"/>
      <c r="AP398" s="85"/>
      <c r="AQ398" s="85"/>
      <c r="AR398" s="85"/>
      <c r="AS398" s="85"/>
      <c r="AT398" s="81"/>
      <c r="AU398" s="86"/>
      <c r="AV398" s="816">
        <f t="shared" si="269"/>
        <v>0</v>
      </c>
      <c r="AW398" s="816">
        <f t="shared" si="270"/>
        <v>0</v>
      </c>
      <c r="AX398" s="816">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8"/>
      <c r="C399" s="1179"/>
      <c r="D399" s="2300"/>
      <c r="E399" s="80">
        <f t="shared" si="265"/>
        <v>0</v>
      </c>
      <c r="F399" s="81"/>
      <c r="G399" s="82">
        <f t="shared" si="266"/>
        <v>0</v>
      </c>
      <c r="H399" s="83">
        <f t="shared" si="267"/>
        <v>0</v>
      </c>
      <c r="I399" s="1179"/>
      <c r="J399" s="84"/>
      <c r="K399" s="1179"/>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9"/>
      <c r="AG399" s="85"/>
      <c r="AH399" s="85"/>
      <c r="AI399" s="85"/>
      <c r="AJ399" s="85"/>
      <c r="AK399" s="85"/>
      <c r="AL399" s="85"/>
      <c r="AM399" s="85"/>
      <c r="AN399" s="85"/>
      <c r="AO399" s="85"/>
      <c r="AP399" s="85"/>
      <c r="AQ399" s="85"/>
      <c r="AR399" s="85"/>
      <c r="AS399" s="85"/>
      <c r="AT399" s="81"/>
      <c r="AU399" s="86"/>
      <c r="AV399" s="816">
        <f t="shared" si="269"/>
        <v>0</v>
      </c>
      <c r="AW399" s="816">
        <f t="shared" si="270"/>
        <v>0</v>
      </c>
      <c r="AX399" s="816">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8"/>
      <c r="C400" s="1179"/>
      <c r="D400" s="2300"/>
      <c r="E400" s="80">
        <f t="shared" si="265"/>
        <v>0</v>
      </c>
      <c r="F400" s="81"/>
      <c r="G400" s="82">
        <f t="shared" si="266"/>
        <v>0</v>
      </c>
      <c r="H400" s="83">
        <f t="shared" si="267"/>
        <v>0</v>
      </c>
      <c r="I400" s="1179"/>
      <c r="J400" s="84"/>
      <c r="K400" s="1179"/>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9"/>
      <c r="AG400" s="85"/>
      <c r="AH400" s="85"/>
      <c r="AI400" s="85"/>
      <c r="AJ400" s="85"/>
      <c r="AK400" s="85"/>
      <c r="AL400" s="85"/>
      <c r="AM400" s="85"/>
      <c r="AN400" s="85"/>
      <c r="AO400" s="85"/>
      <c r="AP400" s="85"/>
      <c r="AQ400" s="85"/>
      <c r="AR400" s="85"/>
      <c r="AS400" s="85"/>
      <c r="AT400" s="81"/>
      <c r="AU400" s="86"/>
      <c r="AV400" s="816">
        <f t="shared" si="269"/>
        <v>0</v>
      </c>
      <c r="AW400" s="816">
        <f t="shared" si="270"/>
        <v>0</v>
      </c>
      <c r="AX400" s="816">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8"/>
      <c r="C401" s="1179"/>
      <c r="D401" s="2300"/>
      <c r="E401" s="80">
        <f t="shared" si="265"/>
        <v>0</v>
      </c>
      <c r="F401" s="81"/>
      <c r="G401" s="82">
        <f t="shared" si="266"/>
        <v>0</v>
      </c>
      <c r="H401" s="83">
        <f t="shared" si="267"/>
        <v>0</v>
      </c>
      <c r="I401" s="1179"/>
      <c r="J401" s="84"/>
      <c r="K401" s="1179"/>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9"/>
      <c r="AG401" s="85"/>
      <c r="AH401" s="85"/>
      <c r="AI401" s="85"/>
      <c r="AJ401" s="85"/>
      <c r="AK401" s="85"/>
      <c r="AL401" s="85"/>
      <c r="AM401" s="85"/>
      <c r="AN401" s="85"/>
      <c r="AO401" s="85"/>
      <c r="AP401" s="85"/>
      <c r="AQ401" s="85"/>
      <c r="AR401" s="85"/>
      <c r="AS401" s="85"/>
      <c r="AT401" s="81"/>
      <c r="AU401" s="86"/>
      <c r="AV401" s="816">
        <f t="shared" si="269"/>
        <v>0</v>
      </c>
      <c r="AW401" s="816">
        <f t="shared" si="270"/>
        <v>0</v>
      </c>
      <c r="AX401" s="816">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8"/>
      <c r="C402" s="1179"/>
      <c r="D402" s="2300"/>
      <c r="E402" s="80">
        <f t="shared" si="265"/>
        <v>0</v>
      </c>
      <c r="F402" s="81"/>
      <c r="G402" s="82">
        <f t="shared" si="266"/>
        <v>0</v>
      </c>
      <c r="H402" s="83">
        <f t="shared" si="267"/>
        <v>0</v>
      </c>
      <c r="I402" s="1179"/>
      <c r="J402" s="84"/>
      <c r="K402" s="1179"/>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9"/>
      <c r="AG402" s="85"/>
      <c r="AH402" s="85"/>
      <c r="AI402" s="85"/>
      <c r="AJ402" s="85"/>
      <c r="AK402" s="85"/>
      <c r="AL402" s="85"/>
      <c r="AM402" s="85"/>
      <c r="AN402" s="85"/>
      <c r="AO402" s="85"/>
      <c r="AP402" s="85"/>
      <c r="AQ402" s="85"/>
      <c r="AR402" s="85"/>
      <c r="AS402" s="85"/>
      <c r="AT402" s="81"/>
      <c r="AU402" s="86"/>
      <c r="AV402" s="816">
        <f t="shared" si="269"/>
        <v>0</v>
      </c>
      <c r="AW402" s="816">
        <f t="shared" si="270"/>
        <v>0</v>
      </c>
      <c r="AX402" s="816">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8"/>
      <c r="C403" s="1179"/>
      <c r="D403" s="2300"/>
      <c r="E403" s="80">
        <f t="shared" si="265"/>
        <v>0</v>
      </c>
      <c r="F403" s="81"/>
      <c r="G403" s="82">
        <f t="shared" si="266"/>
        <v>0</v>
      </c>
      <c r="H403" s="83">
        <f t="shared" si="267"/>
        <v>0</v>
      </c>
      <c r="I403" s="1179"/>
      <c r="J403" s="84"/>
      <c r="K403" s="1179"/>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9"/>
      <c r="AG403" s="85"/>
      <c r="AH403" s="85"/>
      <c r="AI403" s="85"/>
      <c r="AJ403" s="85"/>
      <c r="AK403" s="85"/>
      <c r="AL403" s="85"/>
      <c r="AM403" s="85"/>
      <c r="AN403" s="85"/>
      <c r="AO403" s="85"/>
      <c r="AP403" s="85"/>
      <c r="AQ403" s="85"/>
      <c r="AR403" s="85"/>
      <c r="AS403" s="85"/>
      <c r="AT403" s="81"/>
      <c r="AU403" s="86"/>
      <c r="AV403" s="816">
        <f t="shared" si="269"/>
        <v>0</v>
      </c>
      <c r="AW403" s="816">
        <f t="shared" si="270"/>
        <v>0</v>
      </c>
      <c r="AX403" s="816">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8"/>
      <c r="C404" s="1179"/>
      <c r="D404" s="2300"/>
      <c r="E404" s="80">
        <f t="shared" si="265"/>
        <v>0</v>
      </c>
      <c r="F404" s="81"/>
      <c r="G404" s="82">
        <f t="shared" si="266"/>
        <v>0</v>
      </c>
      <c r="H404" s="83">
        <f t="shared" si="267"/>
        <v>0</v>
      </c>
      <c r="I404" s="1179"/>
      <c r="J404" s="84"/>
      <c r="K404" s="1179"/>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9"/>
      <c r="AG404" s="85"/>
      <c r="AH404" s="85"/>
      <c r="AI404" s="85"/>
      <c r="AJ404" s="85"/>
      <c r="AK404" s="85"/>
      <c r="AL404" s="85"/>
      <c r="AM404" s="85"/>
      <c r="AN404" s="85"/>
      <c r="AO404" s="85"/>
      <c r="AP404" s="85"/>
      <c r="AQ404" s="85"/>
      <c r="AR404" s="85"/>
      <c r="AS404" s="85"/>
      <c r="AT404" s="81"/>
      <c r="AU404" s="86"/>
      <c r="AV404" s="816">
        <f t="shared" si="269"/>
        <v>0</v>
      </c>
      <c r="AW404" s="816">
        <f t="shared" si="270"/>
        <v>0</v>
      </c>
      <c r="AX404" s="816">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8"/>
      <c r="C405" s="1179"/>
      <c r="D405" s="2300"/>
      <c r="E405" s="80">
        <f t="shared" si="265"/>
        <v>0</v>
      </c>
      <c r="F405" s="81"/>
      <c r="G405" s="82">
        <f t="shared" si="266"/>
        <v>0</v>
      </c>
      <c r="H405" s="83">
        <f t="shared" si="267"/>
        <v>0</v>
      </c>
      <c r="I405" s="1179"/>
      <c r="J405" s="84"/>
      <c r="K405" s="1179"/>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9"/>
      <c r="AG405" s="85"/>
      <c r="AH405" s="85"/>
      <c r="AI405" s="85"/>
      <c r="AJ405" s="85"/>
      <c r="AK405" s="85"/>
      <c r="AL405" s="85"/>
      <c r="AM405" s="85"/>
      <c r="AN405" s="85"/>
      <c r="AO405" s="85"/>
      <c r="AP405" s="85"/>
      <c r="AQ405" s="85"/>
      <c r="AR405" s="85"/>
      <c r="AS405" s="85"/>
      <c r="AT405" s="81"/>
      <c r="AU405" s="86"/>
      <c r="AV405" s="816">
        <f t="shared" si="269"/>
        <v>0</v>
      </c>
      <c r="AW405" s="816">
        <f t="shared" si="270"/>
        <v>0</v>
      </c>
      <c r="AX405" s="816">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8"/>
      <c r="C406" s="1179"/>
      <c r="D406" s="2300"/>
      <c r="E406" s="80">
        <f t="shared" si="265"/>
        <v>0</v>
      </c>
      <c r="F406" s="81"/>
      <c r="G406" s="82">
        <f t="shared" si="266"/>
        <v>0</v>
      </c>
      <c r="H406" s="83">
        <f t="shared" si="267"/>
        <v>0</v>
      </c>
      <c r="I406" s="1179"/>
      <c r="J406" s="84"/>
      <c r="K406" s="1179"/>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9"/>
      <c r="AG406" s="85"/>
      <c r="AH406" s="85"/>
      <c r="AI406" s="85"/>
      <c r="AJ406" s="85"/>
      <c r="AK406" s="85"/>
      <c r="AL406" s="85"/>
      <c r="AM406" s="85"/>
      <c r="AN406" s="85"/>
      <c r="AO406" s="85"/>
      <c r="AP406" s="85"/>
      <c r="AQ406" s="85"/>
      <c r="AR406" s="85"/>
      <c r="AS406" s="85"/>
      <c r="AT406" s="81"/>
      <c r="AU406" s="86"/>
      <c r="AV406" s="816">
        <f t="shared" si="269"/>
        <v>0</v>
      </c>
      <c r="AW406" s="816">
        <f t="shared" si="270"/>
        <v>0</v>
      </c>
      <c r="AX406" s="816">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8"/>
      <c r="C407" s="1179"/>
      <c r="D407" s="2300"/>
      <c r="E407" s="80">
        <f t="shared" si="265"/>
        <v>0</v>
      </c>
      <c r="F407" s="81"/>
      <c r="G407" s="82">
        <f t="shared" si="266"/>
        <v>0</v>
      </c>
      <c r="H407" s="83">
        <f t="shared" si="267"/>
        <v>0</v>
      </c>
      <c r="I407" s="1179"/>
      <c r="J407" s="84"/>
      <c r="K407" s="1179"/>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9"/>
      <c r="AG407" s="85"/>
      <c r="AH407" s="85"/>
      <c r="AI407" s="85"/>
      <c r="AJ407" s="85"/>
      <c r="AK407" s="85"/>
      <c r="AL407" s="85"/>
      <c r="AM407" s="85"/>
      <c r="AN407" s="85"/>
      <c r="AO407" s="85"/>
      <c r="AP407" s="85"/>
      <c r="AQ407" s="85"/>
      <c r="AR407" s="85"/>
      <c r="AS407" s="85"/>
      <c r="AT407" s="81"/>
      <c r="AU407" s="86"/>
      <c r="AV407" s="816">
        <f t="shared" si="269"/>
        <v>0</v>
      </c>
      <c r="AW407" s="816">
        <f t="shared" si="270"/>
        <v>0</v>
      </c>
      <c r="AX407" s="816">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8"/>
      <c r="C408" s="1179"/>
      <c r="D408" s="2300"/>
      <c r="E408" s="80">
        <f t="shared" si="265"/>
        <v>0</v>
      </c>
      <c r="F408" s="81"/>
      <c r="G408" s="82">
        <f t="shared" si="266"/>
        <v>0</v>
      </c>
      <c r="H408" s="83">
        <f t="shared" si="267"/>
        <v>0</v>
      </c>
      <c r="I408" s="1179"/>
      <c r="J408" s="84"/>
      <c r="K408" s="1179"/>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9"/>
      <c r="AG408" s="85"/>
      <c r="AH408" s="85"/>
      <c r="AI408" s="85"/>
      <c r="AJ408" s="85"/>
      <c r="AK408" s="85"/>
      <c r="AL408" s="85"/>
      <c r="AM408" s="85"/>
      <c r="AN408" s="85"/>
      <c r="AO408" s="85"/>
      <c r="AP408" s="85"/>
      <c r="AQ408" s="85"/>
      <c r="AR408" s="85"/>
      <c r="AS408" s="85"/>
      <c r="AT408" s="81"/>
      <c r="AU408" s="86"/>
      <c r="AV408" s="816">
        <f t="shared" si="269"/>
        <v>0</v>
      </c>
      <c r="AW408" s="816">
        <f t="shared" si="270"/>
        <v>0</v>
      </c>
      <c r="AX408" s="816">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8"/>
      <c r="C409" s="1179"/>
      <c r="D409" s="2300"/>
      <c r="E409" s="80">
        <f t="shared" si="265"/>
        <v>0</v>
      </c>
      <c r="F409" s="81"/>
      <c r="G409" s="82">
        <f t="shared" si="266"/>
        <v>0</v>
      </c>
      <c r="H409" s="83">
        <f t="shared" si="267"/>
        <v>0</v>
      </c>
      <c r="I409" s="1179"/>
      <c r="J409" s="84"/>
      <c r="K409" s="1179"/>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9"/>
      <c r="AG409" s="85"/>
      <c r="AH409" s="85"/>
      <c r="AI409" s="85"/>
      <c r="AJ409" s="85"/>
      <c r="AK409" s="85"/>
      <c r="AL409" s="85"/>
      <c r="AM409" s="85"/>
      <c r="AN409" s="85"/>
      <c r="AO409" s="85"/>
      <c r="AP409" s="85"/>
      <c r="AQ409" s="85"/>
      <c r="AR409" s="85"/>
      <c r="AS409" s="85"/>
      <c r="AT409" s="81"/>
      <c r="AU409" s="86"/>
      <c r="AV409" s="816">
        <f t="shared" si="269"/>
        <v>0</v>
      </c>
      <c r="AW409" s="816">
        <f t="shared" si="270"/>
        <v>0</v>
      </c>
      <c r="AX409" s="816">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8"/>
      <c r="C410" s="1179"/>
      <c r="D410" s="2300"/>
      <c r="E410" s="80">
        <f t="shared" si="265"/>
        <v>0</v>
      </c>
      <c r="F410" s="81"/>
      <c r="G410" s="82">
        <f t="shared" si="266"/>
        <v>0</v>
      </c>
      <c r="H410" s="83">
        <f t="shared" si="267"/>
        <v>0</v>
      </c>
      <c r="I410" s="1179"/>
      <c r="J410" s="84"/>
      <c r="K410" s="1179"/>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9"/>
      <c r="AG410" s="85"/>
      <c r="AH410" s="85"/>
      <c r="AI410" s="85"/>
      <c r="AJ410" s="85"/>
      <c r="AK410" s="85"/>
      <c r="AL410" s="85"/>
      <c r="AM410" s="85"/>
      <c r="AN410" s="85"/>
      <c r="AO410" s="85"/>
      <c r="AP410" s="85"/>
      <c r="AQ410" s="85"/>
      <c r="AR410" s="85"/>
      <c r="AS410" s="85"/>
      <c r="AT410" s="81"/>
      <c r="AU410" s="86"/>
      <c r="AV410" s="816">
        <f t="shared" si="269"/>
        <v>0</v>
      </c>
      <c r="AW410" s="816">
        <f t="shared" si="270"/>
        <v>0</v>
      </c>
      <c r="AX410" s="816">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8"/>
      <c r="C411" s="1179"/>
      <c r="D411" s="2300"/>
      <c r="E411" s="80">
        <f t="shared" si="265"/>
        <v>0</v>
      </c>
      <c r="F411" s="81"/>
      <c r="G411" s="82">
        <f t="shared" si="266"/>
        <v>0</v>
      </c>
      <c r="H411" s="83">
        <f t="shared" si="267"/>
        <v>0</v>
      </c>
      <c r="I411" s="1179"/>
      <c r="J411" s="84"/>
      <c r="K411" s="1179"/>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9"/>
      <c r="AG411" s="85"/>
      <c r="AH411" s="85"/>
      <c r="AI411" s="85"/>
      <c r="AJ411" s="85"/>
      <c r="AK411" s="85"/>
      <c r="AL411" s="85"/>
      <c r="AM411" s="85"/>
      <c r="AN411" s="85"/>
      <c r="AO411" s="85"/>
      <c r="AP411" s="85"/>
      <c r="AQ411" s="85"/>
      <c r="AR411" s="85"/>
      <c r="AS411" s="85"/>
      <c r="AT411" s="81"/>
      <c r="AU411" s="86"/>
      <c r="AV411" s="816">
        <f t="shared" si="269"/>
        <v>0</v>
      </c>
      <c r="AW411" s="816">
        <f t="shared" si="270"/>
        <v>0</v>
      </c>
      <c r="AX411" s="816">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8"/>
      <c r="C412" s="1179"/>
      <c r="D412" s="2300"/>
      <c r="E412" s="80">
        <f t="shared" si="265"/>
        <v>0</v>
      </c>
      <c r="F412" s="81"/>
      <c r="G412" s="82">
        <f t="shared" si="266"/>
        <v>0</v>
      </c>
      <c r="H412" s="83">
        <f t="shared" si="267"/>
        <v>0</v>
      </c>
      <c r="I412" s="1179"/>
      <c r="J412" s="84"/>
      <c r="K412" s="1179"/>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9"/>
      <c r="AG412" s="85"/>
      <c r="AH412" s="85"/>
      <c r="AI412" s="85"/>
      <c r="AJ412" s="85"/>
      <c r="AK412" s="85"/>
      <c r="AL412" s="85"/>
      <c r="AM412" s="85"/>
      <c r="AN412" s="85"/>
      <c r="AO412" s="85"/>
      <c r="AP412" s="85"/>
      <c r="AQ412" s="85"/>
      <c r="AR412" s="85"/>
      <c r="AS412" s="85"/>
      <c r="AT412" s="81"/>
      <c r="AU412" s="86"/>
      <c r="AV412" s="816">
        <f t="shared" si="269"/>
        <v>0</v>
      </c>
      <c r="AW412" s="816">
        <f t="shared" si="270"/>
        <v>0</v>
      </c>
      <c r="AX412" s="816">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8"/>
      <c r="C413" s="1179"/>
      <c r="D413" s="2300"/>
      <c r="E413" s="80">
        <f t="shared" si="265"/>
        <v>0</v>
      </c>
      <c r="F413" s="81"/>
      <c r="G413" s="82">
        <f t="shared" si="266"/>
        <v>0</v>
      </c>
      <c r="H413" s="83">
        <f t="shared" si="267"/>
        <v>0</v>
      </c>
      <c r="I413" s="1179"/>
      <c r="J413" s="84"/>
      <c r="K413" s="1179"/>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9"/>
      <c r="AG413" s="85"/>
      <c r="AH413" s="85"/>
      <c r="AI413" s="85"/>
      <c r="AJ413" s="85"/>
      <c r="AK413" s="85"/>
      <c r="AL413" s="85"/>
      <c r="AM413" s="85"/>
      <c r="AN413" s="85"/>
      <c r="AO413" s="85"/>
      <c r="AP413" s="85"/>
      <c r="AQ413" s="85"/>
      <c r="AR413" s="85"/>
      <c r="AS413" s="85"/>
      <c r="AT413" s="81"/>
      <c r="AU413" s="86"/>
      <c r="AV413" s="816">
        <f t="shared" si="269"/>
        <v>0</v>
      </c>
      <c r="AW413" s="816">
        <f t="shared" si="270"/>
        <v>0</v>
      </c>
      <c r="AX413" s="816">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8"/>
      <c r="C414" s="1179"/>
      <c r="D414" s="2300"/>
      <c r="E414" s="80">
        <f t="shared" si="265"/>
        <v>0</v>
      </c>
      <c r="F414" s="81"/>
      <c r="G414" s="82">
        <f t="shared" si="266"/>
        <v>0</v>
      </c>
      <c r="H414" s="83">
        <f t="shared" si="267"/>
        <v>0</v>
      </c>
      <c r="I414" s="1179"/>
      <c r="J414" s="84"/>
      <c r="K414" s="1179"/>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9"/>
      <c r="AG414" s="85"/>
      <c r="AH414" s="85"/>
      <c r="AI414" s="85"/>
      <c r="AJ414" s="85"/>
      <c r="AK414" s="85"/>
      <c r="AL414" s="85"/>
      <c r="AM414" s="85"/>
      <c r="AN414" s="85"/>
      <c r="AO414" s="85"/>
      <c r="AP414" s="85"/>
      <c r="AQ414" s="85"/>
      <c r="AR414" s="85"/>
      <c r="AS414" s="85"/>
      <c r="AT414" s="81"/>
      <c r="AU414" s="86"/>
      <c r="AV414" s="816">
        <f t="shared" si="269"/>
        <v>0</v>
      </c>
      <c r="AW414" s="816">
        <f t="shared" si="270"/>
        <v>0</v>
      </c>
      <c r="AX414" s="816">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8"/>
      <c r="C415" s="1179"/>
      <c r="D415" s="2300"/>
      <c r="E415" s="80">
        <f t="shared" si="265"/>
        <v>0</v>
      </c>
      <c r="F415" s="81"/>
      <c r="G415" s="82">
        <f t="shared" si="266"/>
        <v>0</v>
      </c>
      <c r="H415" s="83">
        <f t="shared" si="267"/>
        <v>0</v>
      </c>
      <c r="I415" s="1179"/>
      <c r="J415" s="84"/>
      <c r="K415" s="1179"/>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9"/>
      <c r="AG415" s="85"/>
      <c r="AH415" s="85"/>
      <c r="AI415" s="85"/>
      <c r="AJ415" s="85"/>
      <c r="AK415" s="85"/>
      <c r="AL415" s="85"/>
      <c r="AM415" s="85"/>
      <c r="AN415" s="85"/>
      <c r="AO415" s="85"/>
      <c r="AP415" s="85"/>
      <c r="AQ415" s="85"/>
      <c r="AR415" s="85"/>
      <c r="AS415" s="85"/>
      <c r="AT415" s="81"/>
      <c r="AU415" s="86"/>
      <c r="AV415" s="816">
        <f t="shared" si="269"/>
        <v>0</v>
      </c>
      <c r="AW415" s="816">
        <f t="shared" si="270"/>
        <v>0</v>
      </c>
      <c r="AX415" s="816">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8"/>
      <c r="C416" s="1179"/>
      <c r="D416" s="2300"/>
      <c r="E416" s="80">
        <f t="shared" si="265"/>
        <v>0</v>
      </c>
      <c r="F416" s="81"/>
      <c r="G416" s="82">
        <f t="shared" si="266"/>
        <v>0</v>
      </c>
      <c r="H416" s="83">
        <f t="shared" si="267"/>
        <v>0</v>
      </c>
      <c r="I416" s="1179"/>
      <c r="J416" s="84"/>
      <c r="K416" s="1179"/>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9"/>
      <c r="AG416" s="85"/>
      <c r="AH416" s="85"/>
      <c r="AI416" s="85"/>
      <c r="AJ416" s="85"/>
      <c r="AK416" s="85"/>
      <c r="AL416" s="85"/>
      <c r="AM416" s="85"/>
      <c r="AN416" s="85"/>
      <c r="AO416" s="85"/>
      <c r="AP416" s="85"/>
      <c r="AQ416" s="85"/>
      <c r="AR416" s="85"/>
      <c r="AS416" s="85"/>
      <c r="AT416" s="81"/>
      <c r="AU416" s="86"/>
      <c r="AV416" s="816">
        <f t="shared" si="269"/>
        <v>0</v>
      </c>
      <c r="AW416" s="816">
        <f t="shared" si="270"/>
        <v>0</v>
      </c>
      <c r="AX416" s="816">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8"/>
      <c r="C417" s="1179"/>
      <c r="D417" s="2300"/>
      <c r="E417" s="80">
        <f t="shared" si="265"/>
        <v>0</v>
      </c>
      <c r="F417" s="81"/>
      <c r="G417" s="82">
        <f t="shared" si="266"/>
        <v>0</v>
      </c>
      <c r="H417" s="83">
        <f t="shared" si="267"/>
        <v>0</v>
      </c>
      <c r="I417" s="1179"/>
      <c r="J417" s="84"/>
      <c r="K417" s="1179"/>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9"/>
      <c r="AG417" s="85"/>
      <c r="AH417" s="85"/>
      <c r="AI417" s="85"/>
      <c r="AJ417" s="85"/>
      <c r="AK417" s="85"/>
      <c r="AL417" s="85"/>
      <c r="AM417" s="85"/>
      <c r="AN417" s="85"/>
      <c r="AO417" s="85"/>
      <c r="AP417" s="85"/>
      <c r="AQ417" s="85"/>
      <c r="AR417" s="85"/>
      <c r="AS417" s="85"/>
      <c r="AT417" s="81"/>
      <c r="AU417" s="86"/>
      <c r="AV417" s="816">
        <f t="shared" si="269"/>
        <v>0</v>
      </c>
      <c r="AW417" s="816">
        <f t="shared" si="270"/>
        <v>0</v>
      </c>
      <c r="AX417" s="816">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8"/>
      <c r="C418" s="1179"/>
      <c r="D418" s="2300"/>
      <c r="E418" s="80">
        <f t="shared" si="265"/>
        <v>0</v>
      </c>
      <c r="F418" s="81"/>
      <c r="G418" s="82">
        <f t="shared" si="266"/>
        <v>0</v>
      </c>
      <c r="H418" s="83">
        <f t="shared" si="267"/>
        <v>0</v>
      </c>
      <c r="I418" s="1179"/>
      <c r="J418" s="84"/>
      <c r="K418" s="1179"/>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9"/>
      <c r="AG418" s="85"/>
      <c r="AH418" s="85"/>
      <c r="AI418" s="85"/>
      <c r="AJ418" s="85"/>
      <c r="AK418" s="85"/>
      <c r="AL418" s="85"/>
      <c r="AM418" s="85"/>
      <c r="AN418" s="85"/>
      <c r="AO418" s="85"/>
      <c r="AP418" s="85"/>
      <c r="AQ418" s="85"/>
      <c r="AR418" s="85"/>
      <c r="AS418" s="85"/>
      <c r="AT418" s="81"/>
      <c r="AU418" s="86"/>
      <c r="AV418" s="816">
        <f t="shared" si="269"/>
        <v>0</v>
      </c>
      <c r="AW418" s="816">
        <f t="shared" si="270"/>
        <v>0</v>
      </c>
      <c r="AX418" s="816">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8"/>
      <c r="C419" s="1179"/>
      <c r="D419" s="2300"/>
      <c r="E419" s="80">
        <f t="shared" si="265"/>
        <v>0</v>
      </c>
      <c r="F419" s="81"/>
      <c r="G419" s="82">
        <f t="shared" si="266"/>
        <v>0</v>
      </c>
      <c r="H419" s="83">
        <f t="shared" si="267"/>
        <v>0</v>
      </c>
      <c r="I419" s="1179"/>
      <c r="J419" s="84"/>
      <c r="K419" s="1179"/>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9"/>
      <c r="AG419" s="85"/>
      <c r="AH419" s="85"/>
      <c r="AI419" s="85"/>
      <c r="AJ419" s="85"/>
      <c r="AK419" s="85"/>
      <c r="AL419" s="85"/>
      <c r="AM419" s="85"/>
      <c r="AN419" s="85"/>
      <c r="AO419" s="85"/>
      <c r="AP419" s="85"/>
      <c r="AQ419" s="85"/>
      <c r="AR419" s="85"/>
      <c r="AS419" s="85"/>
      <c r="AT419" s="81"/>
      <c r="AU419" s="86"/>
      <c r="AV419" s="816">
        <f t="shared" si="269"/>
        <v>0</v>
      </c>
      <c r="AW419" s="816">
        <f t="shared" si="270"/>
        <v>0</v>
      </c>
      <c r="AX419" s="816">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8"/>
      <c r="C420" s="1179"/>
      <c r="D420" s="2300"/>
      <c r="E420" s="80">
        <f t="shared" si="265"/>
        <v>0</v>
      </c>
      <c r="F420" s="81"/>
      <c r="G420" s="82">
        <f t="shared" si="266"/>
        <v>0</v>
      </c>
      <c r="H420" s="83">
        <f t="shared" si="267"/>
        <v>0</v>
      </c>
      <c r="I420" s="1179"/>
      <c r="J420" s="84"/>
      <c r="K420" s="1179"/>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9"/>
      <c r="AG420" s="85"/>
      <c r="AH420" s="85"/>
      <c r="AI420" s="85"/>
      <c r="AJ420" s="85"/>
      <c r="AK420" s="85"/>
      <c r="AL420" s="85"/>
      <c r="AM420" s="85"/>
      <c r="AN420" s="85"/>
      <c r="AO420" s="85"/>
      <c r="AP420" s="85"/>
      <c r="AQ420" s="85"/>
      <c r="AR420" s="85"/>
      <c r="AS420" s="85"/>
      <c r="AT420" s="81"/>
      <c r="AU420" s="86"/>
      <c r="AV420" s="816">
        <f t="shared" si="269"/>
        <v>0</v>
      </c>
      <c r="AW420" s="816">
        <f t="shared" si="270"/>
        <v>0</v>
      </c>
      <c r="AX420" s="816">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8"/>
      <c r="C421" s="1179"/>
      <c r="D421" s="2300"/>
      <c r="E421" s="80">
        <f t="shared" si="265"/>
        <v>0</v>
      </c>
      <c r="F421" s="81"/>
      <c r="G421" s="82">
        <f t="shared" si="266"/>
        <v>0</v>
      </c>
      <c r="H421" s="83">
        <f t="shared" si="267"/>
        <v>0</v>
      </c>
      <c r="I421" s="1179"/>
      <c r="J421" s="84"/>
      <c r="K421" s="1179"/>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9"/>
      <c r="AG421" s="85"/>
      <c r="AH421" s="85"/>
      <c r="AI421" s="85"/>
      <c r="AJ421" s="85"/>
      <c r="AK421" s="85"/>
      <c r="AL421" s="85"/>
      <c r="AM421" s="85"/>
      <c r="AN421" s="85"/>
      <c r="AO421" s="85"/>
      <c r="AP421" s="85"/>
      <c r="AQ421" s="85"/>
      <c r="AR421" s="85"/>
      <c r="AS421" s="85"/>
      <c r="AT421" s="81"/>
      <c r="AU421" s="86"/>
      <c r="AV421" s="816">
        <f t="shared" si="269"/>
        <v>0</v>
      </c>
      <c r="AW421" s="816">
        <f t="shared" si="270"/>
        <v>0</v>
      </c>
      <c r="AX421" s="816">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8"/>
      <c r="C422" s="1179"/>
      <c r="D422" s="2300"/>
      <c r="E422" s="80">
        <f t="shared" si="265"/>
        <v>0</v>
      </c>
      <c r="F422" s="81"/>
      <c r="G422" s="82">
        <f t="shared" si="266"/>
        <v>0</v>
      </c>
      <c r="H422" s="83">
        <f t="shared" si="267"/>
        <v>0</v>
      </c>
      <c r="I422" s="1179"/>
      <c r="J422" s="84"/>
      <c r="K422" s="1179"/>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9"/>
      <c r="AG422" s="85"/>
      <c r="AH422" s="85"/>
      <c r="AI422" s="85"/>
      <c r="AJ422" s="85"/>
      <c r="AK422" s="85"/>
      <c r="AL422" s="85"/>
      <c r="AM422" s="85"/>
      <c r="AN422" s="85"/>
      <c r="AO422" s="85"/>
      <c r="AP422" s="85"/>
      <c r="AQ422" s="85"/>
      <c r="AR422" s="85"/>
      <c r="AS422" s="85"/>
      <c r="AT422" s="81"/>
      <c r="AU422" s="86"/>
      <c r="AV422" s="816">
        <f t="shared" si="269"/>
        <v>0</v>
      </c>
      <c r="AW422" s="816">
        <f t="shared" si="270"/>
        <v>0</v>
      </c>
      <c r="AX422" s="816">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8"/>
      <c r="C423" s="1179"/>
      <c r="D423" s="2300"/>
      <c r="E423" s="80">
        <f t="shared" si="265"/>
        <v>0</v>
      </c>
      <c r="F423" s="81"/>
      <c r="G423" s="82">
        <f t="shared" si="266"/>
        <v>0</v>
      </c>
      <c r="H423" s="83">
        <f t="shared" si="267"/>
        <v>0</v>
      </c>
      <c r="I423" s="1179"/>
      <c r="J423" s="84"/>
      <c r="K423" s="1179"/>
      <c r="L423" s="84"/>
      <c r="M423" s="1179"/>
      <c r="N423" s="84"/>
      <c r="O423" s="84"/>
      <c r="P423" s="84"/>
      <c r="Q423" s="84"/>
      <c r="R423" s="84"/>
      <c r="S423" s="84"/>
      <c r="T423" s="84"/>
      <c r="U423" s="84"/>
      <c r="V423" s="84"/>
      <c r="W423" s="84"/>
      <c r="X423" s="84"/>
      <c r="Y423" s="84"/>
      <c r="Z423" s="84"/>
      <c r="AA423" s="84"/>
      <c r="AB423" s="84"/>
      <c r="AC423" s="80">
        <f t="shared" si="268"/>
        <v>0</v>
      </c>
      <c r="AD423" s="85"/>
      <c r="AE423" s="85"/>
      <c r="AF423" s="1179"/>
      <c r="AG423" s="85"/>
      <c r="AH423" s="85"/>
      <c r="AI423" s="85"/>
      <c r="AJ423" s="85"/>
      <c r="AK423" s="85"/>
      <c r="AL423" s="85"/>
      <c r="AM423" s="85"/>
      <c r="AN423" s="85"/>
      <c r="AO423" s="85"/>
      <c r="AP423" s="85"/>
      <c r="AQ423" s="85"/>
      <c r="AR423" s="85"/>
      <c r="AS423" s="85"/>
      <c r="AT423" s="81"/>
      <c r="AU423" s="86"/>
      <c r="AV423" s="816">
        <f t="shared" si="269"/>
        <v>0</v>
      </c>
      <c r="AW423" s="816">
        <f t="shared" si="270"/>
        <v>0</v>
      </c>
      <c r="AX423" s="816">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300"/>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6">
        <f t="shared" si="269"/>
        <v>0</v>
      </c>
      <c r="AW424" s="816">
        <f t="shared" si="270"/>
        <v>0</v>
      </c>
      <c r="AX424" s="816">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300"/>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6">
        <f t="shared" si="269"/>
        <v>0</v>
      </c>
      <c r="AW425" s="816">
        <f t="shared" si="270"/>
        <v>0</v>
      </c>
      <c r="AX425" s="816">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300"/>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6">
        <f t="shared" si="269"/>
        <v>0</v>
      </c>
      <c r="AW426" s="816">
        <f t="shared" si="270"/>
        <v>0</v>
      </c>
      <c r="AX426" s="816">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300"/>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6">
        <f t="shared" si="269"/>
        <v>0</v>
      </c>
      <c r="AW427" s="816">
        <f t="shared" si="270"/>
        <v>0</v>
      </c>
      <c r="AX427" s="816">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300"/>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6">
        <f t="shared" si="269"/>
        <v>0</v>
      </c>
      <c r="AW428" s="816">
        <f t="shared" si="270"/>
        <v>0</v>
      </c>
      <c r="AX428" s="816">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300"/>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6">
        <f t="shared" si="269"/>
        <v>0</v>
      </c>
      <c r="AW429" s="816">
        <f t="shared" si="270"/>
        <v>0</v>
      </c>
      <c r="AX429" s="816">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300"/>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6">
        <f t="shared" si="269"/>
        <v>0</v>
      </c>
      <c r="AW430" s="816">
        <f t="shared" si="270"/>
        <v>0</v>
      </c>
      <c r="AX430" s="816">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300"/>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6">
        <f t="shared" si="269"/>
        <v>0</v>
      </c>
      <c r="AW431" s="816">
        <f t="shared" si="270"/>
        <v>0</v>
      </c>
      <c r="AX431" s="816">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300"/>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6">
        <f t="shared" si="269"/>
        <v>0</v>
      </c>
      <c r="AW432" s="816">
        <f t="shared" si="270"/>
        <v>0</v>
      </c>
      <c r="AX432" s="816">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300"/>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6">
        <f t="shared" si="269"/>
        <v>0</v>
      </c>
      <c r="AW433" s="816">
        <f t="shared" si="270"/>
        <v>0</v>
      </c>
      <c r="AX433" s="816">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300"/>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6">
        <f t="shared" si="269"/>
        <v>0</v>
      </c>
      <c r="AW434" s="816">
        <f t="shared" si="270"/>
        <v>0</v>
      </c>
      <c r="AX434" s="816">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300"/>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6">
        <f t="shared" si="269"/>
        <v>0</v>
      </c>
      <c r="AW435" s="816">
        <f t="shared" si="270"/>
        <v>0</v>
      </c>
      <c r="AX435" s="816">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300"/>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6">
        <f t="shared" si="269"/>
        <v>0</v>
      </c>
      <c r="AW436" s="816">
        <f t="shared" si="270"/>
        <v>0</v>
      </c>
      <c r="AX436" s="816">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300"/>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6">
        <f t="shared" si="269"/>
        <v>0</v>
      </c>
      <c r="AW437" s="816">
        <f t="shared" si="270"/>
        <v>0</v>
      </c>
      <c r="AX437" s="816">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300"/>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6">
        <f t="shared" si="269"/>
        <v>0</v>
      </c>
      <c r="AW438" s="816">
        <f t="shared" si="270"/>
        <v>0</v>
      </c>
      <c r="AX438" s="816">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300"/>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6">
        <f t="shared" si="269"/>
        <v>0</v>
      </c>
      <c r="AW439" s="816">
        <f t="shared" si="270"/>
        <v>0</v>
      </c>
      <c r="AX439" s="816">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300"/>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6">
        <f t="shared" si="269"/>
        <v>0</v>
      </c>
      <c r="AW440" s="816">
        <f t="shared" si="270"/>
        <v>0</v>
      </c>
      <c r="AX440" s="816">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300"/>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6">
        <f t="shared" si="269"/>
        <v>0</v>
      </c>
      <c r="AW441" s="816">
        <f t="shared" si="270"/>
        <v>0</v>
      </c>
      <c r="AX441" s="816">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300"/>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6">
        <f t="shared" si="269"/>
        <v>0</v>
      </c>
      <c r="AW442" s="816">
        <f t="shared" si="270"/>
        <v>0</v>
      </c>
      <c r="AX442" s="816">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300"/>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6">
        <f t="shared" si="269"/>
        <v>0</v>
      </c>
      <c r="AW443" s="816">
        <f t="shared" si="270"/>
        <v>0</v>
      </c>
      <c r="AX443" s="816">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300"/>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6">
        <f t="shared" si="269"/>
        <v>0</v>
      </c>
      <c r="AW444" s="816">
        <f t="shared" si="270"/>
        <v>0</v>
      </c>
      <c r="AX444" s="816">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300"/>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6">
        <f t="shared" si="269"/>
        <v>0</v>
      </c>
      <c r="AW445" s="816">
        <f t="shared" si="270"/>
        <v>0</v>
      </c>
      <c r="AX445" s="816">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300"/>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6">
        <f t="shared" si="269"/>
        <v>0</v>
      </c>
      <c r="AW446" s="816">
        <f t="shared" si="270"/>
        <v>0</v>
      </c>
      <c r="AX446" s="816">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300"/>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6">
        <f t="shared" si="269"/>
        <v>0</v>
      </c>
      <c r="AW447" s="816">
        <f t="shared" si="270"/>
        <v>0</v>
      </c>
      <c r="AX447" s="816">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300"/>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6">
        <f t="shared" si="269"/>
        <v>0</v>
      </c>
      <c r="AW448" s="816">
        <f t="shared" si="270"/>
        <v>0</v>
      </c>
      <c r="AX448" s="816">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300"/>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6">
        <f t="shared" si="269"/>
        <v>0</v>
      </c>
      <c r="AW449" s="816">
        <f t="shared" si="270"/>
        <v>0</v>
      </c>
      <c r="AX449" s="816">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300"/>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6">
        <f t="shared" si="269"/>
        <v>0</v>
      </c>
      <c r="AW450" s="816">
        <f t="shared" si="270"/>
        <v>0</v>
      </c>
      <c r="AX450" s="816">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300"/>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6">
        <f t="shared" si="269"/>
        <v>0</v>
      </c>
      <c r="AW451" s="816">
        <f t="shared" si="270"/>
        <v>0</v>
      </c>
      <c r="AX451" s="816">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300"/>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6">
        <f t="shared" si="269"/>
        <v>0</v>
      </c>
      <c r="AW452" s="816">
        <f t="shared" si="270"/>
        <v>0</v>
      </c>
      <c r="AX452" s="816">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300"/>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6">
        <f t="shared" si="269"/>
        <v>0</v>
      </c>
      <c r="AW453" s="816">
        <f t="shared" si="270"/>
        <v>0</v>
      </c>
      <c r="AX453" s="816">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300"/>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6">
        <f t="shared" si="269"/>
        <v>0</v>
      </c>
      <c r="AW454" s="816">
        <f t="shared" si="270"/>
        <v>0</v>
      </c>
      <c r="AX454" s="816">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300"/>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6">
        <f t="shared" si="269"/>
        <v>0</v>
      </c>
      <c r="AW455" s="816">
        <f t="shared" si="270"/>
        <v>0</v>
      </c>
      <c r="AX455" s="816">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300"/>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6">
        <f t="shared" si="269"/>
        <v>0</v>
      </c>
      <c r="AW456" s="816">
        <f t="shared" si="270"/>
        <v>0</v>
      </c>
      <c r="AX456" s="816">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300"/>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6">
        <f t="shared" si="269"/>
        <v>0</v>
      </c>
      <c r="AW457" s="816">
        <f t="shared" si="270"/>
        <v>0</v>
      </c>
      <c r="AX457" s="816">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300"/>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6">
        <f t="shared" si="269"/>
        <v>0</v>
      </c>
      <c r="AW458" s="816">
        <f t="shared" si="270"/>
        <v>0</v>
      </c>
      <c r="AX458" s="816">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300"/>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6">
        <f t="shared" si="269"/>
        <v>0</v>
      </c>
      <c r="AW459" s="816">
        <f t="shared" si="270"/>
        <v>0</v>
      </c>
      <c r="AX459" s="816">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300"/>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6">
        <f t="shared" si="269"/>
        <v>0</v>
      </c>
      <c r="AW460" s="816">
        <f t="shared" si="270"/>
        <v>0</v>
      </c>
      <c r="AX460" s="816">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300"/>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6">
        <f t="shared" si="269"/>
        <v>0</v>
      </c>
      <c r="AW461" s="816">
        <f t="shared" si="270"/>
        <v>0</v>
      </c>
      <c r="AX461" s="816">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300"/>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6">
        <f t="shared" si="269"/>
        <v>0</v>
      </c>
      <c r="AW462" s="816">
        <f t="shared" si="270"/>
        <v>0</v>
      </c>
      <c r="AX462" s="816">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300"/>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6">
        <f t="shared" si="269"/>
        <v>0</v>
      </c>
      <c r="AW463" s="816">
        <f t="shared" si="270"/>
        <v>0</v>
      </c>
      <c r="AX463" s="816">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300"/>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6">
        <f t="shared" si="269"/>
        <v>0</v>
      </c>
      <c r="AW464" s="816">
        <f t="shared" si="270"/>
        <v>0</v>
      </c>
      <c r="AX464" s="816">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300"/>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6">
        <f t="shared" si="269"/>
        <v>0</v>
      </c>
      <c r="AW465" s="816">
        <f t="shared" si="270"/>
        <v>0</v>
      </c>
      <c r="AX465" s="816">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300"/>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6">
        <f t="shared" si="269"/>
        <v>0</v>
      </c>
      <c r="AW466" s="816">
        <f t="shared" si="270"/>
        <v>0</v>
      </c>
      <c r="AX466" s="816">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300"/>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6">
        <f t="shared" si="269"/>
        <v>0</v>
      </c>
      <c r="AW467" s="816">
        <f t="shared" si="270"/>
        <v>0</v>
      </c>
      <c r="AX467" s="816">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300"/>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6">
        <f t="shared" si="269"/>
        <v>0</v>
      </c>
      <c r="AW468" s="816">
        <f t="shared" si="270"/>
        <v>0</v>
      </c>
      <c r="AX468" s="816">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300"/>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6">
        <f t="shared" si="269"/>
        <v>0</v>
      </c>
      <c r="AW469" s="816">
        <f t="shared" si="270"/>
        <v>0</v>
      </c>
      <c r="AX469" s="816">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300"/>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6">
        <f t="shared" si="269"/>
        <v>0</v>
      </c>
      <c r="AW470" s="816">
        <f t="shared" si="270"/>
        <v>0</v>
      </c>
      <c r="AX470" s="816">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300"/>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6">
        <f t="shared" si="269"/>
        <v>0</v>
      </c>
      <c r="AW471" s="816">
        <f t="shared" si="270"/>
        <v>0</v>
      </c>
      <c r="AX471" s="816">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300"/>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6">
        <f t="shared" si="269"/>
        <v>0</v>
      </c>
      <c r="AW472" s="816">
        <f t="shared" si="270"/>
        <v>0</v>
      </c>
      <c r="AX472" s="816">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300"/>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6">
        <f t="shared" si="269"/>
        <v>0</v>
      </c>
      <c r="AW473" s="816">
        <f t="shared" si="270"/>
        <v>0</v>
      </c>
      <c r="AX473" s="816">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300"/>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6">
        <f t="shared" si="269"/>
        <v>0</v>
      </c>
      <c r="AW474" s="816">
        <f t="shared" si="270"/>
        <v>0</v>
      </c>
      <c r="AX474" s="816">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300"/>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6">
        <f t="shared" si="269"/>
        <v>0</v>
      </c>
      <c r="AW475" s="816">
        <f t="shared" si="270"/>
        <v>0</v>
      </c>
      <c r="AX475" s="816">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300"/>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6">
        <f t="shared" si="269"/>
        <v>0</v>
      </c>
      <c r="AW476" s="816">
        <f t="shared" si="270"/>
        <v>0</v>
      </c>
      <c r="AX476" s="816">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300"/>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6">
        <f t="shared" si="269"/>
        <v>0</v>
      </c>
      <c r="AW477" s="816">
        <f t="shared" si="270"/>
        <v>0</v>
      </c>
      <c r="AX477" s="816">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300"/>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6">
        <f t="shared" si="269"/>
        <v>0</v>
      </c>
      <c r="AW478" s="816">
        <f t="shared" si="270"/>
        <v>0</v>
      </c>
      <c r="AX478" s="816">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300"/>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6">
        <f t="shared" si="269"/>
        <v>0</v>
      </c>
      <c r="AW479" s="816">
        <f t="shared" si="270"/>
        <v>0</v>
      </c>
      <c r="AX479" s="816">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300"/>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6">
        <f t="shared" si="269"/>
        <v>0</v>
      </c>
      <c r="AW480" s="816">
        <f t="shared" si="270"/>
        <v>0</v>
      </c>
      <c r="AX480" s="816">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8"/>
      <c r="C481" s="1179"/>
      <c r="D481" s="2300"/>
      <c r="E481" s="80">
        <f t="shared" ref="E481:E504" si="319">IF($C$3="是",ROUND($A$3*G481/$B$3,2),ROUND($A$3*(G481-AT481)/$B$3,2))</f>
        <v>0</v>
      </c>
      <c r="F481" s="81"/>
      <c r="G481" s="82">
        <f t="shared" si="294"/>
        <v>0</v>
      </c>
      <c r="H481" s="83">
        <f t="shared" si="295"/>
        <v>0</v>
      </c>
      <c r="I481" s="1179"/>
      <c r="J481" s="84"/>
      <c r="K481" s="1179"/>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80"/>
      <c r="AG481" s="85"/>
      <c r="AH481" s="85"/>
      <c r="AI481" s="85"/>
      <c r="AJ481" s="85"/>
      <c r="AK481" s="85"/>
      <c r="AL481" s="85"/>
      <c r="AM481" s="85"/>
      <c r="AN481" s="1156"/>
      <c r="AO481" s="85"/>
      <c r="AP481" s="85"/>
      <c r="AQ481" s="85"/>
      <c r="AR481" s="85"/>
      <c r="AS481" s="85"/>
      <c r="AT481" s="81"/>
      <c r="AU481" s="86"/>
      <c r="AV481" s="816">
        <f t="shared" ref="AV481:AV505" si="320">A481</f>
        <v>0</v>
      </c>
      <c r="AW481" s="816">
        <f t="shared" ref="AW481:AW505" si="321">B481</f>
        <v>0</v>
      </c>
      <c r="AX481" s="816">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8"/>
      <c r="C482" s="1179"/>
      <c r="D482" s="2300"/>
      <c r="E482" s="80">
        <f t="shared" si="319"/>
        <v>0</v>
      </c>
      <c r="F482" s="81"/>
      <c r="G482" s="82">
        <f t="shared" si="294"/>
        <v>0</v>
      </c>
      <c r="H482" s="83">
        <f t="shared" si="295"/>
        <v>0</v>
      </c>
      <c r="I482" s="1179"/>
      <c r="J482" s="84"/>
      <c r="K482" s="1179"/>
      <c r="L482" s="84"/>
      <c r="M482" s="1156"/>
      <c r="N482" s="84"/>
      <c r="O482" s="84"/>
      <c r="P482" s="84"/>
      <c r="Q482" s="84"/>
      <c r="R482" s="84"/>
      <c r="S482" s="84"/>
      <c r="T482" s="84"/>
      <c r="U482" s="84"/>
      <c r="V482" s="84"/>
      <c r="W482" s="84"/>
      <c r="X482" s="84"/>
      <c r="Y482" s="84"/>
      <c r="Z482" s="84"/>
      <c r="AA482" s="84"/>
      <c r="AB482" s="84"/>
      <c r="AC482" s="80">
        <f t="shared" si="296"/>
        <v>0</v>
      </c>
      <c r="AD482" s="1156"/>
      <c r="AE482" s="85"/>
      <c r="AF482" s="1180"/>
      <c r="AG482" s="85"/>
      <c r="AH482" s="85"/>
      <c r="AI482" s="85"/>
      <c r="AJ482" s="85"/>
      <c r="AK482" s="85"/>
      <c r="AL482" s="1156"/>
      <c r="AM482" s="85"/>
      <c r="AN482" s="1156"/>
      <c r="AO482" s="85"/>
      <c r="AP482" s="85"/>
      <c r="AQ482" s="85"/>
      <c r="AR482" s="85"/>
      <c r="AS482" s="85"/>
      <c r="AT482" s="81"/>
      <c r="AU482" s="86"/>
      <c r="AV482" s="816">
        <f t="shared" si="320"/>
        <v>0</v>
      </c>
      <c r="AW482" s="816">
        <f t="shared" si="321"/>
        <v>0</v>
      </c>
      <c r="AX482" s="816">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8"/>
      <c r="C483" s="1179"/>
      <c r="D483" s="2300"/>
      <c r="E483" s="80">
        <f t="shared" si="319"/>
        <v>0</v>
      </c>
      <c r="F483" s="81"/>
      <c r="G483" s="82">
        <f t="shared" si="294"/>
        <v>0</v>
      </c>
      <c r="H483" s="83">
        <f t="shared" si="295"/>
        <v>0</v>
      </c>
      <c r="I483" s="1179"/>
      <c r="J483" s="84"/>
      <c r="K483" s="1179"/>
      <c r="L483" s="84"/>
      <c r="M483" s="1156"/>
      <c r="N483" s="84"/>
      <c r="O483" s="84"/>
      <c r="P483" s="84"/>
      <c r="Q483" s="84"/>
      <c r="R483" s="84"/>
      <c r="S483" s="84"/>
      <c r="T483" s="84"/>
      <c r="U483" s="84"/>
      <c r="V483" s="84"/>
      <c r="W483" s="84"/>
      <c r="X483" s="84"/>
      <c r="Y483" s="84"/>
      <c r="Z483" s="84"/>
      <c r="AA483" s="84"/>
      <c r="AB483" s="84"/>
      <c r="AC483" s="80">
        <f t="shared" si="296"/>
        <v>0</v>
      </c>
      <c r="AD483" s="85"/>
      <c r="AE483" s="85"/>
      <c r="AF483" s="1180"/>
      <c r="AG483" s="85"/>
      <c r="AH483" s="85"/>
      <c r="AI483" s="85"/>
      <c r="AJ483" s="85"/>
      <c r="AK483" s="85"/>
      <c r="AL483" s="1156"/>
      <c r="AM483" s="85"/>
      <c r="AN483" s="1156"/>
      <c r="AO483" s="85"/>
      <c r="AP483" s="85"/>
      <c r="AQ483" s="85"/>
      <c r="AR483" s="85"/>
      <c r="AS483" s="85"/>
      <c r="AT483" s="81"/>
      <c r="AU483" s="86"/>
      <c r="AV483" s="816">
        <f t="shared" si="320"/>
        <v>0</v>
      </c>
      <c r="AW483" s="816">
        <f t="shared" si="321"/>
        <v>0</v>
      </c>
      <c r="AX483" s="816">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8"/>
      <c r="C484" s="1179"/>
      <c r="D484" s="2300"/>
      <c r="E484" s="80">
        <f t="shared" si="319"/>
        <v>0</v>
      </c>
      <c r="F484" s="81"/>
      <c r="G484" s="82">
        <f t="shared" si="294"/>
        <v>0</v>
      </c>
      <c r="H484" s="83">
        <f t="shared" si="295"/>
        <v>0</v>
      </c>
      <c r="I484" s="1179"/>
      <c r="J484" s="84"/>
      <c r="K484" s="1179"/>
      <c r="L484" s="84"/>
      <c r="M484" s="84"/>
      <c r="N484" s="84"/>
      <c r="O484" s="1156"/>
      <c r="P484" s="84"/>
      <c r="Q484" s="84"/>
      <c r="R484" s="84"/>
      <c r="S484" s="84"/>
      <c r="T484" s="84"/>
      <c r="U484" s="84"/>
      <c r="V484" s="84"/>
      <c r="W484" s="84"/>
      <c r="X484" s="84"/>
      <c r="Y484" s="84"/>
      <c r="Z484" s="84"/>
      <c r="AA484" s="84"/>
      <c r="AB484" s="84"/>
      <c r="AC484" s="80">
        <f t="shared" si="296"/>
        <v>0</v>
      </c>
      <c r="AD484" s="85"/>
      <c r="AE484" s="85"/>
      <c r="AF484" s="1180"/>
      <c r="AG484" s="85"/>
      <c r="AH484" s="85"/>
      <c r="AI484" s="85"/>
      <c r="AJ484" s="85"/>
      <c r="AK484" s="85"/>
      <c r="AL484" s="85"/>
      <c r="AM484" s="85"/>
      <c r="AN484" s="1156"/>
      <c r="AO484" s="85"/>
      <c r="AP484" s="85"/>
      <c r="AQ484" s="85"/>
      <c r="AR484" s="85"/>
      <c r="AS484" s="85"/>
      <c r="AT484" s="81"/>
      <c r="AU484" s="86"/>
      <c r="AV484" s="816">
        <f t="shared" si="320"/>
        <v>0</v>
      </c>
      <c r="AW484" s="816">
        <f t="shared" si="321"/>
        <v>0</v>
      </c>
      <c r="AX484" s="816">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8"/>
      <c r="C485" s="1179"/>
      <c r="D485" s="2300"/>
      <c r="E485" s="80">
        <f t="shared" si="319"/>
        <v>0</v>
      </c>
      <c r="F485" s="81"/>
      <c r="G485" s="82">
        <f t="shared" si="294"/>
        <v>0</v>
      </c>
      <c r="H485" s="83">
        <f t="shared" si="295"/>
        <v>0</v>
      </c>
      <c r="I485" s="1179"/>
      <c r="J485" s="84"/>
      <c r="K485" s="1179"/>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80"/>
      <c r="AG485" s="85"/>
      <c r="AH485" s="85"/>
      <c r="AI485" s="85"/>
      <c r="AJ485" s="85"/>
      <c r="AK485" s="85"/>
      <c r="AL485" s="85"/>
      <c r="AM485" s="85"/>
      <c r="AN485" s="85"/>
      <c r="AO485" s="85"/>
      <c r="AP485" s="85"/>
      <c r="AQ485" s="85"/>
      <c r="AR485" s="85"/>
      <c r="AS485" s="85"/>
      <c r="AT485" s="81"/>
      <c r="AU485" s="86"/>
      <c r="AV485" s="816">
        <f t="shared" si="320"/>
        <v>0</v>
      </c>
      <c r="AW485" s="816">
        <f t="shared" si="321"/>
        <v>0</v>
      </c>
      <c r="AX485" s="816">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8"/>
      <c r="C486" s="1179"/>
      <c r="D486" s="2300"/>
      <c r="E486" s="80">
        <f t="shared" si="319"/>
        <v>0</v>
      </c>
      <c r="F486" s="81"/>
      <c r="G486" s="82">
        <f t="shared" si="294"/>
        <v>0</v>
      </c>
      <c r="H486" s="83">
        <f t="shared" si="295"/>
        <v>0</v>
      </c>
      <c r="I486" s="1179"/>
      <c r="J486" s="84"/>
      <c r="K486" s="1179"/>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80"/>
      <c r="AG486" s="85"/>
      <c r="AH486" s="85"/>
      <c r="AI486" s="85"/>
      <c r="AJ486" s="85"/>
      <c r="AK486" s="85"/>
      <c r="AL486" s="85"/>
      <c r="AM486" s="85"/>
      <c r="AN486" s="85"/>
      <c r="AO486" s="85"/>
      <c r="AP486" s="85"/>
      <c r="AQ486" s="85"/>
      <c r="AR486" s="85"/>
      <c r="AS486" s="85"/>
      <c r="AT486" s="81"/>
      <c r="AU486" s="86"/>
      <c r="AV486" s="816">
        <f t="shared" si="320"/>
        <v>0</v>
      </c>
      <c r="AW486" s="816">
        <f t="shared" si="321"/>
        <v>0</v>
      </c>
      <c r="AX486" s="816">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8"/>
      <c r="C487" s="1179"/>
      <c r="D487" s="2300"/>
      <c r="E487" s="80">
        <f t="shared" si="319"/>
        <v>0</v>
      </c>
      <c r="F487" s="81"/>
      <c r="G487" s="82">
        <f t="shared" si="294"/>
        <v>0</v>
      </c>
      <c r="H487" s="83">
        <f t="shared" si="295"/>
        <v>0</v>
      </c>
      <c r="I487" s="1179"/>
      <c r="J487" s="84"/>
      <c r="K487" s="1179"/>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80"/>
      <c r="AG487" s="85"/>
      <c r="AH487" s="85"/>
      <c r="AI487" s="85"/>
      <c r="AJ487" s="85"/>
      <c r="AK487" s="85"/>
      <c r="AL487" s="85"/>
      <c r="AM487" s="85"/>
      <c r="AN487" s="85"/>
      <c r="AO487" s="85"/>
      <c r="AP487" s="85"/>
      <c r="AQ487" s="85"/>
      <c r="AR487" s="85"/>
      <c r="AS487" s="85"/>
      <c r="AT487" s="81"/>
      <c r="AU487" s="86"/>
      <c r="AV487" s="816">
        <f t="shared" si="320"/>
        <v>0</v>
      </c>
      <c r="AW487" s="816">
        <f t="shared" si="321"/>
        <v>0</v>
      </c>
      <c r="AX487" s="816">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8"/>
      <c r="C488" s="1179"/>
      <c r="D488" s="2300"/>
      <c r="E488" s="80">
        <f t="shared" si="319"/>
        <v>0</v>
      </c>
      <c r="F488" s="81"/>
      <c r="G488" s="82">
        <f t="shared" si="294"/>
        <v>0</v>
      </c>
      <c r="H488" s="83">
        <f t="shared" si="295"/>
        <v>0</v>
      </c>
      <c r="I488" s="1179"/>
      <c r="J488" s="84"/>
      <c r="K488" s="1179"/>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9"/>
      <c r="AG488" s="85"/>
      <c r="AH488" s="85"/>
      <c r="AI488" s="85"/>
      <c r="AJ488" s="85"/>
      <c r="AK488" s="85"/>
      <c r="AL488" s="85"/>
      <c r="AM488" s="85"/>
      <c r="AN488" s="85"/>
      <c r="AO488" s="85"/>
      <c r="AP488" s="85"/>
      <c r="AQ488" s="85"/>
      <c r="AR488" s="85"/>
      <c r="AS488" s="85"/>
      <c r="AT488" s="81"/>
      <c r="AU488" s="86"/>
      <c r="AV488" s="816">
        <f t="shared" si="320"/>
        <v>0</v>
      </c>
      <c r="AW488" s="816">
        <f t="shared" si="321"/>
        <v>0</v>
      </c>
      <c r="AX488" s="816">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8"/>
      <c r="C489" s="1179"/>
      <c r="D489" s="2300"/>
      <c r="E489" s="80">
        <f t="shared" si="319"/>
        <v>0</v>
      </c>
      <c r="F489" s="81"/>
      <c r="G489" s="82">
        <f t="shared" si="294"/>
        <v>0</v>
      </c>
      <c r="H489" s="83">
        <f t="shared" si="295"/>
        <v>0</v>
      </c>
      <c r="I489" s="1179"/>
      <c r="J489" s="84"/>
      <c r="K489" s="1179"/>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9"/>
      <c r="AG489" s="85"/>
      <c r="AH489" s="85"/>
      <c r="AI489" s="85"/>
      <c r="AJ489" s="85"/>
      <c r="AK489" s="85"/>
      <c r="AL489" s="85"/>
      <c r="AM489" s="85"/>
      <c r="AN489" s="85"/>
      <c r="AO489" s="85"/>
      <c r="AP489" s="85"/>
      <c r="AQ489" s="85"/>
      <c r="AR489" s="85"/>
      <c r="AS489" s="85"/>
      <c r="AT489" s="81"/>
      <c r="AU489" s="86"/>
      <c r="AV489" s="816">
        <f t="shared" si="320"/>
        <v>0</v>
      </c>
      <c r="AW489" s="816">
        <f t="shared" si="321"/>
        <v>0</v>
      </c>
      <c r="AX489" s="816">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8"/>
      <c r="C490" s="1179"/>
      <c r="D490" s="2300"/>
      <c r="E490" s="80">
        <f t="shared" si="319"/>
        <v>0</v>
      </c>
      <c r="F490" s="81"/>
      <c r="G490" s="82">
        <f t="shared" si="294"/>
        <v>0</v>
      </c>
      <c r="H490" s="83">
        <f t="shared" si="295"/>
        <v>0</v>
      </c>
      <c r="I490" s="1179"/>
      <c r="J490" s="84"/>
      <c r="K490" s="1179"/>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9"/>
      <c r="AG490" s="85"/>
      <c r="AH490" s="85"/>
      <c r="AI490" s="85"/>
      <c r="AJ490" s="85"/>
      <c r="AK490" s="85"/>
      <c r="AL490" s="85"/>
      <c r="AM490" s="85"/>
      <c r="AN490" s="85"/>
      <c r="AO490" s="85"/>
      <c r="AP490" s="85"/>
      <c r="AQ490" s="85"/>
      <c r="AR490" s="85"/>
      <c r="AS490" s="85"/>
      <c r="AT490" s="81"/>
      <c r="AU490" s="86"/>
      <c r="AV490" s="816">
        <f t="shared" si="320"/>
        <v>0</v>
      </c>
      <c r="AW490" s="816">
        <f t="shared" si="321"/>
        <v>0</v>
      </c>
      <c r="AX490" s="816">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8"/>
      <c r="C491" s="1179"/>
      <c r="D491" s="2300"/>
      <c r="E491" s="80">
        <f t="shared" si="319"/>
        <v>0</v>
      </c>
      <c r="F491" s="81"/>
      <c r="G491" s="82">
        <f t="shared" si="294"/>
        <v>0</v>
      </c>
      <c r="H491" s="83">
        <f t="shared" si="295"/>
        <v>0</v>
      </c>
      <c r="I491" s="1179"/>
      <c r="J491" s="84"/>
      <c r="K491" s="1179"/>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9"/>
      <c r="AG491" s="85"/>
      <c r="AH491" s="85"/>
      <c r="AI491" s="85"/>
      <c r="AJ491" s="85"/>
      <c r="AK491" s="85"/>
      <c r="AL491" s="85"/>
      <c r="AM491" s="85"/>
      <c r="AN491" s="85"/>
      <c r="AO491" s="85"/>
      <c r="AP491" s="85"/>
      <c r="AQ491" s="85"/>
      <c r="AR491" s="85"/>
      <c r="AS491" s="85"/>
      <c r="AT491" s="81"/>
      <c r="AU491" s="86"/>
      <c r="AV491" s="816">
        <f t="shared" si="320"/>
        <v>0</v>
      </c>
      <c r="AW491" s="816">
        <f t="shared" si="321"/>
        <v>0</v>
      </c>
      <c r="AX491" s="816">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8"/>
      <c r="C492" s="1179"/>
      <c r="D492" s="2300"/>
      <c r="E492" s="80">
        <f t="shared" si="319"/>
        <v>0</v>
      </c>
      <c r="F492" s="81"/>
      <c r="G492" s="82">
        <f t="shared" si="294"/>
        <v>0</v>
      </c>
      <c r="H492" s="83">
        <f t="shared" si="295"/>
        <v>0</v>
      </c>
      <c r="I492" s="1179"/>
      <c r="J492" s="84"/>
      <c r="K492" s="1179"/>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9"/>
      <c r="AG492" s="85"/>
      <c r="AH492" s="85"/>
      <c r="AI492" s="85"/>
      <c r="AJ492" s="85"/>
      <c r="AK492" s="85"/>
      <c r="AL492" s="85"/>
      <c r="AM492" s="85"/>
      <c r="AN492" s="85"/>
      <c r="AO492" s="85"/>
      <c r="AP492" s="85"/>
      <c r="AQ492" s="85"/>
      <c r="AR492" s="85"/>
      <c r="AS492" s="85"/>
      <c r="AT492" s="81"/>
      <c r="AU492" s="86"/>
      <c r="AV492" s="816">
        <f t="shared" si="320"/>
        <v>0</v>
      </c>
      <c r="AW492" s="816">
        <f t="shared" si="321"/>
        <v>0</v>
      </c>
      <c r="AX492" s="816">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8"/>
      <c r="C493" s="1179"/>
      <c r="D493" s="2300"/>
      <c r="E493" s="80">
        <f t="shared" si="319"/>
        <v>0</v>
      </c>
      <c r="F493" s="81"/>
      <c r="G493" s="82">
        <f t="shared" si="294"/>
        <v>0</v>
      </c>
      <c r="H493" s="83">
        <f t="shared" si="295"/>
        <v>0</v>
      </c>
      <c r="I493" s="1179"/>
      <c r="J493" s="84"/>
      <c r="K493" s="1179"/>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9"/>
      <c r="AG493" s="85"/>
      <c r="AH493" s="85"/>
      <c r="AI493" s="85"/>
      <c r="AJ493" s="85"/>
      <c r="AK493" s="85"/>
      <c r="AL493" s="85"/>
      <c r="AM493" s="85"/>
      <c r="AN493" s="85"/>
      <c r="AO493" s="85"/>
      <c r="AP493" s="85"/>
      <c r="AQ493" s="85"/>
      <c r="AR493" s="85"/>
      <c r="AS493" s="85"/>
      <c r="AT493" s="81"/>
      <c r="AU493" s="86"/>
      <c r="AV493" s="816">
        <f t="shared" si="320"/>
        <v>0</v>
      </c>
      <c r="AW493" s="816">
        <f t="shared" si="321"/>
        <v>0</v>
      </c>
      <c r="AX493" s="816">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8"/>
      <c r="C494" s="1179"/>
      <c r="D494" s="2300"/>
      <c r="E494" s="80">
        <f t="shared" si="319"/>
        <v>0</v>
      </c>
      <c r="F494" s="81"/>
      <c r="G494" s="82">
        <f t="shared" si="294"/>
        <v>0</v>
      </c>
      <c r="H494" s="83">
        <f t="shared" si="295"/>
        <v>0</v>
      </c>
      <c r="I494" s="1179"/>
      <c r="J494" s="84"/>
      <c r="K494" s="1179"/>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9"/>
      <c r="AG494" s="85"/>
      <c r="AH494" s="85"/>
      <c r="AI494" s="85"/>
      <c r="AJ494" s="85"/>
      <c r="AK494" s="85"/>
      <c r="AL494" s="85"/>
      <c r="AM494" s="85"/>
      <c r="AN494" s="85"/>
      <c r="AO494" s="85"/>
      <c r="AP494" s="85"/>
      <c r="AQ494" s="85"/>
      <c r="AR494" s="85"/>
      <c r="AS494" s="85"/>
      <c r="AT494" s="81"/>
      <c r="AU494" s="86"/>
      <c r="AV494" s="816">
        <f t="shared" si="320"/>
        <v>0</v>
      </c>
      <c r="AW494" s="816">
        <f t="shared" si="321"/>
        <v>0</v>
      </c>
      <c r="AX494" s="816">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8"/>
      <c r="C495" s="1179"/>
      <c r="D495" s="2300"/>
      <c r="E495" s="80">
        <f t="shared" si="319"/>
        <v>0</v>
      </c>
      <c r="F495" s="81"/>
      <c r="G495" s="82">
        <f t="shared" si="294"/>
        <v>0</v>
      </c>
      <c r="H495" s="83">
        <f t="shared" si="295"/>
        <v>0</v>
      </c>
      <c r="I495" s="1179"/>
      <c r="J495" s="84"/>
      <c r="K495" s="1179"/>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9"/>
      <c r="AG495" s="85"/>
      <c r="AH495" s="85"/>
      <c r="AI495" s="85"/>
      <c r="AJ495" s="85"/>
      <c r="AK495" s="85"/>
      <c r="AL495" s="85"/>
      <c r="AM495" s="85"/>
      <c r="AN495" s="85"/>
      <c r="AO495" s="85"/>
      <c r="AP495" s="85"/>
      <c r="AQ495" s="85"/>
      <c r="AR495" s="85"/>
      <c r="AS495" s="85"/>
      <c r="AT495" s="81"/>
      <c r="AU495" s="86"/>
      <c r="AV495" s="816">
        <f t="shared" si="320"/>
        <v>0</v>
      </c>
      <c r="AW495" s="816">
        <f t="shared" si="321"/>
        <v>0</v>
      </c>
      <c r="AX495" s="816">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8"/>
      <c r="C496" s="1179"/>
      <c r="D496" s="2300"/>
      <c r="E496" s="80">
        <f t="shared" si="319"/>
        <v>0</v>
      </c>
      <c r="F496" s="81"/>
      <c r="G496" s="82">
        <f t="shared" si="294"/>
        <v>0</v>
      </c>
      <c r="H496" s="83">
        <f t="shared" si="295"/>
        <v>0</v>
      </c>
      <c r="I496" s="1179"/>
      <c r="J496" s="84"/>
      <c r="K496" s="1179"/>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9"/>
      <c r="AG496" s="85"/>
      <c r="AH496" s="85"/>
      <c r="AI496" s="85"/>
      <c r="AJ496" s="85"/>
      <c r="AK496" s="85"/>
      <c r="AL496" s="85"/>
      <c r="AM496" s="85"/>
      <c r="AN496" s="85"/>
      <c r="AO496" s="85"/>
      <c r="AP496" s="85"/>
      <c r="AQ496" s="85"/>
      <c r="AR496" s="85"/>
      <c r="AS496" s="85"/>
      <c r="AT496" s="81"/>
      <c r="AU496" s="86"/>
      <c r="AV496" s="816">
        <f t="shared" si="320"/>
        <v>0</v>
      </c>
      <c r="AW496" s="816">
        <f t="shared" si="321"/>
        <v>0</v>
      </c>
      <c r="AX496" s="816">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8"/>
      <c r="C497" s="1179"/>
      <c r="D497" s="2300"/>
      <c r="E497" s="80">
        <f t="shared" si="319"/>
        <v>0</v>
      </c>
      <c r="F497" s="81"/>
      <c r="G497" s="82">
        <f t="shared" si="294"/>
        <v>0</v>
      </c>
      <c r="H497" s="83">
        <f t="shared" si="295"/>
        <v>0</v>
      </c>
      <c r="I497" s="1179"/>
      <c r="J497" s="84"/>
      <c r="K497" s="1179"/>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9"/>
      <c r="AG497" s="85"/>
      <c r="AH497" s="85"/>
      <c r="AI497" s="85"/>
      <c r="AJ497" s="85"/>
      <c r="AK497" s="85"/>
      <c r="AL497" s="85"/>
      <c r="AM497" s="85"/>
      <c r="AN497" s="85"/>
      <c r="AO497" s="85"/>
      <c r="AP497" s="85"/>
      <c r="AQ497" s="85"/>
      <c r="AR497" s="85"/>
      <c r="AS497" s="85"/>
      <c r="AT497" s="81"/>
      <c r="AU497" s="86"/>
      <c r="AV497" s="816">
        <f t="shared" si="320"/>
        <v>0</v>
      </c>
      <c r="AW497" s="816">
        <f t="shared" si="321"/>
        <v>0</v>
      </c>
      <c r="AX497" s="816">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8"/>
      <c r="C498" s="1179"/>
      <c r="D498" s="2300"/>
      <c r="E498" s="80">
        <f t="shared" si="319"/>
        <v>0</v>
      </c>
      <c r="F498" s="81"/>
      <c r="G498" s="82">
        <f t="shared" si="294"/>
        <v>0</v>
      </c>
      <c r="H498" s="83">
        <f t="shared" si="295"/>
        <v>0</v>
      </c>
      <c r="I498" s="1179"/>
      <c r="J498" s="84"/>
      <c r="K498" s="1179"/>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9"/>
      <c r="AG498" s="85"/>
      <c r="AH498" s="85"/>
      <c r="AI498" s="85"/>
      <c r="AJ498" s="85"/>
      <c r="AK498" s="85"/>
      <c r="AL498" s="85"/>
      <c r="AM498" s="85"/>
      <c r="AN498" s="85"/>
      <c r="AO498" s="85"/>
      <c r="AP498" s="85"/>
      <c r="AQ498" s="85"/>
      <c r="AR498" s="85"/>
      <c r="AS498" s="85"/>
      <c r="AT498" s="81"/>
      <c r="AU498" s="86"/>
      <c r="AV498" s="816">
        <f t="shared" si="320"/>
        <v>0</v>
      </c>
      <c r="AW498" s="816">
        <f t="shared" si="321"/>
        <v>0</v>
      </c>
      <c r="AX498" s="816">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8"/>
      <c r="C499" s="1179"/>
      <c r="D499" s="2300"/>
      <c r="E499" s="80">
        <f t="shared" si="319"/>
        <v>0</v>
      </c>
      <c r="F499" s="81"/>
      <c r="G499" s="82">
        <f t="shared" si="294"/>
        <v>0</v>
      </c>
      <c r="H499" s="83">
        <f t="shared" si="295"/>
        <v>0</v>
      </c>
      <c r="I499" s="1179"/>
      <c r="J499" s="84"/>
      <c r="K499" s="1179"/>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9"/>
      <c r="AG499" s="85"/>
      <c r="AH499" s="85"/>
      <c r="AI499" s="85"/>
      <c r="AJ499" s="85"/>
      <c r="AK499" s="85"/>
      <c r="AL499" s="85"/>
      <c r="AM499" s="85"/>
      <c r="AN499" s="85"/>
      <c r="AO499" s="85"/>
      <c r="AP499" s="85"/>
      <c r="AQ499" s="85"/>
      <c r="AR499" s="85"/>
      <c r="AS499" s="85"/>
      <c r="AT499" s="81"/>
      <c r="AU499" s="86"/>
      <c r="AV499" s="816">
        <f t="shared" si="320"/>
        <v>0</v>
      </c>
      <c r="AW499" s="816">
        <f t="shared" si="321"/>
        <v>0</v>
      </c>
      <c r="AX499" s="816">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8"/>
      <c r="C500" s="1179"/>
      <c r="D500" s="2300"/>
      <c r="E500" s="80">
        <f t="shared" si="319"/>
        <v>0</v>
      </c>
      <c r="F500" s="81"/>
      <c r="G500" s="82">
        <f t="shared" si="294"/>
        <v>0</v>
      </c>
      <c r="H500" s="83">
        <f t="shared" si="295"/>
        <v>0</v>
      </c>
      <c r="I500" s="1179"/>
      <c r="J500" s="84"/>
      <c r="K500" s="1179"/>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9"/>
      <c r="AG500" s="85"/>
      <c r="AH500" s="85"/>
      <c r="AI500" s="85"/>
      <c r="AJ500" s="85"/>
      <c r="AK500" s="85"/>
      <c r="AL500" s="85"/>
      <c r="AM500" s="85"/>
      <c r="AN500" s="85"/>
      <c r="AO500" s="85"/>
      <c r="AP500" s="85"/>
      <c r="AQ500" s="85"/>
      <c r="AR500" s="85"/>
      <c r="AS500" s="85"/>
      <c r="AT500" s="81"/>
      <c r="AU500" s="86"/>
      <c r="AV500" s="816">
        <f t="shared" si="320"/>
        <v>0</v>
      </c>
      <c r="AW500" s="816">
        <f t="shared" si="321"/>
        <v>0</v>
      </c>
      <c r="AX500" s="816">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8"/>
      <c r="C501" s="1179"/>
      <c r="D501" s="2300"/>
      <c r="E501" s="80">
        <f t="shared" si="319"/>
        <v>0</v>
      </c>
      <c r="F501" s="81"/>
      <c r="G501" s="82">
        <f t="shared" si="294"/>
        <v>0</v>
      </c>
      <c r="H501" s="83">
        <f t="shared" si="295"/>
        <v>0</v>
      </c>
      <c r="I501" s="1179"/>
      <c r="J501" s="84"/>
      <c r="K501" s="1179"/>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9"/>
      <c r="AG501" s="85"/>
      <c r="AH501" s="85"/>
      <c r="AI501" s="85"/>
      <c r="AJ501" s="85"/>
      <c r="AK501" s="85"/>
      <c r="AL501" s="85"/>
      <c r="AM501" s="85"/>
      <c r="AN501" s="85"/>
      <c r="AO501" s="85"/>
      <c r="AP501" s="85"/>
      <c r="AQ501" s="85"/>
      <c r="AR501" s="85"/>
      <c r="AS501" s="85"/>
      <c r="AT501" s="81"/>
      <c r="AU501" s="86"/>
      <c r="AV501" s="816">
        <f t="shared" si="320"/>
        <v>0</v>
      </c>
      <c r="AW501" s="816">
        <f t="shared" si="321"/>
        <v>0</v>
      </c>
      <c r="AX501" s="816">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8"/>
      <c r="C502" s="1179"/>
      <c r="D502" s="2300"/>
      <c r="E502" s="80">
        <f t="shared" si="319"/>
        <v>0</v>
      </c>
      <c r="F502" s="81"/>
      <c r="G502" s="82">
        <f t="shared" si="294"/>
        <v>0</v>
      </c>
      <c r="H502" s="83">
        <f t="shared" si="295"/>
        <v>0</v>
      </c>
      <c r="I502" s="1179"/>
      <c r="J502" s="84"/>
      <c r="K502" s="1179"/>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9"/>
      <c r="AG502" s="85"/>
      <c r="AH502" s="85"/>
      <c r="AI502" s="85"/>
      <c r="AJ502" s="85"/>
      <c r="AK502" s="85"/>
      <c r="AL502" s="85"/>
      <c r="AM502" s="85"/>
      <c r="AN502" s="85"/>
      <c r="AO502" s="85"/>
      <c r="AP502" s="85"/>
      <c r="AQ502" s="85"/>
      <c r="AR502" s="85"/>
      <c r="AS502" s="85"/>
      <c r="AT502" s="81"/>
      <c r="AU502" s="86"/>
      <c r="AV502" s="816">
        <f t="shared" si="320"/>
        <v>0</v>
      </c>
      <c r="AW502" s="816">
        <f t="shared" si="321"/>
        <v>0</v>
      </c>
      <c r="AX502" s="816">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8"/>
      <c r="C503" s="1179"/>
      <c r="D503" s="2300"/>
      <c r="E503" s="80">
        <f t="shared" si="319"/>
        <v>0</v>
      </c>
      <c r="F503" s="81"/>
      <c r="G503" s="82">
        <f t="shared" si="294"/>
        <v>0</v>
      </c>
      <c r="H503" s="83">
        <f t="shared" si="295"/>
        <v>0</v>
      </c>
      <c r="I503" s="1179"/>
      <c r="J503" s="84"/>
      <c r="K503" s="1179"/>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9"/>
      <c r="AG503" s="85"/>
      <c r="AH503" s="85"/>
      <c r="AI503" s="85"/>
      <c r="AJ503" s="85"/>
      <c r="AK503" s="85"/>
      <c r="AL503" s="85"/>
      <c r="AM503" s="85"/>
      <c r="AN503" s="85"/>
      <c r="AO503" s="85"/>
      <c r="AP503" s="85"/>
      <c r="AQ503" s="85"/>
      <c r="AR503" s="85"/>
      <c r="AS503" s="85"/>
      <c r="AT503" s="81"/>
      <c r="AU503" s="86"/>
      <c r="AV503" s="816">
        <f t="shared" si="320"/>
        <v>0</v>
      </c>
      <c r="AW503" s="816">
        <f t="shared" si="321"/>
        <v>0</v>
      </c>
      <c r="AX503" s="816">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8"/>
      <c r="C504" s="1179"/>
      <c r="D504" s="2300"/>
      <c r="E504" s="80">
        <f t="shared" si="319"/>
        <v>0</v>
      </c>
      <c r="F504" s="81"/>
      <c r="G504" s="82">
        <f t="shared" si="294"/>
        <v>0</v>
      </c>
      <c r="H504" s="83">
        <f t="shared" si="295"/>
        <v>0</v>
      </c>
      <c r="I504" s="1179"/>
      <c r="J504" s="84"/>
      <c r="K504" s="1179"/>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9"/>
      <c r="AG504" s="85"/>
      <c r="AH504" s="85"/>
      <c r="AI504" s="85"/>
      <c r="AJ504" s="85"/>
      <c r="AK504" s="85"/>
      <c r="AL504" s="85"/>
      <c r="AM504" s="85"/>
      <c r="AN504" s="85"/>
      <c r="AO504" s="85"/>
      <c r="AP504" s="85"/>
      <c r="AQ504" s="85"/>
      <c r="AR504" s="85"/>
      <c r="AS504" s="85"/>
      <c r="AT504" s="81"/>
      <c r="AU504" s="86"/>
      <c r="AV504" s="816">
        <f t="shared" si="320"/>
        <v>0</v>
      </c>
      <c r="AW504" s="816">
        <f t="shared" si="321"/>
        <v>0</v>
      </c>
      <c r="AX504" s="816">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8"/>
      <c r="C505" s="1179"/>
      <c r="D505" s="2300"/>
      <c r="E505" s="80">
        <f t="shared" ref="E505:E536" si="323">IF($C$3="是",ROUND($A$3*G505/$B$3,2),ROUND($A$3*(G505-AT505)/$B$3,2))</f>
        <v>0</v>
      </c>
      <c r="F505" s="81"/>
      <c r="G505" s="82">
        <f t="shared" si="294"/>
        <v>0</v>
      </c>
      <c r="H505" s="83">
        <f t="shared" si="295"/>
        <v>0</v>
      </c>
      <c r="I505" s="1179"/>
      <c r="J505" s="84"/>
      <c r="K505" s="1179"/>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9"/>
      <c r="AG505" s="85"/>
      <c r="AH505" s="85"/>
      <c r="AI505" s="85"/>
      <c r="AJ505" s="85"/>
      <c r="AK505" s="85"/>
      <c r="AL505" s="85"/>
      <c r="AM505" s="85"/>
      <c r="AN505" s="85"/>
      <c r="AO505" s="85"/>
      <c r="AP505" s="85"/>
      <c r="AQ505" s="85"/>
      <c r="AR505" s="85"/>
      <c r="AS505" s="85"/>
      <c r="AT505" s="81"/>
      <c r="AU505" s="86"/>
      <c r="AV505" s="816">
        <f t="shared" si="320"/>
        <v>0</v>
      </c>
      <c r="AW505" s="816">
        <f t="shared" si="321"/>
        <v>0</v>
      </c>
      <c r="AX505" s="816">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8"/>
      <c r="C506" s="1179"/>
      <c r="D506" s="2300"/>
      <c r="E506" s="80">
        <f t="shared" si="323"/>
        <v>0</v>
      </c>
      <c r="F506" s="81"/>
      <c r="G506" s="82">
        <f t="shared" si="294"/>
        <v>0</v>
      </c>
      <c r="H506" s="83">
        <f t="shared" si="295"/>
        <v>0</v>
      </c>
      <c r="I506" s="1179"/>
      <c r="J506" s="84"/>
      <c r="K506" s="1179"/>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9"/>
      <c r="AG506" s="85"/>
      <c r="AH506" s="85"/>
      <c r="AI506" s="85"/>
      <c r="AJ506" s="85"/>
      <c r="AK506" s="85"/>
      <c r="AL506" s="85"/>
      <c r="AM506" s="85"/>
      <c r="AN506" s="85"/>
      <c r="AO506" s="85"/>
      <c r="AP506" s="85"/>
      <c r="AQ506" s="85"/>
      <c r="AR506" s="85"/>
      <c r="AS506" s="85"/>
      <c r="AT506" s="81"/>
      <c r="AU506" s="86"/>
      <c r="AV506" s="816">
        <f t="shared" ref="AV506:AV537" si="324">A506</f>
        <v>0</v>
      </c>
      <c r="AW506" s="816">
        <f t="shared" ref="AW506:AW537" si="325">B506</f>
        <v>0</v>
      </c>
      <c r="AX506" s="816">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8"/>
      <c r="C507" s="1179"/>
      <c r="D507" s="2300"/>
      <c r="E507" s="80">
        <f t="shared" si="323"/>
        <v>0</v>
      </c>
      <c r="F507" s="81"/>
      <c r="G507" s="82">
        <f t="shared" si="294"/>
        <v>0</v>
      </c>
      <c r="H507" s="83">
        <f t="shared" si="295"/>
        <v>0</v>
      </c>
      <c r="I507" s="1179"/>
      <c r="J507" s="84"/>
      <c r="K507" s="1179"/>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9"/>
      <c r="AG507" s="85"/>
      <c r="AH507" s="85"/>
      <c r="AI507" s="85"/>
      <c r="AJ507" s="85"/>
      <c r="AK507" s="85"/>
      <c r="AL507" s="85"/>
      <c r="AM507" s="85"/>
      <c r="AN507" s="85"/>
      <c r="AO507" s="85"/>
      <c r="AP507" s="85"/>
      <c r="AQ507" s="85"/>
      <c r="AR507" s="85"/>
      <c r="AS507" s="85"/>
      <c r="AT507" s="81"/>
      <c r="AU507" s="86"/>
      <c r="AV507" s="816">
        <f t="shared" si="324"/>
        <v>0</v>
      </c>
      <c r="AW507" s="816">
        <f t="shared" si="325"/>
        <v>0</v>
      </c>
      <c r="AX507" s="816">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8"/>
      <c r="C508" s="1179"/>
      <c r="D508" s="2300"/>
      <c r="E508" s="80">
        <f t="shared" si="323"/>
        <v>0</v>
      </c>
      <c r="F508" s="81"/>
      <c r="G508" s="82">
        <f t="shared" si="294"/>
        <v>0</v>
      </c>
      <c r="H508" s="83">
        <f t="shared" si="295"/>
        <v>0</v>
      </c>
      <c r="I508" s="1179"/>
      <c r="J508" s="84"/>
      <c r="K508" s="1179"/>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9"/>
      <c r="AG508" s="85"/>
      <c r="AH508" s="85"/>
      <c r="AI508" s="85"/>
      <c r="AJ508" s="85"/>
      <c r="AK508" s="85"/>
      <c r="AL508" s="85"/>
      <c r="AM508" s="85"/>
      <c r="AN508" s="85"/>
      <c r="AO508" s="85"/>
      <c r="AP508" s="85"/>
      <c r="AQ508" s="85"/>
      <c r="AR508" s="85"/>
      <c r="AS508" s="85"/>
      <c r="AT508" s="81"/>
      <c r="AU508" s="86"/>
      <c r="AV508" s="816">
        <f t="shared" si="324"/>
        <v>0</v>
      </c>
      <c r="AW508" s="816">
        <f t="shared" si="325"/>
        <v>0</v>
      </c>
      <c r="AX508" s="816">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8"/>
      <c r="C509" s="1179"/>
      <c r="D509" s="2300"/>
      <c r="E509" s="80">
        <f t="shared" si="323"/>
        <v>0</v>
      </c>
      <c r="F509" s="81"/>
      <c r="G509" s="82">
        <f t="shared" si="294"/>
        <v>0</v>
      </c>
      <c r="H509" s="83">
        <f t="shared" si="295"/>
        <v>0</v>
      </c>
      <c r="I509" s="1179"/>
      <c r="J509" s="84"/>
      <c r="K509" s="1179"/>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9"/>
      <c r="AG509" s="85"/>
      <c r="AH509" s="85"/>
      <c r="AI509" s="85"/>
      <c r="AJ509" s="85"/>
      <c r="AK509" s="85"/>
      <c r="AL509" s="85"/>
      <c r="AM509" s="85"/>
      <c r="AN509" s="85"/>
      <c r="AO509" s="85"/>
      <c r="AP509" s="85"/>
      <c r="AQ509" s="85"/>
      <c r="AR509" s="85"/>
      <c r="AS509" s="85"/>
      <c r="AT509" s="81"/>
      <c r="AU509" s="86"/>
      <c r="AV509" s="816">
        <f t="shared" si="324"/>
        <v>0</v>
      </c>
      <c r="AW509" s="816">
        <f t="shared" si="325"/>
        <v>0</v>
      </c>
      <c r="AX509" s="816">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8"/>
      <c r="C510" s="1179"/>
      <c r="D510" s="2300"/>
      <c r="E510" s="80">
        <f t="shared" si="323"/>
        <v>0</v>
      </c>
      <c r="F510" s="81"/>
      <c r="G510" s="82">
        <f t="shared" ref="G510:G537" si="327">H510+AC510+AT510</f>
        <v>0</v>
      </c>
      <c r="H510" s="83">
        <f t="shared" ref="H510:H537" si="328">SUMIF(I$12:AB$12,"总值",I510:AB510)</f>
        <v>0</v>
      </c>
      <c r="I510" s="1179"/>
      <c r="J510" s="84"/>
      <c r="K510" s="1179"/>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9"/>
      <c r="AG510" s="85"/>
      <c r="AH510" s="85"/>
      <c r="AI510" s="85"/>
      <c r="AJ510" s="85"/>
      <c r="AK510" s="85"/>
      <c r="AL510" s="85"/>
      <c r="AM510" s="85"/>
      <c r="AN510" s="85"/>
      <c r="AO510" s="85"/>
      <c r="AP510" s="85"/>
      <c r="AQ510" s="85"/>
      <c r="AR510" s="85"/>
      <c r="AS510" s="85"/>
      <c r="AT510" s="81"/>
      <c r="AU510" s="86"/>
      <c r="AV510" s="816">
        <f t="shared" si="324"/>
        <v>0</v>
      </c>
      <c r="AW510" s="816">
        <f t="shared" si="325"/>
        <v>0</v>
      </c>
      <c r="AX510" s="816">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8"/>
      <c r="C511" s="1179"/>
      <c r="D511" s="2300"/>
      <c r="E511" s="80">
        <f t="shared" si="323"/>
        <v>0</v>
      </c>
      <c r="F511" s="81"/>
      <c r="G511" s="82">
        <f t="shared" si="327"/>
        <v>0</v>
      </c>
      <c r="H511" s="83">
        <f t="shared" si="328"/>
        <v>0</v>
      </c>
      <c r="I511" s="1179"/>
      <c r="J511" s="84"/>
      <c r="K511" s="1179"/>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9"/>
      <c r="AG511" s="85"/>
      <c r="AH511" s="85"/>
      <c r="AI511" s="85"/>
      <c r="AJ511" s="85"/>
      <c r="AK511" s="85"/>
      <c r="AL511" s="85"/>
      <c r="AM511" s="85"/>
      <c r="AN511" s="85"/>
      <c r="AO511" s="85"/>
      <c r="AP511" s="85"/>
      <c r="AQ511" s="85"/>
      <c r="AR511" s="85"/>
      <c r="AS511" s="85"/>
      <c r="AT511" s="81"/>
      <c r="AU511" s="86"/>
      <c r="AV511" s="816">
        <f t="shared" si="324"/>
        <v>0</v>
      </c>
      <c r="AW511" s="816">
        <f t="shared" si="325"/>
        <v>0</v>
      </c>
      <c r="AX511" s="816">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8"/>
      <c r="C512" s="1179"/>
      <c r="D512" s="2300"/>
      <c r="E512" s="80">
        <f t="shared" si="323"/>
        <v>0</v>
      </c>
      <c r="F512" s="81"/>
      <c r="G512" s="82">
        <f t="shared" si="327"/>
        <v>0</v>
      </c>
      <c r="H512" s="83">
        <f t="shared" si="328"/>
        <v>0</v>
      </c>
      <c r="I512" s="1179"/>
      <c r="J512" s="84"/>
      <c r="K512" s="1179"/>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9"/>
      <c r="AG512" s="85"/>
      <c r="AH512" s="85"/>
      <c r="AI512" s="85"/>
      <c r="AJ512" s="85"/>
      <c r="AK512" s="85"/>
      <c r="AL512" s="85"/>
      <c r="AM512" s="85"/>
      <c r="AN512" s="85"/>
      <c r="AO512" s="85"/>
      <c r="AP512" s="85"/>
      <c r="AQ512" s="85"/>
      <c r="AR512" s="85"/>
      <c r="AS512" s="85"/>
      <c r="AT512" s="81"/>
      <c r="AU512" s="86"/>
      <c r="AV512" s="816">
        <f t="shared" si="324"/>
        <v>0</v>
      </c>
      <c r="AW512" s="816">
        <f t="shared" si="325"/>
        <v>0</v>
      </c>
      <c r="AX512" s="816">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8"/>
      <c r="C513" s="1179"/>
      <c r="D513" s="2300"/>
      <c r="E513" s="80">
        <f t="shared" si="323"/>
        <v>0</v>
      </c>
      <c r="F513" s="81"/>
      <c r="G513" s="82">
        <f t="shared" si="327"/>
        <v>0</v>
      </c>
      <c r="H513" s="83">
        <f t="shared" si="328"/>
        <v>0</v>
      </c>
      <c r="I513" s="1179"/>
      <c r="J513" s="84"/>
      <c r="K513" s="1179"/>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9"/>
      <c r="AG513" s="85"/>
      <c r="AH513" s="85"/>
      <c r="AI513" s="85"/>
      <c r="AJ513" s="85"/>
      <c r="AK513" s="85"/>
      <c r="AL513" s="85"/>
      <c r="AM513" s="85"/>
      <c r="AN513" s="85"/>
      <c r="AO513" s="85"/>
      <c r="AP513" s="85"/>
      <c r="AQ513" s="85"/>
      <c r="AR513" s="85"/>
      <c r="AS513" s="85"/>
      <c r="AT513" s="81"/>
      <c r="AU513" s="86"/>
      <c r="AV513" s="816">
        <f t="shared" si="324"/>
        <v>0</v>
      </c>
      <c r="AW513" s="816">
        <f t="shared" si="325"/>
        <v>0</v>
      </c>
      <c r="AX513" s="816">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8"/>
      <c r="C514" s="1179"/>
      <c r="D514" s="2300"/>
      <c r="E514" s="80">
        <f t="shared" si="323"/>
        <v>0</v>
      </c>
      <c r="F514" s="81"/>
      <c r="G514" s="82">
        <f t="shared" si="327"/>
        <v>0</v>
      </c>
      <c r="H514" s="83">
        <f t="shared" si="328"/>
        <v>0</v>
      </c>
      <c r="I514" s="1179"/>
      <c r="J514" s="84"/>
      <c r="K514" s="1179"/>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9"/>
      <c r="AG514" s="85"/>
      <c r="AH514" s="85"/>
      <c r="AI514" s="85"/>
      <c r="AJ514" s="85"/>
      <c r="AK514" s="85"/>
      <c r="AL514" s="85"/>
      <c r="AM514" s="85"/>
      <c r="AN514" s="85"/>
      <c r="AO514" s="85"/>
      <c r="AP514" s="85"/>
      <c r="AQ514" s="85"/>
      <c r="AR514" s="85"/>
      <c r="AS514" s="85"/>
      <c r="AT514" s="81"/>
      <c r="AU514" s="86"/>
      <c r="AV514" s="816">
        <f t="shared" si="324"/>
        <v>0</v>
      </c>
      <c r="AW514" s="816">
        <f t="shared" si="325"/>
        <v>0</v>
      </c>
      <c r="AX514" s="816">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8"/>
      <c r="C515" s="1179"/>
      <c r="D515" s="2300"/>
      <c r="E515" s="80">
        <f t="shared" si="323"/>
        <v>0</v>
      </c>
      <c r="F515" s="81"/>
      <c r="G515" s="82">
        <f t="shared" si="327"/>
        <v>0</v>
      </c>
      <c r="H515" s="83">
        <f t="shared" si="328"/>
        <v>0</v>
      </c>
      <c r="I515" s="1179"/>
      <c r="J515" s="84"/>
      <c r="K515" s="1179"/>
      <c r="L515" s="84"/>
      <c r="M515" s="1179"/>
      <c r="N515" s="84"/>
      <c r="O515" s="84"/>
      <c r="P515" s="84"/>
      <c r="Q515" s="84"/>
      <c r="R515" s="84"/>
      <c r="S515" s="84"/>
      <c r="T515" s="84"/>
      <c r="U515" s="84"/>
      <c r="V515" s="84"/>
      <c r="W515" s="84"/>
      <c r="X515" s="84"/>
      <c r="Y515" s="84"/>
      <c r="Z515" s="84"/>
      <c r="AA515" s="84"/>
      <c r="AB515" s="84"/>
      <c r="AC515" s="80">
        <f t="shared" si="329"/>
        <v>0</v>
      </c>
      <c r="AD515" s="85"/>
      <c r="AE515" s="85"/>
      <c r="AF515" s="1179"/>
      <c r="AG515" s="85"/>
      <c r="AH515" s="85"/>
      <c r="AI515" s="85"/>
      <c r="AJ515" s="85"/>
      <c r="AK515" s="85"/>
      <c r="AL515" s="85"/>
      <c r="AM515" s="85"/>
      <c r="AN515" s="85"/>
      <c r="AO515" s="85"/>
      <c r="AP515" s="85"/>
      <c r="AQ515" s="85"/>
      <c r="AR515" s="85"/>
      <c r="AS515" s="85"/>
      <c r="AT515" s="81"/>
      <c r="AU515" s="86"/>
      <c r="AV515" s="816">
        <f t="shared" si="324"/>
        <v>0</v>
      </c>
      <c r="AW515" s="816">
        <f t="shared" si="325"/>
        <v>0</v>
      </c>
      <c r="AX515" s="816">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300"/>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6">
        <f t="shared" si="324"/>
        <v>0</v>
      </c>
      <c r="AW516" s="816">
        <f t="shared" si="325"/>
        <v>0</v>
      </c>
      <c r="AX516" s="816">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300"/>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6">
        <f t="shared" si="324"/>
        <v>0</v>
      </c>
      <c r="AW517" s="816">
        <f t="shared" si="325"/>
        <v>0</v>
      </c>
      <c r="AX517" s="816">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300"/>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6">
        <f t="shared" si="324"/>
        <v>0</v>
      </c>
      <c r="AW518" s="816">
        <f t="shared" si="325"/>
        <v>0</v>
      </c>
      <c r="AX518" s="816">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300"/>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6">
        <f t="shared" si="324"/>
        <v>0</v>
      </c>
      <c r="AW519" s="816">
        <f t="shared" si="325"/>
        <v>0</v>
      </c>
      <c r="AX519" s="816">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300"/>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6">
        <f t="shared" si="324"/>
        <v>0</v>
      </c>
      <c r="AW520" s="816">
        <f t="shared" si="325"/>
        <v>0</v>
      </c>
      <c r="AX520" s="816">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300"/>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6">
        <f t="shared" si="324"/>
        <v>0</v>
      </c>
      <c r="AW521" s="816">
        <f t="shared" si="325"/>
        <v>0</v>
      </c>
      <c r="AX521" s="816">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300"/>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6">
        <f t="shared" si="324"/>
        <v>0</v>
      </c>
      <c r="AW522" s="816">
        <f t="shared" si="325"/>
        <v>0</v>
      </c>
      <c r="AX522" s="816">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300"/>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6">
        <f t="shared" si="324"/>
        <v>0</v>
      </c>
      <c r="AW523" s="816">
        <f t="shared" si="325"/>
        <v>0</v>
      </c>
      <c r="AX523" s="816">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300"/>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6">
        <f t="shared" si="324"/>
        <v>0</v>
      </c>
      <c r="AW524" s="816">
        <f t="shared" si="325"/>
        <v>0</v>
      </c>
      <c r="AX524" s="816">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300"/>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6">
        <f t="shared" si="324"/>
        <v>0</v>
      </c>
      <c r="AW525" s="816">
        <f t="shared" si="325"/>
        <v>0</v>
      </c>
      <c r="AX525" s="816">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300"/>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6">
        <f t="shared" si="324"/>
        <v>0</v>
      </c>
      <c r="AW526" s="816">
        <f t="shared" si="325"/>
        <v>0</v>
      </c>
      <c r="AX526" s="816">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300"/>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6">
        <f t="shared" si="324"/>
        <v>0</v>
      </c>
      <c r="AW527" s="816">
        <f t="shared" si="325"/>
        <v>0</v>
      </c>
      <c r="AX527" s="816">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300"/>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6">
        <f t="shared" si="324"/>
        <v>0</v>
      </c>
      <c r="AW528" s="816">
        <f t="shared" si="325"/>
        <v>0</v>
      </c>
      <c r="AX528" s="816">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300"/>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6">
        <f t="shared" si="324"/>
        <v>0</v>
      </c>
      <c r="AW529" s="816">
        <f t="shared" si="325"/>
        <v>0</v>
      </c>
      <c r="AX529" s="816">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300"/>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6">
        <f t="shared" si="324"/>
        <v>0</v>
      </c>
      <c r="AW530" s="816">
        <f t="shared" si="325"/>
        <v>0</v>
      </c>
      <c r="AX530" s="816">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300"/>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6">
        <f t="shared" si="324"/>
        <v>0</v>
      </c>
      <c r="AW531" s="816">
        <f t="shared" si="325"/>
        <v>0</v>
      </c>
      <c r="AX531" s="816">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300"/>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6">
        <f t="shared" si="324"/>
        <v>0</v>
      </c>
      <c r="AW532" s="816">
        <f t="shared" si="325"/>
        <v>0</v>
      </c>
      <c r="AX532" s="816">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300"/>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6">
        <f t="shared" si="324"/>
        <v>0</v>
      </c>
      <c r="AW533" s="816">
        <f t="shared" si="325"/>
        <v>0</v>
      </c>
      <c r="AX533" s="816">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300"/>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6">
        <f t="shared" si="324"/>
        <v>0</v>
      </c>
      <c r="AW534" s="816">
        <f t="shared" si="325"/>
        <v>0</v>
      </c>
      <c r="AX534" s="816">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300"/>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6">
        <f t="shared" si="324"/>
        <v>0</v>
      </c>
      <c r="AW535" s="816">
        <f t="shared" si="325"/>
        <v>0</v>
      </c>
      <c r="AX535" s="816">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300"/>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6">
        <f t="shared" si="324"/>
        <v>0</v>
      </c>
      <c r="AW536" s="816">
        <f t="shared" si="325"/>
        <v>0</v>
      </c>
      <c r="AX536" s="816">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300"/>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6">
        <f t="shared" si="324"/>
        <v>0</v>
      </c>
      <c r="AW537" s="816">
        <f t="shared" si="325"/>
        <v>0</v>
      </c>
      <c r="AX537" s="816">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300"/>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6">
        <f t="shared" ref="AV538:AV572" si="356">A538</f>
        <v>0</v>
      </c>
      <c r="AW538" s="816">
        <f t="shared" ref="AW538:AW572" si="357">B538</f>
        <v>0</v>
      </c>
      <c r="AX538" s="816">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300"/>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6">
        <f t="shared" si="356"/>
        <v>0</v>
      </c>
      <c r="AW539" s="816">
        <f t="shared" si="357"/>
        <v>0</v>
      </c>
      <c r="AX539" s="816">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300"/>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6">
        <f t="shared" si="356"/>
        <v>0</v>
      </c>
      <c r="AW540" s="816">
        <f t="shared" si="357"/>
        <v>0</v>
      </c>
      <c r="AX540" s="816">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300"/>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6">
        <f t="shared" si="356"/>
        <v>0</v>
      </c>
      <c r="AW541" s="816">
        <f t="shared" si="357"/>
        <v>0</v>
      </c>
      <c r="AX541" s="816">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300"/>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6">
        <f t="shared" si="356"/>
        <v>0</v>
      </c>
      <c r="AW542" s="816">
        <f t="shared" si="357"/>
        <v>0</v>
      </c>
      <c r="AX542" s="816">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300"/>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6">
        <f t="shared" si="356"/>
        <v>0</v>
      </c>
      <c r="AW543" s="816">
        <f t="shared" si="357"/>
        <v>0</v>
      </c>
      <c r="AX543" s="816">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300"/>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6">
        <f t="shared" si="356"/>
        <v>0</v>
      </c>
      <c r="AW544" s="816">
        <f t="shared" si="357"/>
        <v>0</v>
      </c>
      <c r="AX544" s="816">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300"/>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6">
        <f t="shared" si="356"/>
        <v>0</v>
      </c>
      <c r="AW545" s="816">
        <f t="shared" si="357"/>
        <v>0</v>
      </c>
      <c r="AX545" s="816">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300"/>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6">
        <f t="shared" si="356"/>
        <v>0</v>
      </c>
      <c r="AW546" s="816">
        <f t="shared" si="357"/>
        <v>0</v>
      </c>
      <c r="AX546" s="816">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300"/>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6">
        <f t="shared" si="356"/>
        <v>0</v>
      </c>
      <c r="AW547" s="816">
        <f t="shared" si="357"/>
        <v>0</v>
      </c>
      <c r="AX547" s="816">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300"/>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6">
        <f t="shared" si="356"/>
        <v>0</v>
      </c>
      <c r="AW548" s="816">
        <f t="shared" si="357"/>
        <v>0</v>
      </c>
      <c r="AX548" s="816">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300"/>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6">
        <f t="shared" si="356"/>
        <v>0</v>
      </c>
      <c r="AW549" s="816">
        <f t="shared" si="357"/>
        <v>0</v>
      </c>
      <c r="AX549" s="816">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300"/>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6">
        <f t="shared" si="356"/>
        <v>0</v>
      </c>
      <c r="AW550" s="816">
        <f t="shared" si="357"/>
        <v>0</v>
      </c>
      <c r="AX550" s="816">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300"/>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6">
        <f t="shared" si="356"/>
        <v>0</v>
      </c>
      <c r="AW551" s="816">
        <f t="shared" si="357"/>
        <v>0</v>
      </c>
      <c r="AX551" s="816">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300"/>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6">
        <f t="shared" si="356"/>
        <v>0</v>
      </c>
      <c r="AW552" s="816">
        <f t="shared" si="357"/>
        <v>0</v>
      </c>
      <c r="AX552" s="816">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300"/>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6">
        <f t="shared" si="356"/>
        <v>0</v>
      </c>
      <c r="AW553" s="816">
        <f t="shared" si="357"/>
        <v>0</v>
      </c>
      <c r="AX553" s="816">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300"/>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6">
        <f t="shared" si="356"/>
        <v>0</v>
      </c>
      <c r="AW554" s="816">
        <f t="shared" si="357"/>
        <v>0</v>
      </c>
      <c r="AX554" s="816">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300"/>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6">
        <f t="shared" si="356"/>
        <v>0</v>
      </c>
      <c r="AW555" s="816">
        <f t="shared" si="357"/>
        <v>0</v>
      </c>
      <c r="AX555" s="816">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300"/>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6">
        <f t="shared" si="356"/>
        <v>0</v>
      </c>
      <c r="AW556" s="816">
        <f t="shared" si="357"/>
        <v>0</v>
      </c>
      <c r="AX556" s="816">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300"/>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6">
        <f t="shared" si="356"/>
        <v>0</v>
      </c>
      <c r="AW557" s="816">
        <f t="shared" si="357"/>
        <v>0</v>
      </c>
      <c r="AX557" s="816">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300"/>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6">
        <f t="shared" si="356"/>
        <v>0</v>
      </c>
      <c r="AW558" s="816">
        <f t="shared" si="357"/>
        <v>0</v>
      </c>
      <c r="AX558" s="816">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300"/>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6">
        <f t="shared" si="356"/>
        <v>0</v>
      </c>
      <c r="AW559" s="816">
        <f t="shared" si="357"/>
        <v>0</v>
      </c>
      <c r="AX559" s="816">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300"/>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6">
        <f t="shared" si="356"/>
        <v>0</v>
      </c>
      <c r="AW560" s="816">
        <f t="shared" si="357"/>
        <v>0</v>
      </c>
      <c r="AX560" s="816">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300"/>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6">
        <f t="shared" si="356"/>
        <v>0</v>
      </c>
      <c r="AW561" s="816">
        <f t="shared" si="357"/>
        <v>0</v>
      </c>
      <c r="AX561" s="816">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300"/>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6">
        <f t="shared" si="356"/>
        <v>0</v>
      </c>
      <c r="AW562" s="816">
        <f t="shared" si="357"/>
        <v>0</v>
      </c>
      <c r="AX562" s="816">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300"/>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6">
        <f t="shared" si="356"/>
        <v>0</v>
      </c>
      <c r="AW563" s="816">
        <f t="shared" si="357"/>
        <v>0</v>
      </c>
      <c r="AX563" s="816">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300"/>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6">
        <f t="shared" si="356"/>
        <v>0</v>
      </c>
      <c r="AW564" s="816">
        <f t="shared" si="357"/>
        <v>0</v>
      </c>
      <c r="AX564" s="816">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300"/>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6">
        <f t="shared" si="356"/>
        <v>0</v>
      </c>
      <c r="AW565" s="816">
        <f t="shared" si="357"/>
        <v>0</v>
      </c>
      <c r="AX565" s="816">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300"/>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6">
        <f t="shared" si="356"/>
        <v>0</v>
      </c>
      <c r="AW566" s="816">
        <f t="shared" si="357"/>
        <v>0</v>
      </c>
      <c r="AX566" s="816">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300"/>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6">
        <f t="shared" si="356"/>
        <v>0</v>
      </c>
      <c r="AW567" s="816">
        <f t="shared" si="357"/>
        <v>0</v>
      </c>
      <c r="AX567" s="816">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300"/>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6">
        <f t="shared" si="356"/>
        <v>0</v>
      </c>
      <c r="AW568" s="816">
        <f t="shared" si="357"/>
        <v>0</v>
      </c>
      <c r="AX568" s="816">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300"/>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6">
        <f t="shared" si="356"/>
        <v>0</v>
      </c>
      <c r="AW569" s="816">
        <f t="shared" si="357"/>
        <v>0</v>
      </c>
      <c r="AX569" s="816">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300"/>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6">
        <f t="shared" si="356"/>
        <v>0</v>
      </c>
      <c r="AW570" s="816">
        <f t="shared" si="357"/>
        <v>0</v>
      </c>
      <c r="AX570" s="816">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300"/>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6">
        <f t="shared" si="356"/>
        <v>0</v>
      </c>
      <c r="AW571" s="816">
        <f t="shared" si="357"/>
        <v>0</v>
      </c>
      <c r="AX571" s="816">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300"/>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6">
        <f t="shared" si="356"/>
        <v>0</v>
      </c>
      <c r="AW572" s="816">
        <f t="shared" si="357"/>
        <v>0</v>
      </c>
      <c r="AX572" s="816">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50"/>
  <sheetViews>
    <sheetView topLeftCell="A19" workbookViewId="0">
      <selection activeCell="G37" sqref="G37"/>
    </sheetView>
  </sheetViews>
  <sheetFormatPr defaultRowHeight="13.5"/>
  <cols>
    <col min="1" max="1" width="11.625" style="1489" customWidth="1"/>
    <col min="2" max="2" width="12.375" style="1489" customWidth="1"/>
    <col min="3" max="3" width="12.5" style="1489" customWidth="1"/>
    <col min="4" max="4" width="12.625" style="1489" customWidth="1"/>
    <col min="5" max="5" width="12.375" style="1489" customWidth="1"/>
    <col min="6" max="6" width="12.5" style="1489" customWidth="1"/>
    <col min="7" max="7" width="12.25" style="1489" customWidth="1"/>
    <col min="8" max="8" width="11.75" style="1489" customWidth="1"/>
    <col min="9" max="9" width="13" style="1489" customWidth="1"/>
    <col min="10" max="10" width="8.375" style="1489" customWidth="1"/>
    <col min="11" max="14" width="9" style="1489"/>
    <col min="15" max="15" width="12.375" style="1489" customWidth="1"/>
    <col min="16" max="16" width="11.25" style="1489" customWidth="1"/>
    <col min="17" max="17" width="10.125" style="1489" customWidth="1"/>
    <col min="18" max="16384" width="9" style="1489"/>
  </cols>
  <sheetData>
    <row r="2" spans="1:19">
      <c r="B2" s="3568"/>
      <c r="C2" s="3578" t="s">
        <v>3286</v>
      </c>
      <c r="D2" s="3578" t="s">
        <v>3289</v>
      </c>
      <c r="E2" s="3578" t="s">
        <v>3295</v>
      </c>
      <c r="F2" s="3578" t="s">
        <v>3290</v>
      </c>
      <c r="G2" s="3579" t="s">
        <v>3291</v>
      </c>
      <c r="H2" s="3579"/>
      <c r="I2" s="3579"/>
      <c r="J2" s="3400"/>
    </row>
    <row r="3" spans="1:19" ht="40.5">
      <c r="B3" s="3568"/>
      <c r="C3" s="3578"/>
      <c r="D3" s="3578"/>
      <c r="E3" s="3578"/>
      <c r="F3" s="3578"/>
      <c r="G3" s="3390" t="s">
        <v>3294</v>
      </c>
      <c r="H3" s="3390" t="s">
        <v>3292</v>
      </c>
      <c r="I3" s="3401" t="s">
        <v>3293</v>
      </c>
      <c r="J3" s="3401" t="s">
        <v>3368</v>
      </c>
    </row>
    <row r="4" spans="1:19">
      <c r="B4" s="3390" t="s">
        <v>3285</v>
      </c>
      <c r="C4" s="1489">
        <v>12997.772000000001</v>
      </c>
      <c r="D4" s="1489">
        <v>24600</v>
      </c>
      <c r="F4" s="1489">
        <v>20796.4352</v>
      </c>
      <c r="G4" s="1489">
        <f>H4+I4</f>
        <v>20796.4352</v>
      </c>
      <c r="H4" s="1489">
        <v>20496.4352</v>
      </c>
      <c r="I4" s="1489">
        <v>300</v>
      </c>
      <c r="J4" s="1489">
        <v>12002</v>
      </c>
      <c r="K4" s="1489">
        <f>D4/F4*10000</f>
        <v>11828.950377033849</v>
      </c>
    </row>
    <row r="5" spans="1:19">
      <c r="B5" s="3390" t="s">
        <v>3287</v>
      </c>
      <c r="D5" s="1489">
        <f>4500+500+7300</f>
        <v>12300</v>
      </c>
    </row>
    <row r="6" spans="1:19">
      <c r="B6" s="3404" t="s">
        <v>3288</v>
      </c>
      <c r="C6" s="3404"/>
      <c r="D6" s="3404">
        <f>D4-D5</f>
        <v>12300</v>
      </c>
      <c r="E6" s="1489">
        <f>ROUND(D4*(3%+0.05%),0)</f>
        <v>750</v>
      </c>
    </row>
    <row r="8" spans="1:19">
      <c r="F8" s="3390"/>
    </row>
    <row r="9" spans="1:19" ht="14.25" thickBot="1"/>
    <row r="10" spans="1:19">
      <c r="A10" s="3576" t="s">
        <v>3311</v>
      </c>
      <c r="B10" s="3576"/>
      <c r="C10" s="3577" t="s">
        <v>3296</v>
      </c>
      <c r="D10" s="3573" t="s">
        <v>3297</v>
      </c>
      <c r="E10" s="3574"/>
      <c r="F10" s="3574"/>
      <c r="G10" s="3574"/>
      <c r="H10" s="3574"/>
      <c r="I10" s="3574"/>
      <c r="J10" s="3575"/>
      <c r="K10" s="3572" t="s">
        <v>3298</v>
      </c>
      <c r="L10" s="3572"/>
      <c r="M10" s="3572"/>
      <c r="N10" s="3572"/>
      <c r="O10" s="3572"/>
      <c r="P10" s="3572"/>
      <c r="Q10" s="3571"/>
      <c r="R10" s="3570" t="s">
        <v>3310</v>
      </c>
      <c r="S10" s="3571"/>
    </row>
    <row r="11" spans="1:19">
      <c r="A11" s="3576"/>
      <c r="B11" s="3576"/>
      <c r="C11" s="3577"/>
      <c r="D11" s="3397" t="s">
        <v>3312</v>
      </c>
      <c r="E11" s="3391" t="s">
        <v>3292</v>
      </c>
      <c r="F11" s="3391" t="s">
        <v>3315</v>
      </c>
      <c r="G11" s="3391" t="s">
        <v>3316</v>
      </c>
      <c r="H11" s="3391" t="s">
        <v>3321</v>
      </c>
      <c r="I11" s="3391" t="s">
        <v>3317</v>
      </c>
      <c r="J11" s="3391" t="s">
        <v>3318</v>
      </c>
      <c r="K11" s="3395" t="s">
        <v>3312</v>
      </c>
      <c r="L11" s="3391" t="s">
        <v>3319</v>
      </c>
      <c r="M11" s="3391" t="s">
        <v>3315</v>
      </c>
      <c r="N11" s="3391" t="s">
        <v>3320</v>
      </c>
      <c r="O11" s="3391" t="s">
        <v>3321</v>
      </c>
      <c r="P11" s="3391" t="s">
        <v>3317</v>
      </c>
      <c r="Q11" s="3391" t="s">
        <v>3318</v>
      </c>
      <c r="R11" s="3391" t="s">
        <v>3313</v>
      </c>
      <c r="S11" s="3391" t="s">
        <v>3314</v>
      </c>
    </row>
    <row r="12" spans="1:19">
      <c r="A12" s="3576" t="s">
        <v>3292</v>
      </c>
      <c r="B12" s="3391" t="s">
        <v>3300</v>
      </c>
      <c r="C12" s="3394">
        <f>D12+K12</f>
        <v>3865.53</v>
      </c>
      <c r="D12" s="3398">
        <f>SUM(E12:J12)</f>
        <v>3573.11</v>
      </c>
      <c r="E12" s="3392">
        <v>3573.11</v>
      </c>
      <c r="F12" s="3392"/>
      <c r="G12" s="3392"/>
      <c r="H12" s="3392"/>
      <c r="I12" s="3392"/>
      <c r="J12" s="3399"/>
      <c r="K12" s="3396">
        <f>SUM(L12:Q12)</f>
        <v>292.42</v>
      </c>
      <c r="L12" s="3392"/>
      <c r="M12" s="3392"/>
      <c r="N12" s="3392"/>
      <c r="O12" s="3392"/>
      <c r="P12" s="3392">
        <f>69.89+222.53</f>
        <v>292.42</v>
      </c>
      <c r="Q12" s="3392"/>
      <c r="R12" s="3392">
        <v>8</v>
      </c>
      <c r="S12" s="3392">
        <v>-1</v>
      </c>
    </row>
    <row r="13" spans="1:19">
      <c r="A13" s="3576"/>
      <c r="B13" s="3391" t="s">
        <v>3301</v>
      </c>
      <c r="C13" s="3394">
        <f t="shared" ref="C13:C21" si="0">D13+K13</f>
        <v>2141.37</v>
      </c>
      <c r="D13" s="3398">
        <f t="shared" ref="D13:D21" si="1">SUM(E13:J13)</f>
        <v>1951.85</v>
      </c>
      <c r="E13" s="3392">
        <v>1951.85</v>
      </c>
      <c r="F13" s="3392"/>
      <c r="G13" s="3392"/>
      <c r="H13" s="3392"/>
      <c r="I13" s="3392"/>
      <c r="J13" s="3399"/>
      <c r="K13" s="3396">
        <f t="shared" ref="K13:K21" si="2">SUM(L13:Q13)</f>
        <v>189.51999999999998</v>
      </c>
      <c r="L13" s="3392"/>
      <c r="M13" s="3392"/>
      <c r="N13" s="3392"/>
      <c r="O13" s="3392"/>
      <c r="P13" s="3392">
        <f>65.71+123.81</f>
        <v>189.51999999999998</v>
      </c>
      <c r="Q13" s="3392"/>
      <c r="R13" s="3392">
        <v>4</v>
      </c>
      <c r="S13" s="3392">
        <v>-1</v>
      </c>
    </row>
    <row r="14" spans="1:19">
      <c r="A14" s="3576"/>
      <c r="B14" s="3391" t="s">
        <v>3302</v>
      </c>
      <c r="C14" s="3394">
        <f t="shared" si="0"/>
        <v>4049.19</v>
      </c>
      <c r="D14" s="3398">
        <f t="shared" si="1"/>
        <v>3803.88</v>
      </c>
      <c r="E14" s="3392">
        <v>3803.88</v>
      </c>
      <c r="F14" s="3392"/>
      <c r="G14" s="3392"/>
      <c r="H14" s="3392"/>
      <c r="I14" s="3392"/>
      <c r="J14" s="3399"/>
      <c r="K14" s="3396">
        <f t="shared" si="2"/>
        <v>245.31</v>
      </c>
      <c r="L14" s="3392"/>
      <c r="M14" s="3392"/>
      <c r="N14" s="3392"/>
      <c r="O14" s="3392"/>
      <c r="P14" s="3392">
        <f>59.88+185.43</f>
        <v>245.31</v>
      </c>
      <c r="Q14" s="3392"/>
      <c r="R14" s="3392">
        <v>8</v>
      </c>
      <c r="S14" s="3392">
        <v>-1</v>
      </c>
    </row>
    <row r="15" spans="1:19">
      <c r="A15" s="3576"/>
      <c r="B15" s="3391" t="s">
        <v>3303</v>
      </c>
      <c r="C15" s="3394">
        <f t="shared" si="0"/>
        <v>3825.5099999999998</v>
      </c>
      <c r="D15" s="3398">
        <f t="shared" si="1"/>
        <v>3622.37</v>
      </c>
      <c r="E15" s="3392">
        <v>3622.37</v>
      </c>
      <c r="F15" s="3392"/>
      <c r="G15" s="3392"/>
      <c r="H15" s="3392"/>
      <c r="I15" s="3392"/>
      <c r="J15" s="3399"/>
      <c r="K15" s="3396">
        <f t="shared" si="2"/>
        <v>203.14</v>
      </c>
      <c r="L15" s="3392"/>
      <c r="M15" s="3392"/>
      <c r="N15" s="3392"/>
      <c r="O15" s="3392"/>
      <c r="P15" s="3392">
        <f>72.57+130.57</f>
        <v>203.14</v>
      </c>
      <c r="Q15" s="3392"/>
      <c r="R15" s="3392">
        <v>8</v>
      </c>
      <c r="S15" s="3392">
        <v>-1</v>
      </c>
    </row>
    <row r="16" spans="1:19">
      <c r="A16" s="3576"/>
      <c r="B16" s="3391" t="s">
        <v>3304</v>
      </c>
      <c r="C16" s="3394">
        <f t="shared" si="0"/>
        <v>3966.89</v>
      </c>
      <c r="D16" s="3398">
        <f t="shared" si="1"/>
        <v>3733.17</v>
      </c>
      <c r="E16" s="3392">
        <f>3733.17-I16</f>
        <v>3684.88</v>
      </c>
      <c r="F16" s="3392"/>
      <c r="G16" s="3392"/>
      <c r="H16" s="3392"/>
      <c r="I16" s="3392">
        <v>48.29</v>
      </c>
      <c r="J16" s="3399"/>
      <c r="K16" s="3396">
        <f t="shared" si="2"/>
        <v>233.72</v>
      </c>
      <c r="L16" s="3392"/>
      <c r="M16" s="3392"/>
      <c r="N16" s="3392"/>
      <c r="O16" s="3392"/>
      <c r="P16" s="3392">
        <f>75.63+158.09</f>
        <v>233.72</v>
      </c>
      <c r="Q16" s="3392"/>
      <c r="R16" s="3392">
        <v>8</v>
      </c>
      <c r="S16" s="3392">
        <v>-1</v>
      </c>
    </row>
    <row r="17" spans="1:19">
      <c r="A17" s="3576"/>
      <c r="B17" s="3391" t="s">
        <v>3305</v>
      </c>
      <c r="C17" s="3394">
        <f t="shared" si="0"/>
        <v>2048.75</v>
      </c>
      <c r="D17" s="3398">
        <f t="shared" si="1"/>
        <v>1928.8</v>
      </c>
      <c r="E17" s="3392">
        <v>1928.8</v>
      </c>
      <c r="F17" s="3392"/>
      <c r="G17" s="3392"/>
      <c r="H17" s="3392"/>
      <c r="I17" s="3392"/>
      <c r="J17" s="3399"/>
      <c r="K17" s="3396">
        <f t="shared" si="2"/>
        <v>119.95</v>
      </c>
      <c r="L17" s="3392"/>
      <c r="M17" s="3392"/>
      <c r="N17" s="3392"/>
      <c r="O17" s="3392"/>
      <c r="P17" s="3392">
        <f>72.06+47.89</f>
        <v>119.95</v>
      </c>
      <c r="Q17" s="3392"/>
      <c r="R17" s="3392">
        <v>8</v>
      </c>
      <c r="S17" s="3392">
        <v>-1</v>
      </c>
    </row>
    <row r="18" spans="1:19">
      <c r="A18" s="3576"/>
      <c r="B18" s="3391" t="s">
        <v>3306</v>
      </c>
      <c r="C18" s="3394">
        <f t="shared" si="0"/>
        <v>2047.9299999999998</v>
      </c>
      <c r="D18" s="3398">
        <f t="shared" si="1"/>
        <v>1928.8</v>
      </c>
      <c r="E18" s="3392">
        <v>1928.8</v>
      </c>
      <c r="F18" s="3392"/>
      <c r="G18" s="3392"/>
      <c r="H18" s="3392"/>
      <c r="I18" s="3392"/>
      <c r="J18" s="3399"/>
      <c r="K18" s="3396">
        <f t="shared" si="2"/>
        <v>119.13</v>
      </c>
      <c r="L18" s="3392"/>
      <c r="M18" s="3392"/>
      <c r="N18" s="3392"/>
      <c r="O18" s="3392"/>
      <c r="P18" s="3392">
        <f>63.09+56.04</f>
        <v>119.13</v>
      </c>
      <c r="Q18" s="3392"/>
      <c r="R18" s="3392">
        <v>8</v>
      </c>
      <c r="S18" s="3392">
        <v>-1</v>
      </c>
    </row>
    <row r="19" spans="1:19">
      <c r="A19" s="3391" t="s">
        <v>3299</v>
      </c>
      <c r="B19" s="3391" t="s">
        <v>3307</v>
      </c>
      <c r="C19" s="3394">
        <f t="shared" si="0"/>
        <v>324.8</v>
      </c>
      <c r="D19" s="3398">
        <f t="shared" si="1"/>
        <v>122.22</v>
      </c>
      <c r="E19" s="3392"/>
      <c r="F19" s="3392">
        <v>101.96</v>
      </c>
      <c r="G19" s="3392">
        <v>20.260000000000002</v>
      </c>
      <c r="H19" s="3392"/>
      <c r="I19" s="3392"/>
      <c r="J19" s="3399"/>
      <c r="K19" s="3396">
        <f t="shared" si="2"/>
        <v>202.58</v>
      </c>
      <c r="L19" s="3392"/>
      <c r="M19" s="3392">
        <v>104.29</v>
      </c>
      <c r="N19" s="3392">
        <v>98.29</v>
      </c>
      <c r="O19" s="3392"/>
      <c r="P19" s="3392"/>
      <c r="Q19" s="3392"/>
      <c r="R19" s="3392">
        <v>1</v>
      </c>
      <c r="S19" s="3392">
        <v>-1</v>
      </c>
    </row>
    <row r="20" spans="1:19">
      <c r="A20" s="3576" t="s">
        <v>3308</v>
      </c>
      <c r="B20" s="3576"/>
      <c r="C20" s="3463">
        <f t="shared" si="0"/>
        <v>102.1152</v>
      </c>
      <c r="D20" s="3464">
        <f t="shared" si="1"/>
        <v>102.1152</v>
      </c>
      <c r="E20" s="3465"/>
      <c r="F20" s="3465"/>
      <c r="G20" s="3465"/>
      <c r="H20" s="3466">
        <f>102.1152</f>
        <v>102.1152</v>
      </c>
      <c r="I20" s="3465"/>
      <c r="J20" s="3399"/>
      <c r="K20" s="3396">
        <f t="shared" si="2"/>
        <v>0</v>
      </c>
      <c r="L20" s="3392"/>
      <c r="M20" s="3392"/>
      <c r="N20" s="3392"/>
      <c r="O20" s="3392"/>
      <c r="P20" s="3392"/>
      <c r="Q20" s="3392"/>
      <c r="R20" s="3392"/>
      <c r="S20" s="3392"/>
    </row>
    <row r="21" spans="1:19">
      <c r="A21" s="3576" t="s">
        <v>3309</v>
      </c>
      <c r="B21" s="3581"/>
      <c r="C21" s="3463">
        <f t="shared" si="0"/>
        <v>8374.630000000001</v>
      </c>
      <c r="D21" s="3464">
        <f t="shared" si="1"/>
        <v>30.12</v>
      </c>
      <c r="E21" s="3465"/>
      <c r="F21" s="3465"/>
      <c r="G21" s="3465"/>
      <c r="H21" s="3465">
        <v>8.41</v>
      </c>
      <c r="I21" s="3465"/>
      <c r="J21" s="3399">
        <v>21.71</v>
      </c>
      <c r="K21" s="3396">
        <f t="shared" si="2"/>
        <v>8344.51</v>
      </c>
      <c r="L21" s="3392">
        <v>5075.8500000000004</v>
      </c>
      <c r="M21" s="3392"/>
      <c r="N21" s="3392"/>
      <c r="O21" s="3392">
        <f>592.94-M19</f>
        <v>488.65000000000003</v>
      </c>
      <c r="P21" s="3392">
        <v>754.43</v>
      </c>
      <c r="Q21" s="3392">
        <v>2025.58</v>
      </c>
      <c r="R21" s="3392"/>
      <c r="S21" s="3392">
        <v>-1</v>
      </c>
    </row>
    <row r="22" spans="1:19" s="3404" customFormat="1" ht="14.25" thickBot="1">
      <c r="A22" s="3582" t="s">
        <v>3294</v>
      </c>
      <c r="B22" s="3583"/>
      <c r="C22" s="3480">
        <f>SUM(C12:C21)</f>
        <v>30746.715200000002</v>
      </c>
      <c r="D22" s="3483">
        <f>SUM(D12:D21)</f>
        <v>20796.435199999996</v>
      </c>
      <c r="E22" s="3402">
        <f>SUM(E12:E21)</f>
        <v>20493.689999999999</v>
      </c>
      <c r="F22" s="3402">
        <f t="shared" ref="F22:J22" si="3">SUM(F12:F21)</f>
        <v>101.96</v>
      </c>
      <c r="G22" s="3402">
        <f t="shared" si="3"/>
        <v>20.260000000000002</v>
      </c>
      <c r="H22" s="3479">
        <f t="shared" si="3"/>
        <v>110.5252</v>
      </c>
      <c r="I22" s="3402">
        <f t="shared" si="3"/>
        <v>48.29</v>
      </c>
      <c r="J22" s="3402">
        <f t="shared" si="3"/>
        <v>21.71</v>
      </c>
      <c r="K22" s="3403">
        <f>SUM(K12:K21)</f>
        <v>9950.2800000000007</v>
      </c>
      <c r="L22" s="3403">
        <f t="shared" ref="L22:Q22" si="4">SUM(L12:L21)</f>
        <v>5075.8500000000004</v>
      </c>
      <c r="M22" s="3403">
        <f t="shared" si="4"/>
        <v>104.29</v>
      </c>
      <c r="N22" s="3403">
        <f t="shared" si="4"/>
        <v>98.29</v>
      </c>
      <c r="O22" s="3403">
        <f t="shared" si="4"/>
        <v>488.65000000000003</v>
      </c>
      <c r="P22" s="3403">
        <f t="shared" si="4"/>
        <v>2157.62</v>
      </c>
      <c r="Q22" s="3403">
        <f t="shared" si="4"/>
        <v>2025.58</v>
      </c>
      <c r="R22" s="3393"/>
      <c r="S22" s="3393"/>
    </row>
    <row r="23" spans="1:19">
      <c r="A23" s="3569" t="s">
        <v>3323</v>
      </c>
      <c r="B23" s="3569"/>
      <c r="C23" s="3481">
        <f>C22-J22-Q22</f>
        <v>28699.425200000005</v>
      </c>
    </row>
    <row r="24" spans="1:19">
      <c r="A24" s="3390" t="s">
        <v>3329</v>
      </c>
      <c r="B24" s="1489">
        <f>D22/C4</f>
        <v>1.5999999999999996</v>
      </c>
    </row>
    <row r="25" spans="1:19">
      <c r="P25" s="3390"/>
    </row>
    <row r="26" spans="1:19">
      <c r="P26" s="3390"/>
    </row>
    <row r="28" spans="1:19">
      <c r="A28" s="3563" t="s">
        <v>3325</v>
      </c>
      <c r="B28" s="3563" t="s">
        <v>3326</v>
      </c>
      <c r="C28" s="3566" t="s">
        <v>3328</v>
      </c>
      <c r="D28" s="3580"/>
      <c r="E28" s="3567"/>
      <c r="H28" s="3390" t="s">
        <v>3679</v>
      </c>
    </row>
    <row r="29" spans="1:19">
      <c r="A29" s="3565"/>
      <c r="B29" s="3565"/>
      <c r="C29" s="3484" t="s">
        <v>3294</v>
      </c>
      <c r="D29" s="3484" t="s">
        <v>3313</v>
      </c>
      <c r="E29" s="3484" t="s">
        <v>3314</v>
      </c>
      <c r="F29" s="3390" t="s">
        <v>3698</v>
      </c>
      <c r="G29" s="3390"/>
      <c r="I29" s="3456" t="s">
        <v>3701</v>
      </c>
      <c r="J29" s="3456" t="s">
        <v>3703</v>
      </c>
      <c r="K29" s="3456" t="s">
        <v>3707</v>
      </c>
    </row>
    <row r="30" spans="1:19">
      <c r="A30" s="3563" t="s">
        <v>3324</v>
      </c>
      <c r="B30" s="3484" t="s">
        <v>3327</v>
      </c>
      <c r="C30" s="3485">
        <f>D30+E30</f>
        <v>20493.689999999999</v>
      </c>
      <c r="D30" s="3485">
        <f>E22</f>
        <v>20493.689999999999</v>
      </c>
      <c r="E30" s="3485"/>
      <c r="F30" s="1489">
        <v>174</v>
      </c>
      <c r="H30" s="3401" t="s">
        <v>3700</v>
      </c>
      <c r="I30" s="3401">
        <f>E31</f>
        <v>5075.8500000000004</v>
      </c>
      <c r="J30" s="3401">
        <f>ROUND(F31*I30/I32,0)</f>
        <v>154</v>
      </c>
      <c r="K30" s="1489">
        <f>ROUND(I30/J30,2)</f>
        <v>32.96</v>
      </c>
    </row>
    <row r="31" spans="1:19">
      <c r="A31" s="3564"/>
      <c r="B31" s="3484" t="s">
        <v>3331</v>
      </c>
      <c r="C31" s="3485">
        <f t="shared" ref="C31:C32" si="5">D31+E31</f>
        <v>5075.8500000000004</v>
      </c>
      <c r="D31" s="3485"/>
      <c r="E31" s="3485">
        <f>L22</f>
        <v>5075.8500000000004</v>
      </c>
      <c r="F31" s="1489">
        <v>215</v>
      </c>
      <c r="H31" s="3390" t="s">
        <v>3699</v>
      </c>
      <c r="I31" s="1489">
        <f>Q22</f>
        <v>2025.58</v>
      </c>
      <c r="J31" s="1489">
        <f>F31-J30</f>
        <v>61</v>
      </c>
      <c r="K31" s="3457">
        <f>ROUND(I31/J31,2)</f>
        <v>33.21</v>
      </c>
    </row>
    <row r="32" spans="1:19">
      <c r="A32" s="3565"/>
      <c r="B32" s="3484" t="s">
        <v>3333</v>
      </c>
      <c r="C32" s="3485">
        <f t="shared" si="5"/>
        <v>98.29</v>
      </c>
      <c r="D32" s="3485"/>
      <c r="E32" s="3485">
        <f>N22</f>
        <v>98.29</v>
      </c>
      <c r="H32" s="3390" t="s">
        <v>3702</v>
      </c>
      <c r="I32" s="1489">
        <f>I30+I31</f>
        <v>7101.43</v>
      </c>
      <c r="J32" s="3457">
        <f>J30+J31</f>
        <v>215</v>
      </c>
    </row>
    <row r="33" spans="1:14">
      <c r="A33" s="3566" t="s">
        <v>3312</v>
      </c>
      <c r="B33" s="3567"/>
      <c r="C33" s="3485">
        <f>SUM(C30:C32)</f>
        <v>25667.83</v>
      </c>
      <c r="D33" s="3485">
        <f t="shared" ref="D33:E33" si="6">SUM(D30:D32)</f>
        <v>20493.689999999999</v>
      </c>
      <c r="E33" s="3485">
        <f t="shared" si="6"/>
        <v>5174.1400000000003</v>
      </c>
      <c r="F33" s="1489">
        <f>F30/F31</f>
        <v>0.80930232558139537</v>
      </c>
      <c r="I33" s="3456" t="s">
        <v>3706</v>
      </c>
      <c r="J33" s="3456" t="s">
        <v>3703</v>
      </c>
      <c r="K33" s="3456" t="s">
        <v>3708</v>
      </c>
      <c r="L33" s="3456" t="s">
        <v>3701</v>
      </c>
      <c r="M33" s="3456" t="s">
        <v>3707</v>
      </c>
    </row>
    <row r="34" spans="1:14">
      <c r="A34" s="3563" t="s">
        <v>3324</v>
      </c>
      <c r="B34" s="3484" t="s">
        <v>3317</v>
      </c>
      <c r="C34" s="3485">
        <f>D34+E34</f>
        <v>2205.91</v>
      </c>
      <c r="D34" s="3485">
        <f>I22</f>
        <v>48.29</v>
      </c>
      <c r="E34" s="3485">
        <f>P22</f>
        <v>2157.62</v>
      </c>
      <c r="F34" s="1489">
        <f>1/1.2</f>
        <v>0.83333333333333337</v>
      </c>
      <c r="H34" s="3456" t="s">
        <v>3705</v>
      </c>
      <c r="J34" s="1489">
        <f>J30-J35</f>
        <v>84</v>
      </c>
      <c r="L34" s="1489">
        <f>ROUND(J34/J30*I30,2)</f>
        <v>2768.65</v>
      </c>
      <c r="M34" s="1489">
        <f>ROUND(L34/J34,2)</f>
        <v>32.96</v>
      </c>
    </row>
    <row r="35" spans="1:14">
      <c r="A35" s="3565"/>
      <c r="B35" s="3484" t="s">
        <v>3321</v>
      </c>
      <c r="C35" s="3485">
        <f>D35+E35</f>
        <v>825.68520000000012</v>
      </c>
      <c r="D35" s="3485">
        <f>F22+G22+H22</f>
        <v>232.74520000000001</v>
      </c>
      <c r="E35" s="3485">
        <f>M22+O22</f>
        <v>592.94000000000005</v>
      </c>
      <c r="H35" s="3456" t="s">
        <v>3704</v>
      </c>
      <c r="J35" s="1489">
        <v>70</v>
      </c>
      <c r="K35" s="1489">
        <f>I35*J35</f>
        <v>0</v>
      </c>
      <c r="L35" s="1489">
        <f>I30-L34</f>
        <v>2307.2000000000003</v>
      </c>
      <c r="M35" s="3457">
        <f>ROUND(L35/J35,2)</f>
        <v>32.96</v>
      </c>
      <c r="N35" s="1489">
        <f>L35/J35</f>
        <v>32.96</v>
      </c>
    </row>
    <row r="36" spans="1:14">
      <c r="A36" s="3566" t="s">
        <v>3312</v>
      </c>
      <c r="B36" s="3567"/>
      <c r="C36" s="3485">
        <f>SUM(C34:C35)</f>
        <v>3031.5951999999997</v>
      </c>
      <c r="D36" s="3485">
        <f t="shared" ref="D36:E36" si="7">SUM(D34:D35)</f>
        <v>281.03520000000003</v>
      </c>
      <c r="E36" s="3485">
        <f t="shared" si="7"/>
        <v>2750.56</v>
      </c>
      <c r="J36" s="1489">
        <f>J34+J35</f>
        <v>154</v>
      </c>
      <c r="L36" s="1489">
        <f>L34+L35</f>
        <v>5075.8500000000004</v>
      </c>
    </row>
    <row r="37" spans="1:14">
      <c r="A37" s="3561" t="s">
        <v>3294</v>
      </c>
      <c r="B37" s="3562"/>
      <c r="C37" s="3486">
        <f>C33+C36</f>
        <v>28699.425200000001</v>
      </c>
      <c r="D37" s="3486">
        <f t="shared" ref="D37:E37" si="8">D33+D36</f>
        <v>20774.725199999997</v>
      </c>
      <c r="E37" s="3486">
        <f t="shared" si="8"/>
        <v>7924.7000000000007</v>
      </c>
    </row>
    <row r="50" spans="14:14">
      <c r="N50" s="1489">
        <f>754.43+478.83+924.36</f>
        <v>2157.62</v>
      </c>
    </row>
  </sheetData>
  <mergeCells count="24">
    <mergeCell ref="A28:A29"/>
    <mergeCell ref="B28:B29"/>
    <mergeCell ref="C28:E28"/>
    <mergeCell ref="A20:B20"/>
    <mergeCell ref="A21:B21"/>
    <mergeCell ref="A22:B22"/>
    <mergeCell ref="B2:B3"/>
    <mergeCell ref="A23:B23"/>
    <mergeCell ref="R10:S10"/>
    <mergeCell ref="K10:Q10"/>
    <mergeCell ref="D10:J10"/>
    <mergeCell ref="A10:B11"/>
    <mergeCell ref="C10:C11"/>
    <mergeCell ref="E2:E3"/>
    <mergeCell ref="C2:C3"/>
    <mergeCell ref="D2:D3"/>
    <mergeCell ref="F2:F3"/>
    <mergeCell ref="G2:I2"/>
    <mergeCell ref="A12:A18"/>
    <mergeCell ref="A37:B37"/>
    <mergeCell ref="A30:A32"/>
    <mergeCell ref="A33:B33"/>
    <mergeCell ref="A34:A35"/>
    <mergeCell ref="A36:B36"/>
  </mergeCells>
  <phoneticPr fontId="224"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15"/>
  <sheetViews>
    <sheetView topLeftCell="A40" workbookViewId="0">
      <selection activeCell="A30" sqref="A30"/>
    </sheetView>
  </sheetViews>
  <sheetFormatPr defaultRowHeight="13.5"/>
  <cols>
    <col min="1" max="1" width="19" style="1489" customWidth="1"/>
    <col min="2" max="14" width="9" style="1489"/>
    <col min="15" max="15" width="6.125" style="1489" customWidth="1"/>
    <col min="16" max="16" width="12.25" style="1489" customWidth="1"/>
    <col min="17" max="16384" width="9" style="1489"/>
  </cols>
  <sheetData>
    <row r="4" spans="1:3">
      <c r="C4" s="3390" t="s">
        <v>3394</v>
      </c>
    </row>
    <row r="5" spans="1:3">
      <c r="A5" s="3390" t="s">
        <v>3392</v>
      </c>
      <c r="B5" s="1489">
        <v>25350.3</v>
      </c>
      <c r="C5" s="1489">
        <v>24600</v>
      </c>
    </row>
    <row r="6" spans="1:3">
      <c r="A6" s="3455" t="s">
        <v>3682</v>
      </c>
      <c r="B6" s="3455">
        <v>16645.400000000001</v>
      </c>
    </row>
    <row r="7" spans="1:3">
      <c r="A7" s="3455" t="s">
        <v>3683</v>
      </c>
      <c r="B7" s="3455">
        <v>1551.3</v>
      </c>
    </row>
    <row r="8" spans="1:3">
      <c r="A8" s="3455" t="s">
        <v>3684</v>
      </c>
      <c r="B8" s="3455">
        <v>900.8</v>
      </c>
    </row>
    <row r="9" spans="1:3">
      <c r="A9" s="3390" t="s">
        <v>3685</v>
      </c>
      <c r="B9" s="1489">
        <v>1143.5</v>
      </c>
    </row>
    <row r="10" spans="1:3">
      <c r="A10" s="3390" t="s">
        <v>3686</v>
      </c>
      <c r="B10" s="1489">
        <v>688.7</v>
      </c>
    </row>
    <row r="11" spans="1:3">
      <c r="A11" s="3390" t="s">
        <v>3687</v>
      </c>
      <c r="B11" s="1489">
        <v>3185.1</v>
      </c>
    </row>
    <row r="12" spans="1:3">
      <c r="A12" s="3390" t="s">
        <v>3393</v>
      </c>
      <c r="B12" s="1489">
        <v>1978.9</v>
      </c>
    </row>
    <row r="13" spans="1:3">
      <c r="A13" s="3390" t="s">
        <v>3688</v>
      </c>
      <c r="B13" s="1489">
        <f>SUM(B5:B12)</f>
        <v>51444</v>
      </c>
    </row>
    <row r="14" spans="1:3">
      <c r="A14" s="3390"/>
    </row>
    <row r="15" spans="1:3">
      <c r="A15" s="3390"/>
    </row>
  </sheetData>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6:B37"/>
  <sheetViews>
    <sheetView workbookViewId="0">
      <selection activeCell="B36" sqref="B36"/>
    </sheetView>
  </sheetViews>
  <sheetFormatPr defaultRowHeight="13.5"/>
  <sheetData>
    <row r="36" spans="2:2">
      <c r="B36" s="2748" t="s">
        <v>3729</v>
      </c>
    </row>
    <row r="37" spans="2:2">
      <c r="B37" s="3406" t="s">
        <v>3338</v>
      </c>
    </row>
  </sheetData>
  <phoneticPr fontId="224" type="noConversion"/>
  <hyperlinks>
    <hyperlink ref="B37" r:id="rId1"/>
  </hyperlinks>
  <pageMargins left="0.7" right="0.7" top="0.75" bottom="0.75" header="0.3" footer="0.3"/>
  <pageSetup paperSize="9" orientation="portrait" verticalDpi="0"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4" t="s">
        <v>168</v>
      </c>
      <c r="B1" s="1632"/>
      <c r="C1" s="1632"/>
      <c r="D1" s="1632"/>
      <c r="E1" s="1632"/>
      <c r="F1" s="1632"/>
      <c r="G1" s="1632"/>
      <c r="H1" s="1632"/>
      <c r="I1" s="1632"/>
      <c r="J1" s="1632"/>
      <c r="K1" s="1632"/>
      <c r="L1" s="1632"/>
      <c r="M1" s="1632"/>
      <c r="N1" s="1632"/>
      <c r="O1" s="1632"/>
      <c r="P1" s="1632"/>
    </row>
    <row r="2" spans="1:16" ht="15">
      <c r="A2" s="3593" t="s">
        <v>169</v>
      </c>
      <c r="B2" s="3593"/>
      <c r="C2" s="3593"/>
      <c r="D2" s="1630" t="s">
        <v>170</v>
      </c>
      <c r="E2" s="96" t="s">
        <v>171</v>
      </c>
      <c r="F2" s="2609"/>
      <c r="G2" s="1040"/>
      <c r="H2" s="1041"/>
      <c r="I2" s="1042" t="s">
        <v>795</v>
      </c>
      <c r="J2" s="2609"/>
      <c r="K2" s="2609"/>
      <c r="L2" s="2609"/>
      <c r="M2" s="2609"/>
      <c r="N2" s="2609"/>
      <c r="O2" s="2609"/>
      <c r="P2" s="2609"/>
    </row>
    <row r="3" spans="1:16" ht="15.75" thickBot="1">
      <c r="A3" s="3594" t="s">
        <v>172</v>
      </c>
      <c r="B3" s="3594"/>
      <c r="C3" s="3594"/>
      <c r="D3" s="97">
        <f>'数据-基础表'!AY6</f>
        <v>12997.77</v>
      </c>
      <c r="E3" s="3487">
        <f>'数据-基础表'!AZ5</f>
        <v>28699.425200000001</v>
      </c>
      <c r="F3" s="2609"/>
      <c r="G3" s="105" t="s">
        <v>796</v>
      </c>
      <c r="H3" s="101" t="s">
        <v>797</v>
      </c>
      <c r="I3" s="995">
        <f>ROUND('数据-基础表'!B3/'数据-基础表'!A3,2)</f>
        <v>2.21</v>
      </c>
      <c r="J3" s="2609"/>
      <c r="K3" s="2609"/>
      <c r="L3" s="2609"/>
      <c r="M3" s="2609"/>
      <c r="N3" s="2609"/>
      <c r="O3" s="2609"/>
      <c r="P3" s="2609"/>
    </row>
    <row r="4" spans="1:16" ht="15">
      <c r="A4" s="3595"/>
      <c r="B4" s="3596"/>
      <c r="C4" s="3597"/>
      <c r="D4" s="98" t="s">
        <v>170</v>
      </c>
      <c r="E4" s="99" t="s">
        <v>171</v>
      </c>
      <c r="F4" s="2609"/>
      <c r="G4" s="118"/>
      <c r="H4" s="101" t="s">
        <v>798</v>
      </c>
      <c r="I4" s="995">
        <f>ROUND(SUMIF('数据-基础表'!I9:AS9,"地上",'数据-基础表'!I5:AS5)/'数据-基础表'!A3,2)</f>
        <v>1.6</v>
      </c>
      <c r="J4" s="2609"/>
      <c r="K4" s="2609"/>
      <c r="L4" s="2609"/>
      <c r="M4" s="2609"/>
      <c r="N4" s="2609"/>
      <c r="O4" s="2609"/>
      <c r="P4" s="2609"/>
    </row>
    <row r="5" spans="1:16">
      <c r="A5" s="100" t="s">
        <v>173</v>
      </c>
      <c r="B5" s="3598" t="s">
        <v>196</v>
      </c>
      <c r="C5" s="3598"/>
      <c r="D5" s="101">
        <f>ROUND($D$3*E5/$E$3,2)</f>
        <v>9281.4500000000007</v>
      </c>
      <c r="E5" s="102">
        <f>SUMIF('数据-基础表'!$11:$11,"住宅",'数据-基础表'!$5:$5)</f>
        <v>20493.689999999999</v>
      </c>
      <c r="F5" s="2609"/>
      <c r="G5" s="105" t="s">
        <v>799</v>
      </c>
      <c r="H5" s="101" t="s">
        <v>797</v>
      </c>
      <c r="I5" s="995">
        <f>ROUND(E31/D31,2)</f>
        <v>2.21</v>
      </c>
      <c r="J5" s="2609"/>
      <c r="K5" s="2609"/>
      <c r="L5" s="2609"/>
      <c r="M5" s="2609"/>
      <c r="N5" s="2609"/>
      <c r="O5" s="2609"/>
      <c r="P5" s="2609"/>
    </row>
    <row r="6" spans="1:16" ht="15" thickBot="1">
      <c r="A6" s="103"/>
      <c r="B6" s="3598" t="s">
        <v>174</v>
      </c>
      <c r="C6" s="3598"/>
      <c r="D6" s="101">
        <f>ROUND($D$3*E6/$E$3,2)</f>
        <v>3716.32</v>
      </c>
      <c r="E6" s="102">
        <f>E3-E5</f>
        <v>8205.7352000000028</v>
      </c>
      <c r="F6" s="2609"/>
      <c r="G6" s="118"/>
      <c r="H6" s="101" t="s">
        <v>798</v>
      </c>
      <c r="I6" s="995">
        <f>ROUND(F31/D31,2)</f>
        <v>1.6</v>
      </c>
      <c r="J6" s="2609"/>
      <c r="K6" s="2609"/>
      <c r="L6" s="2609"/>
      <c r="M6" s="2609"/>
      <c r="N6" s="2609"/>
      <c r="O6" s="2609"/>
      <c r="P6" s="2609"/>
    </row>
    <row r="7" spans="1:16" ht="15">
      <c r="A7" s="3590"/>
      <c r="B7" s="3591"/>
      <c r="C7" s="3592"/>
      <c r="D7" s="98" t="s">
        <v>170</v>
      </c>
      <c r="E7" s="104" t="s">
        <v>197</v>
      </c>
      <c r="F7" s="2609"/>
      <c r="G7" s="1000" t="s">
        <v>1180</v>
      </c>
      <c r="H7" s="1001"/>
      <c r="I7" s="126"/>
      <c r="J7" s="2609"/>
      <c r="K7" s="2609"/>
      <c r="L7" s="2609"/>
      <c r="M7" s="2609"/>
      <c r="N7" s="2609"/>
      <c r="O7" s="2609"/>
      <c r="P7" s="2609"/>
    </row>
    <row r="8" spans="1:16">
      <c r="A8" s="100" t="s">
        <v>175</v>
      </c>
      <c r="B8" s="105" t="s">
        <v>176</v>
      </c>
      <c r="C8" s="101" t="s">
        <v>177</v>
      </c>
      <c r="D8" s="101">
        <f t="shared" ref="D8:D15" si="0">ROUND($D$3*E8/$E$3,2)</f>
        <v>9281.4500000000007</v>
      </c>
      <c r="E8" s="106">
        <f>SUMIF('数据-基础表'!BB10:BK10,"地上",'数据-基础表'!BB5:BK5)</f>
        <v>20493.689999999999</v>
      </c>
      <c r="F8" s="2609"/>
      <c r="G8" s="2609"/>
      <c r="H8" s="2609"/>
      <c r="I8" s="2609"/>
      <c r="J8" s="2609"/>
      <c r="K8" s="2609"/>
      <c r="L8" s="2609"/>
      <c r="M8" s="2609"/>
      <c r="N8" s="2609"/>
      <c r="O8" s="2609"/>
      <c r="P8" s="2609"/>
    </row>
    <row r="9" spans="1:16">
      <c r="A9" s="107"/>
      <c r="B9" s="108"/>
      <c r="C9" s="101" t="s">
        <v>178</v>
      </c>
      <c r="D9" s="101">
        <f t="shared" si="0"/>
        <v>55.35</v>
      </c>
      <c r="E9" s="109">
        <f>工规面积指标!F22+工规面积指标!G22</f>
        <v>122.22</v>
      </c>
      <c r="F9" s="2609"/>
      <c r="G9" s="2609"/>
      <c r="H9" s="2609"/>
      <c r="I9" s="2609"/>
      <c r="J9" s="2609"/>
      <c r="K9" s="2609"/>
      <c r="L9" s="2609"/>
      <c r="M9" s="2609"/>
      <c r="N9" s="2609"/>
      <c r="O9" s="2609"/>
      <c r="P9" s="2609"/>
    </row>
    <row r="10" spans="1:16">
      <c r="A10" s="107"/>
      <c r="B10" s="108"/>
      <c r="C10" s="101" t="s">
        <v>179</v>
      </c>
      <c r="D10" s="101">
        <f t="shared" si="0"/>
        <v>0</v>
      </c>
      <c r="E10" s="106">
        <f>SUMPRODUCT(('数据-基础表'!BB10:BK10="地下")*('数据-基础表'!BB11:BK11="商业")*('数据-基础表'!BB5:BK5))</f>
        <v>0</v>
      </c>
      <c r="F10" s="2609"/>
      <c r="G10" s="2609"/>
      <c r="H10" s="2609"/>
      <c r="I10" s="2609"/>
      <c r="J10" s="2609"/>
      <c r="K10" s="2609"/>
      <c r="L10" s="2609"/>
      <c r="M10" s="2609"/>
      <c r="N10" s="2609"/>
      <c r="O10" s="2609"/>
      <c r="P10" s="2609"/>
    </row>
    <row r="11" spans="1:16">
      <c r="A11" s="107"/>
      <c r="B11" s="108"/>
      <c r="C11" s="1917" t="s">
        <v>1684</v>
      </c>
      <c r="D11" s="101">
        <f t="shared" si="0"/>
        <v>47.23</v>
      </c>
      <c r="E11" s="106">
        <f>SUMPRODUCT(('数据-基础表'!BB10:BK10="地下")*('数据-基础表'!BB11:BK11="办公")*('数据-基础表'!BB5:BK5))+'数据-基础表'!AJ5</f>
        <v>104.29</v>
      </c>
      <c r="F11" s="2609"/>
      <c r="G11" s="2609"/>
      <c r="H11" s="2609"/>
      <c r="I11" s="2609"/>
      <c r="J11" s="2609"/>
      <c r="K11" s="2609"/>
      <c r="L11" s="2609"/>
      <c r="M11" s="2609"/>
      <c r="N11" s="2609"/>
      <c r="O11" s="2609"/>
      <c r="P11" s="2609"/>
    </row>
    <row r="12" spans="1:16">
      <c r="A12" s="107"/>
      <c r="B12" s="108"/>
      <c r="C12" s="101" t="s">
        <v>180</v>
      </c>
      <c r="D12" s="101">
        <f t="shared" si="0"/>
        <v>44.51</v>
      </c>
      <c r="E12" s="106">
        <f>SUMPRODUCT(('数据-基础表'!BB10:BK10="地下")*('数据-基础表'!BB11:BK11="仓储")*('数据-基础表'!BB5:BK5))</f>
        <v>98.29</v>
      </c>
      <c r="F12" s="2609"/>
      <c r="G12" s="2609"/>
      <c r="H12" s="2609"/>
      <c r="I12" s="2609"/>
      <c r="J12" s="2609"/>
      <c r="K12" s="2609"/>
      <c r="L12" s="2609"/>
      <c r="M12" s="2609"/>
      <c r="N12" s="2609"/>
      <c r="O12" s="2609"/>
      <c r="P12" s="2609"/>
    </row>
    <row r="13" spans="1:16">
      <c r="A13" s="107"/>
      <c r="B13" s="108"/>
      <c r="C13" s="1917" t="s">
        <v>1691</v>
      </c>
      <c r="D13" s="101">
        <f t="shared" si="0"/>
        <v>2298.8200000000002</v>
      </c>
      <c r="E13" s="106">
        <f>SUMPRODUCT(('数据-基础表'!BB10:BK10="地下")*('数据-基础表'!BB11:BK11="车库")*('数据-基础表'!BB5:BK5))</f>
        <v>5075.8500000000004</v>
      </c>
      <c r="F13" s="2609"/>
      <c r="G13" s="2609"/>
      <c r="H13" s="2609"/>
      <c r="I13" s="2609"/>
      <c r="J13" s="2609"/>
      <c r="K13" s="2609"/>
      <c r="L13" s="2609"/>
      <c r="M13" s="2609"/>
      <c r="N13" s="2609"/>
      <c r="O13" s="2609"/>
      <c r="P13" s="2609"/>
    </row>
    <row r="14" spans="1:16">
      <c r="A14" s="107"/>
      <c r="B14" s="108"/>
      <c r="C14" s="101" t="s">
        <v>198</v>
      </c>
      <c r="D14" s="101">
        <f t="shared" si="0"/>
        <v>0</v>
      </c>
      <c r="E14" s="106">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7"/>
      <c r="B15" s="108"/>
      <c r="C15" s="101" t="s">
        <v>199</v>
      </c>
      <c r="D15" s="101">
        <f t="shared" si="0"/>
        <v>0</v>
      </c>
      <c r="E15" s="106">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3"/>
      <c r="B16" s="108"/>
      <c r="C16" s="105" t="s">
        <v>181</v>
      </c>
      <c r="D16" s="105">
        <f>SUM(D8:D15)</f>
        <v>11727.36</v>
      </c>
      <c r="E16" s="110">
        <f>SUM(E8:E15)</f>
        <v>25894.340000000004</v>
      </c>
      <c r="F16" s="2609"/>
      <c r="G16" s="2609"/>
      <c r="H16" s="881" t="s">
        <v>185</v>
      </c>
      <c r="I16" s="882"/>
      <c r="J16" s="1632"/>
      <c r="K16" s="3584" t="s">
        <v>1849</v>
      </c>
      <c r="L16" s="3585"/>
      <c r="M16" s="3585"/>
      <c r="N16" s="3585"/>
      <c r="O16" s="3585"/>
      <c r="P16" s="3586"/>
    </row>
    <row r="17" spans="1:19" ht="15">
      <c r="A17" s="111" t="s">
        <v>182</v>
      </c>
      <c r="B17" s="112" t="s">
        <v>183</v>
      </c>
      <c r="C17" s="1885" t="s">
        <v>1670</v>
      </c>
      <c r="D17" s="98" t="s">
        <v>170</v>
      </c>
      <c r="E17" s="114" t="s">
        <v>171</v>
      </c>
      <c r="F17" s="115"/>
      <c r="G17" s="1157"/>
      <c r="H17" s="883" t="s">
        <v>184</v>
      </c>
      <c r="I17" s="884" t="s">
        <v>1669</v>
      </c>
      <c r="J17" s="1632"/>
      <c r="K17" s="3587" t="s">
        <v>1850</v>
      </c>
      <c r="L17" s="3588"/>
      <c r="M17" s="3589"/>
      <c r="N17" s="3587" t="s">
        <v>1851</v>
      </c>
      <c r="O17" s="3588"/>
      <c r="P17" s="3589"/>
      <c r="R17" s="1886" t="s">
        <v>1668</v>
      </c>
      <c r="S17" s="124"/>
    </row>
    <row r="18" spans="1:19" ht="15">
      <c r="A18" s="107"/>
      <c r="B18" s="118"/>
      <c r="C18" s="95"/>
      <c r="D18" s="1630"/>
      <c r="E18" s="119" t="s">
        <v>186</v>
      </c>
      <c r="F18" s="120" t="s">
        <v>187</v>
      </c>
      <c r="G18" s="1158" t="s">
        <v>188</v>
      </c>
      <c r="H18" s="885" t="s">
        <v>189</v>
      </c>
      <c r="I18" s="886" t="s">
        <v>190</v>
      </c>
      <c r="J18" s="1632"/>
      <c r="K18" s="2062" t="s">
        <v>1852</v>
      </c>
      <c r="L18" s="2063" t="s">
        <v>1853</v>
      </c>
      <c r="M18" s="2064" t="s">
        <v>1854</v>
      </c>
      <c r="N18" s="2062" t="s">
        <v>1852</v>
      </c>
      <c r="O18" s="2063" t="s">
        <v>1853</v>
      </c>
      <c r="P18" s="2064" t="s">
        <v>1854</v>
      </c>
      <c r="R18" s="1887" t="s">
        <v>1666</v>
      </c>
      <c r="S18" s="1887" t="s">
        <v>1667</v>
      </c>
    </row>
    <row r="19" spans="1:19">
      <c r="A19" s="122"/>
      <c r="B19" s="105" t="s">
        <v>191</v>
      </c>
      <c r="C19" s="2309" t="s">
        <v>3335</v>
      </c>
      <c r="D19" s="101">
        <f t="shared" ref="D19:D26" si="1">ROUND($D$3*E19/$E$3,2)</f>
        <v>9281.4500000000007</v>
      </c>
      <c r="E19" s="123">
        <f t="shared" ref="E19:E26" si="2">SUM(F19:G19)</f>
        <v>20493.689999999999</v>
      </c>
      <c r="F19" s="2610">
        <f>'数据-基础表'!I13</f>
        <v>20493.689999999999</v>
      </c>
      <c r="G19" s="2611"/>
      <c r="H19" s="887">
        <f>ROUND($D$3*I19/$E$3,2)</f>
        <v>1171.5999999999999</v>
      </c>
      <c r="I19" s="106">
        <f>IF($I$17="自定义",P19,M19)</f>
        <v>2586.9300000000003</v>
      </c>
      <c r="J19" s="1632"/>
      <c r="K19" s="887">
        <f t="shared" ref="K19:K26" si="3">ROUND(E$28*E19/E$27,2)</f>
        <v>1761.24</v>
      </c>
      <c r="L19" s="101">
        <f t="shared" ref="L19:L26" si="4">ROUND(IF(COUNTIF(C19,"*住宅*")&gt;0,E$29*E19/E$32,0),2)</f>
        <v>825.69</v>
      </c>
      <c r="M19" s="106">
        <f>K19+L19</f>
        <v>2586.9300000000003</v>
      </c>
      <c r="N19" s="2065"/>
      <c r="O19" s="2066"/>
      <c r="P19" s="2067">
        <f>N19+O19</f>
        <v>0</v>
      </c>
      <c r="R19" s="101">
        <f t="shared" ref="R19:S26" si="5">D19+H19</f>
        <v>10453.050000000001</v>
      </c>
      <c r="S19" s="123">
        <f t="shared" si="5"/>
        <v>23080.62</v>
      </c>
    </row>
    <row r="20" spans="1:19">
      <c r="A20" s="122"/>
      <c r="B20" s="105" t="s">
        <v>192</v>
      </c>
      <c r="C20" s="2309" t="s">
        <v>3710</v>
      </c>
      <c r="D20" s="101">
        <f t="shared" si="1"/>
        <v>1253.9000000000001</v>
      </c>
      <c r="E20" s="123">
        <f t="shared" si="2"/>
        <v>2768.65</v>
      </c>
      <c r="F20" s="2610"/>
      <c r="G20" s="3468">
        <f>工规面积指标!L34</f>
        <v>2768.65</v>
      </c>
      <c r="H20" s="887">
        <f t="shared" ref="H20:H26" si="6">ROUND($D$3*I20/$E$3,2)</f>
        <v>107.76</v>
      </c>
      <c r="I20" s="106">
        <f t="shared" ref="I20:I26" si="7">IF($I$17="自定义",P20,M20)</f>
        <v>237.94</v>
      </c>
      <c r="J20" s="1632"/>
      <c r="K20" s="887">
        <f t="shared" si="3"/>
        <v>237.94</v>
      </c>
      <c r="L20" s="101">
        <f t="shared" si="4"/>
        <v>0</v>
      </c>
      <c r="M20" s="106">
        <f t="shared" ref="M20:M26" si="8">K20+L20</f>
        <v>237.94</v>
      </c>
      <c r="N20" s="2065"/>
      <c r="O20" s="2066"/>
      <c r="P20" s="2067">
        <f t="shared" ref="P20:P26" si="9">N20+O20</f>
        <v>0</v>
      </c>
      <c r="R20" s="101">
        <f t="shared" si="5"/>
        <v>1361.66</v>
      </c>
      <c r="S20" s="123">
        <f t="shared" si="5"/>
        <v>3006.59</v>
      </c>
    </row>
    <row r="21" spans="1:19">
      <c r="A21" s="122"/>
      <c r="B21" s="105" t="s">
        <v>192</v>
      </c>
      <c r="C21" s="2309" t="s">
        <v>3712</v>
      </c>
      <c r="D21" s="101">
        <f t="shared" si="1"/>
        <v>1044.9100000000001</v>
      </c>
      <c r="E21" s="123">
        <f t="shared" si="2"/>
        <v>2307.2000000000003</v>
      </c>
      <c r="F21" s="2610"/>
      <c r="G21" s="3468">
        <f>工规面积指标!L35</f>
        <v>2307.2000000000003</v>
      </c>
      <c r="H21" s="887">
        <f t="shared" si="6"/>
        <v>89.8</v>
      </c>
      <c r="I21" s="106">
        <f t="shared" si="7"/>
        <v>198.28</v>
      </c>
      <c r="J21" s="1632"/>
      <c r="K21" s="887">
        <f t="shared" si="3"/>
        <v>198.28</v>
      </c>
      <c r="L21" s="101">
        <f t="shared" si="4"/>
        <v>0</v>
      </c>
      <c r="M21" s="106">
        <f t="shared" si="8"/>
        <v>198.28</v>
      </c>
      <c r="N21" s="2065"/>
      <c r="O21" s="2066"/>
      <c r="P21" s="2067">
        <f t="shared" si="9"/>
        <v>0</v>
      </c>
      <c r="R21" s="101">
        <f t="shared" si="5"/>
        <v>1134.71</v>
      </c>
      <c r="S21" s="123">
        <f t="shared" si="5"/>
        <v>2505.4800000000005</v>
      </c>
    </row>
    <row r="22" spans="1:19">
      <c r="A22" s="122"/>
      <c r="B22" s="105" t="s">
        <v>192</v>
      </c>
      <c r="C22" s="2309" t="s">
        <v>3336</v>
      </c>
      <c r="D22" s="101">
        <f t="shared" si="1"/>
        <v>44.51</v>
      </c>
      <c r="E22" s="123">
        <f t="shared" si="2"/>
        <v>98.29</v>
      </c>
      <c r="F22" s="2612"/>
      <c r="G22" s="2613">
        <f>'数据-基础表'!M13</f>
        <v>98.29</v>
      </c>
      <c r="H22" s="887">
        <f t="shared" si="6"/>
        <v>3.83</v>
      </c>
      <c r="I22" s="106">
        <f t="shared" si="7"/>
        <v>8.4499999999999993</v>
      </c>
      <c r="J22" s="1632"/>
      <c r="K22" s="887">
        <f t="shared" si="3"/>
        <v>8.4499999999999993</v>
      </c>
      <c r="L22" s="101">
        <f t="shared" si="4"/>
        <v>0</v>
      </c>
      <c r="M22" s="106">
        <f t="shared" si="8"/>
        <v>8.4499999999999993</v>
      </c>
      <c r="N22" s="2065"/>
      <c r="O22" s="2066"/>
      <c r="P22" s="2067">
        <f t="shared" si="9"/>
        <v>0</v>
      </c>
      <c r="R22" s="101">
        <f t="shared" si="5"/>
        <v>48.339999999999996</v>
      </c>
      <c r="S22" s="123">
        <f t="shared" si="5"/>
        <v>106.74000000000001</v>
      </c>
    </row>
    <row r="23" spans="1:19">
      <c r="A23" s="122"/>
      <c r="B23" s="105" t="s">
        <v>192</v>
      </c>
      <c r="C23" s="3083"/>
      <c r="D23" s="101">
        <f>ROUND($D$3*E23/$E$3,2)</f>
        <v>0</v>
      </c>
      <c r="E23" s="123">
        <f>SUM(F23:G23)</f>
        <v>0</v>
      </c>
      <c r="F23" s="2612"/>
      <c r="G23" s="2613"/>
      <c r="H23" s="887">
        <f>ROUND($D$3*I23/$E$3,2)</f>
        <v>0</v>
      </c>
      <c r="I23" s="106">
        <f t="shared" si="7"/>
        <v>0</v>
      </c>
      <c r="J23" s="1632"/>
      <c r="K23" s="887">
        <f t="shared" si="3"/>
        <v>0</v>
      </c>
      <c r="L23" s="101">
        <f t="shared" si="4"/>
        <v>0</v>
      </c>
      <c r="M23" s="106">
        <f t="shared" si="8"/>
        <v>0</v>
      </c>
      <c r="N23" s="2065"/>
      <c r="O23" s="2066"/>
      <c r="P23" s="2067">
        <f t="shared" si="9"/>
        <v>0</v>
      </c>
      <c r="R23" s="101">
        <f t="shared" si="5"/>
        <v>0</v>
      </c>
      <c r="S23" s="123">
        <f t="shared" si="5"/>
        <v>0</v>
      </c>
    </row>
    <row r="24" spans="1:19">
      <c r="A24" s="122"/>
      <c r="B24" s="105" t="s">
        <v>192</v>
      </c>
      <c r="C24" s="3083"/>
      <c r="D24" s="101">
        <f>ROUND($D$3*E24/$E$3,2)</f>
        <v>0</v>
      </c>
      <c r="E24" s="123">
        <f>SUM(F24:G24)</f>
        <v>0</v>
      </c>
      <c r="F24" s="2612"/>
      <c r="G24" s="2613"/>
      <c r="H24" s="887">
        <f>ROUND($D$3*I24/$E$3,2)</f>
        <v>0</v>
      </c>
      <c r="I24" s="106">
        <f t="shared" si="7"/>
        <v>0</v>
      </c>
      <c r="J24" s="1632"/>
      <c r="K24" s="887">
        <f t="shared" si="3"/>
        <v>0</v>
      </c>
      <c r="L24" s="101">
        <f t="shared" si="4"/>
        <v>0</v>
      </c>
      <c r="M24" s="106">
        <f t="shared" si="8"/>
        <v>0</v>
      </c>
      <c r="N24" s="2065"/>
      <c r="O24" s="2066"/>
      <c r="P24" s="2067">
        <f t="shared" si="9"/>
        <v>0</v>
      </c>
      <c r="R24" s="101">
        <f t="shared" si="5"/>
        <v>0</v>
      </c>
      <c r="S24" s="123">
        <f t="shared" si="5"/>
        <v>0</v>
      </c>
    </row>
    <row r="25" spans="1:19">
      <c r="A25" s="122"/>
      <c r="B25" s="105" t="s">
        <v>192</v>
      </c>
      <c r="C25" s="3083"/>
      <c r="D25" s="101">
        <f t="shared" si="1"/>
        <v>0</v>
      </c>
      <c r="E25" s="123">
        <f t="shared" si="2"/>
        <v>0</v>
      </c>
      <c r="F25" s="2612"/>
      <c r="G25" s="2613"/>
      <c r="H25" s="100">
        <f t="shared" si="6"/>
        <v>0</v>
      </c>
      <c r="I25" s="106">
        <f t="shared" si="7"/>
        <v>0</v>
      </c>
      <c r="J25" s="1632"/>
      <c r="K25" s="887">
        <f t="shared" si="3"/>
        <v>0</v>
      </c>
      <c r="L25" s="101">
        <f t="shared" si="4"/>
        <v>0</v>
      </c>
      <c r="M25" s="106">
        <f t="shared" si="8"/>
        <v>0</v>
      </c>
      <c r="N25" s="2065"/>
      <c r="O25" s="2066"/>
      <c r="P25" s="2067">
        <f t="shared" si="9"/>
        <v>0</v>
      </c>
      <c r="R25" s="101">
        <f t="shared" si="5"/>
        <v>0</v>
      </c>
      <c r="S25" s="123">
        <f t="shared" si="5"/>
        <v>0</v>
      </c>
    </row>
    <row r="26" spans="1:19">
      <c r="A26" s="122"/>
      <c r="B26" s="105" t="s">
        <v>192</v>
      </c>
      <c r="C26" s="127"/>
      <c r="D26" s="101">
        <f t="shared" si="1"/>
        <v>0</v>
      </c>
      <c r="E26" s="123">
        <f t="shared" si="2"/>
        <v>0</v>
      </c>
      <c r="F26" s="2612"/>
      <c r="G26" s="2613"/>
      <c r="H26" s="100">
        <f t="shared" si="6"/>
        <v>0</v>
      </c>
      <c r="I26" s="106">
        <f t="shared" si="7"/>
        <v>0</v>
      </c>
      <c r="J26" s="1632"/>
      <c r="K26" s="100">
        <f t="shared" si="3"/>
        <v>0</v>
      </c>
      <c r="L26" s="105">
        <f t="shared" si="4"/>
        <v>0</v>
      </c>
      <c r="M26" s="110">
        <f t="shared" si="8"/>
        <v>0</v>
      </c>
      <c r="N26" s="2068"/>
      <c r="O26" s="2069"/>
      <c r="P26" s="2070">
        <f t="shared" si="9"/>
        <v>0</v>
      </c>
      <c r="R26" s="101">
        <f t="shared" si="5"/>
        <v>0</v>
      </c>
      <c r="S26" s="123">
        <f t="shared" si="5"/>
        <v>0</v>
      </c>
    </row>
    <row r="27" spans="1:19" ht="29.25" thickBot="1">
      <c r="A27" s="122"/>
      <c r="B27" s="101"/>
      <c r="C27" s="117" t="s">
        <v>181</v>
      </c>
      <c r="D27" s="123">
        <f>SUM(D19:D26)</f>
        <v>11624.77</v>
      </c>
      <c r="E27" s="128">
        <f>IF(SUM(E19:E26)='数据-基础表'!BA5,SUM(E19:E26),IF(F27="地上面积有误","面积有误","地下面积有误"))</f>
        <v>25667.83</v>
      </c>
      <c r="F27" s="123">
        <f>IF(SUM(F19:F26)=E8,SUM(F19:F26),"地上面积有误")</f>
        <v>20493.689999999999</v>
      </c>
      <c r="G27" s="102">
        <f>SUM(G19:G26)</f>
        <v>5174.1400000000003</v>
      </c>
      <c r="H27" s="888">
        <f>SUM(H19:H26)</f>
        <v>1372.9899999999998</v>
      </c>
      <c r="I27" s="889">
        <f>SUM(I19:I26)</f>
        <v>3031.6000000000004</v>
      </c>
      <c r="J27" s="1632"/>
      <c r="K27" s="2071">
        <f t="shared" ref="K27:P27" si="10">SUM(K19:K26)</f>
        <v>2205.91</v>
      </c>
      <c r="L27" s="2072">
        <f t="shared" si="10"/>
        <v>825.69</v>
      </c>
      <c r="M27" s="2073">
        <f t="shared" si="10"/>
        <v>3031.6000000000004</v>
      </c>
      <c r="N27" s="2071">
        <f t="shared" si="10"/>
        <v>0</v>
      </c>
      <c r="O27" s="2072">
        <f t="shared" si="10"/>
        <v>0</v>
      </c>
      <c r="P27" s="193">
        <f t="shared" si="10"/>
        <v>0</v>
      </c>
      <c r="R27" s="1891" t="str">
        <f>IF(SUM(R19:R26)=$D$3,SUM(R19:R26),SUM(R19:R26)&amp;"误差"&amp;ROUND(SUM(R19:R26)-$D$3,2))</f>
        <v>12997.76误差-0.01</v>
      </c>
      <c r="S27" s="101" t="str">
        <f>IF(SUM(S19:S26)=$E$3,SUM(S19:S26),SUM(S19:S26)&amp;"误差"&amp;ROUND(SUM(S19:S26)-E3,2))</f>
        <v>28699.43误差0</v>
      </c>
    </row>
    <row r="28" spans="1:19">
      <c r="A28" s="122"/>
      <c r="B28" s="105" t="s">
        <v>193</v>
      </c>
      <c r="C28" s="124" t="s">
        <v>194</v>
      </c>
      <c r="D28" s="101">
        <f>ROUND($D$3*E28/$E$3,2)</f>
        <v>999.04</v>
      </c>
      <c r="E28" s="123">
        <f>SUM(F28:G28)</f>
        <v>2205.91</v>
      </c>
      <c r="F28" s="124">
        <f>'数据-基础表'!BQ5+'数据-基础表'!BS5</f>
        <v>48.29</v>
      </c>
      <c r="G28" s="129">
        <f>'数据-基础表'!BR5+'数据-基础表'!BT5</f>
        <v>2157.62</v>
      </c>
      <c r="H28" s="2609"/>
      <c r="I28" s="2609"/>
      <c r="J28" s="2609"/>
      <c r="K28" s="2609"/>
      <c r="L28" s="2609"/>
      <c r="M28" s="2609"/>
      <c r="N28" s="2609"/>
      <c r="O28" s="2609"/>
      <c r="P28" s="2609"/>
    </row>
    <row r="29" spans="1:19">
      <c r="A29" s="122"/>
      <c r="B29" s="105" t="s">
        <v>193</v>
      </c>
      <c r="C29" s="1899" t="s">
        <v>1677</v>
      </c>
      <c r="D29" s="101">
        <f>ROUND($D$3*E29/$E$3,2)</f>
        <v>373.95</v>
      </c>
      <c r="E29" s="123">
        <f>SUM(F29:G29)</f>
        <v>825.68520000000012</v>
      </c>
      <c r="F29" s="3488">
        <f>'数据-基础表'!BM5+'数据-基础表'!BO5</f>
        <v>232.74520000000001</v>
      </c>
      <c r="G29" s="110">
        <f>'数据-基础表'!BN5+'数据-基础表'!BP5</f>
        <v>592.94000000000005</v>
      </c>
      <c r="H29" s="2609"/>
      <c r="I29" s="2609"/>
      <c r="J29" s="2609"/>
      <c r="K29" s="2609"/>
      <c r="L29" s="2609"/>
      <c r="M29" s="2609"/>
      <c r="N29" s="2609"/>
      <c r="O29" s="2609"/>
      <c r="P29" s="2609"/>
    </row>
    <row r="30" spans="1:19">
      <c r="A30" s="122"/>
      <c r="B30" s="101"/>
      <c r="C30" s="130" t="s">
        <v>181</v>
      </c>
      <c r="D30" s="123">
        <f>SUM(D28:D29)</f>
        <v>1372.99</v>
      </c>
      <c r="E30" s="123">
        <f>SUM(E28:E29)</f>
        <v>3031.5951999999997</v>
      </c>
      <c r="F30" s="123">
        <f>SUM(F28:F29)</f>
        <v>281.03520000000003</v>
      </c>
      <c r="G30" s="102">
        <f>SUM(G28:G29)</f>
        <v>2750.56</v>
      </c>
      <c r="H30" s="2609"/>
      <c r="I30" s="2609"/>
      <c r="J30" s="2609"/>
      <c r="K30" s="2609"/>
      <c r="L30" s="2609"/>
      <c r="M30" s="2609"/>
      <c r="N30" s="2609"/>
      <c r="O30" s="2609"/>
      <c r="P30" s="2609"/>
    </row>
    <row r="31" spans="1:19" ht="32.25" customHeight="1" thickBot="1">
      <c r="A31" s="1159"/>
      <c r="B31" s="1160" t="s">
        <v>195</v>
      </c>
      <c r="C31" s="1916" t="s">
        <v>1679</v>
      </c>
      <c r="D31" s="1161">
        <f>D27+D30</f>
        <v>12997.76</v>
      </c>
      <c r="E31" s="1161">
        <f>E27+E30</f>
        <v>28699.425200000001</v>
      </c>
      <c r="F31" s="1162">
        <f>F27+F30</f>
        <v>20774.725199999997</v>
      </c>
      <c r="G31" s="1163">
        <f>G27+G30</f>
        <v>7924.7000000000007</v>
      </c>
      <c r="H31" s="2609"/>
      <c r="I31" s="2609"/>
      <c r="J31" s="2609"/>
      <c r="K31" s="2609"/>
      <c r="L31" s="2609"/>
      <c r="M31" s="2609"/>
      <c r="N31" s="2609"/>
      <c r="O31" s="2609"/>
      <c r="P31" s="2609"/>
    </row>
    <row r="32" spans="1:19">
      <c r="A32" s="1632"/>
      <c r="B32" s="1928" t="s">
        <v>1678</v>
      </c>
      <c r="C32" s="2086"/>
      <c r="D32" s="118"/>
      <c r="E32" s="118">
        <f>SUMIF(C19:C26,"*住宅*",E19:E26)</f>
        <v>20493.689999999999</v>
      </c>
      <c r="F32" s="118"/>
      <c r="G32" s="118"/>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AE42" sqref="AE42"/>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11" style="1043" customWidth="1"/>
    <col min="14" max="14" width="9.75" style="1043" customWidth="1"/>
    <col min="15" max="15" width="14.375" style="1043" customWidth="1"/>
    <col min="16"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6"/>
    <col min="42" max="42" width="13.75" style="236" customWidth="1"/>
    <col min="43" max="83" width="13.75" style="236"/>
    <col min="84" max="16384" width="13.75" style="1043"/>
  </cols>
  <sheetData>
    <row r="1" spans="1:83" ht="19.5" thickBot="1">
      <c r="A1" s="131"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2" t="s">
        <v>201</v>
      </c>
      <c r="B2" s="1924">
        <f>项目基本情况!D3</f>
        <v>45615</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5"/>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3" t="s">
        <v>802</v>
      </c>
      <c r="B4" s="135"/>
      <c r="C4" s="136"/>
      <c r="D4" s="1047"/>
      <c r="E4" s="1048" t="s">
        <v>803</v>
      </c>
      <c r="F4" s="136"/>
      <c r="G4" s="136"/>
      <c r="H4" s="136"/>
      <c r="I4" s="136"/>
      <c r="J4" s="137"/>
      <c r="K4" s="1049"/>
      <c r="L4" s="1050"/>
      <c r="M4" s="136"/>
      <c r="N4" s="1048" t="s">
        <v>804</v>
      </c>
      <c r="O4" s="136"/>
      <c r="P4" s="136"/>
      <c r="Q4" s="136"/>
      <c r="R4" s="136"/>
      <c r="S4" s="137"/>
      <c r="T4" s="890"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40.5">
      <c r="A5" s="1890"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7" t="s">
        <v>3242</v>
      </c>
      <c r="O5" s="146" t="s">
        <v>212</v>
      </c>
      <c r="P5" s="148" t="s">
        <v>213</v>
      </c>
      <c r="Q5" s="149" t="s">
        <v>214</v>
      </c>
      <c r="R5" s="150" t="s">
        <v>215</v>
      </c>
      <c r="S5" s="2074" t="s">
        <v>1855</v>
      </c>
      <c r="T5" s="151" t="s">
        <v>216</v>
      </c>
      <c r="U5" s="152" t="s">
        <v>217</v>
      </c>
      <c r="V5" s="142" t="s">
        <v>218</v>
      </c>
      <c r="W5" s="142" t="s">
        <v>219</v>
      </c>
      <c r="X5" s="1509"/>
      <c r="Y5" s="153" t="s">
        <v>220</v>
      </c>
      <c r="Z5" s="154" t="s">
        <v>221</v>
      </c>
      <c r="AA5" s="142" t="s">
        <v>218</v>
      </c>
      <c r="AB5" s="142" t="s">
        <v>219</v>
      </c>
      <c r="AC5" s="1510"/>
      <c r="AD5" s="155" t="s">
        <v>220</v>
      </c>
      <c r="AE5" s="1" t="s">
        <v>808</v>
      </c>
      <c r="AF5" s="142" t="s">
        <v>222</v>
      </c>
      <c r="AG5" s="153" t="s">
        <v>223</v>
      </c>
      <c r="AH5" s="1510" t="s">
        <v>1680</v>
      </c>
      <c r="AI5" s="154" t="s">
        <v>1649</v>
      </c>
      <c r="AJ5" s="154" t="s">
        <v>224</v>
      </c>
      <c r="AK5" s="142" t="s">
        <v>225</v>
      </c>
      <c r="AL5" s="142" t="s">
        <v>226</v>
      </c>
      <c r="AM5" s="155" t="s">
        <v>227</v>
      </c>
      <c r="AN5" s="1949" t="s">
        <v>1727</v>
      </c>
      <c r="AO5" s="2627"/>
      <c r="AP5" s="2614" t="s">
        <v>2262</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住宅-洋房</v>
      </c>
      <c r="B6" s="1923" t="str">
        <f>IF(A6=0,"","经营性")</f>
        <v>经营性</v>
      </c>
      <c r="C6" s="156" t="s">
        <v>851</v>
      </c>
      <c r="D6" s="1894">
        <f>SUMIF(项目基本情况!C$15:I$15,C6,项目基本情况!C$18:I$18)</f>
        <v>70</v>
      </c>
      <c r="E6" s="1895">
        <f>IF(B6="","",SUMIF(项目基本情况!C$15:I$15,C6,项目基本情况!C$17:I$17))</f>
        <v>71153</v>
      </c>
      <c r="F6" s="157">
        <f>SUMIF(项目基本情况!C$15:I$15,C6,项目基本情况!C$19:I$19)</f>
        <v>69.959999999999994</v>
      </c>
      <c r="G6" s="158">
        <f t="shared" ref="G6:G13" si="0">IF(ISERROR(ROUND(POWER(1+H6,D6-F6)*(POWER(1+H6,F6)-1)/(POWER(1+H6,D6)-1),3)),0,ROUND(POWER(1+H6,D6-F6)*(POWER(1+H6,F6)-1)/(POWER(1+H6,D6)-1),3))</f>
        <v>1</v>
      </c>
      <c r="H6" s="2310">
        <v>4.4999999999999998E-2</v>
      </c>
      <c r="I6" s="2310">
        <v>0.05</v>
      </c>
      <c r="J6" s="159">
        <v>7.0000000000000007E-2</v>
      </c>
      <c r="K6" s="162">
        <f>SUMIF('数据-汇总表'!C$19:C$33,'数据-取费表'!A6,'数据-汇总表'!E$19:E$33)</f>
        <v>20493.689999999999</v>
      </c>
      <c r="L6" s="2311">
        <v>6000</v>
      </c>
      <c r="M6" s="160">
        <f t="shared" ref="M6:M14" si="1">ROUND(K6*L6/10000,0)</f>
        <v>12296</v>
      </c>
      <c r="N6" s="2312">
        <v>0</v>
      </c>
      <c r="O6" s="160">
        <f>IF($N$5="成新度","——",ROUND(M6*N6,0))</f>
        <v>0</v>
      </c>
      <c r="P6" s="161">
        <f>IF($N$5="成新度","——",M6-O6)</f>
        <v>12296</v>
      </c>
      <c r="Q6" s="2313">
        <v>0.2</v>
      </c>
      <c r="R6" s="162">
        <f>SUMIF('数据-汇总表'!C$19:C$33,A6,'数据-汇总表'!R$19:R$33)</f>
        <v>10453.050000000001</v>
      </c>
      <c r="S6" s="121">
        <f>IF('数据-汇总表'!$I$17="按面积比例",SUMIF('数据-汇总表'!C$19:C$33,A6,'数据-汇总表'!K$19:K$33),SUMIF('数据-汇总表'!C$19:C$33,A6,'数据-汇总表'!N$19:N$33))</f>
        <v>1761.24</v>
      </c>
      <c r="T6" s="1826">
        <f>IF($T$4="按面积比例",IF(ISERROR(ROUND($M$14*S6/S$16,0)),"0",ROUND($M$14*S6/S$16,0)),"需自行计算录入")</f>
        <v>793</v>
      </c>
      <c r="U6" s="163"/>
      <c r="V6" s="164"/>
      <c r="W6" s="164"/>
      <c r="X6" s="1907"/>
      <c r="Y6" s="165"/>
      <c r="Z6" s="166"/>
      <c r="AA6" s="159"/>
      <c r="AB6" s="159"/>
      <c r="AC6" s="1910"/>
      <c r="AD6" s="167"/>
      <c r="AE6" s="885">
        <f ca="1">IF(AN6="",0,SUMIF(INDIRECT("'"&amp;AN6&amp;"'"&amp;"!E:E"),$AE$5,INDIRECT("'"&amp;AN6&amp;"'"&amp;"!F:F")))</f>
        <v>0</v>
      </c>
      <c r="AF6" s="126"/>
      <c r="AG6" s="1052">
        <f>IF(AF6="",0,AE6-AF6)</f>
        <v>0</v>
      </c>
      <c r="AH6" s="126"/>
      <c r="AI6" s="170"/>
      <c r="AJ6" s="126"/>
      <c r="AK6" s="171"/>
      <c r="AL6" s="172"/>
      <c r="AM6" s="2321"/>
      <c r="AN6" s="1123"/>
      <c r="AO6" s="2609"/>
      <c r="AP6" s="95">
        <f>ROUND(1-1/(1+H6)^F6,3)</f>
        <v>0.95399999999999996</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t="str">
        <f>'数据-汇总表'!C20</f>
        <v>地下车库-平面车库</v>
      </c>
      <c r="B7" s="1923" t="str">
        <f t="shared" ref="B7:B13" si="2">IF(A7=0,"","经营性")</f>
        <v>经营性</v>
      </c>
      <c r="C7" s="156" t="s">
        <v>2739</v>
      </c>
      <c r="D7" s="1894">
        <f>SUMIF(项目基本情况!C$15:I$15,C7,项目基本情况!C$18:I$18)</f>
        <v>50</v>
      </c>
      <c r="E7" s="1895">
        <f>IF(B7="","",SUMIF(项目基本情况!C$15:I$15,C7,项目基本情况!C$17:I$17))</f>
        <v>63848</v>
      </c>
      <c r="F7" s="157">
        <f>SUMIF(项目基本情况!C$15:I$15,C7,项目基本情况!C$19:I$19)</f>
        <v>49.95</v>
      </c>
      <c r="G7" s="158">
        <f t="shared" si="0"/>
        <v>1</v>
      </c>
      <c r="H7" s="2310">
        <f>H6</f>
        <v>4.4999999999999998E-2</v>
      </c>
      <c r="I7" s="2310">
        <f t="shared" ref="I7:J7" si="3">I6</f>
        <v>0.05</v>
      </c>
      <c r="J7" s="2310">
        <f t="shared" si="3"/>
        <v>7.0000000000000007E-2</v>
      </c>
      <c r="K7" s="162">
        <f>SUMIF('数据-汇总表'!C$19:C$33,'数据-取费表'!A7,'数据-汇总表'!E$19:E$33)</f>
        <v>2768.65</v>
      </c>
      <c r="L7" s="2311">
        <v>4500</v>
      </c>
      <c r="M7" s="160">
        <f t="shared" si="1"/>
        <v>1246</v>
      </c>
      <c r="N7" s="2312">
        <v>0</v>
      </c>
      <c r="O7" s="160">
        <f t="shared" ref="O7:O14" si="4">IF($N$5="成新度","——",ROUND(M7*N7,0))</f>
        <v>0</v>
      </c>
      <c r="P7" s="161">
        <f t="shared" ref="P7:P14" si="5">IF($N$5="成新度","——",M7-O7)</f>
        <v>1246</v>
      </c>
      <c r="Q7" s="2313">
        <v>0.05</v>
      </c>
      <c r="R7" s="162">
        <f>SUMIF('数据-汇总表'!C$19:C$33,A7,'数据-汇总表'!R$19:R$33)</f>
        <v>1361.66</v>
      </c>
      <c r="S7" s="121">
        <f>IF('数据-汇总表'!$I$17="按面积比例",SUMIF('数据-汇总表'!C$19:C$33,A7,'数据-汇总表'!K$19:K$33),SUMIF('数据-汇总表'!C$19:C$33,A7,'数据-汇总表'!N$19:N$33))</f>
        <v>237.94</v>
      </c>
      <c r="T7" s="1826">
        <f t="shared" ref="T7:T13" si="6">IF($T$4="按面积比例",IF(ISERROR(ROUND($M$14*S7/S$16,0)),"0",ROUND($M$14*S7/S$16,0)),"需自行计算录入")</f>
        <v>107</v>
      </c>
      <c r="U7" s="163"/>
      <c r="V7" s="164"/>
      <c r="W7" s="164"/>
      <c r="X7" s="1907"/>
      <c r="Y7" s="165"/>
      <c r="Z7" s="166"/>
      <c r="AA7" s="159"/>
      <c r="AB7" s="159"/>
      <c r="AC7" s="1910"/>
      <c r="AD7" s="167"/>
      <c r="AE7" s="885">
        <f t="shared" ref="AE7:AE13" ca="1" si="7">IF(AN7="",0,SUMIF(INDIRECT("'"&amp;AN7&amp;"'"&amp;"!E:E"),$AE$5,INDIRECT("'"&amp;AN7&amp;"'"&amp;"!F:F")))</f>
        <v>0</v>
      </c>
      <c r="AF7" s="126"/>
      <c r="AG7" s="1052">
        <f t="shared" ref="AG7:AG13" si="8">IF(AF7="",0,AE7-AF7)</f>
        <v>0</v>
      </c>
      <c r="AH7" s="3467">
        <f>工规面积指标!J34</f>
        <v>84</v>
      </c>
      <c r="AI7" s="170"/>
      <c r="AJ7" s="126"/>
      <c r="AK7" s="171"/>
      <c r="AL7" s="172"/>
      <c r="AM7" s="2321"/>
      <c r="AN7" s="1123"/>
      <c r="AO7" s="2609"/>
      <c r="AP7" s="95">
        <f t="shared" ref="AP7:AP13" si="9">ROUND(1-1/(1+H7)^F7,3)</f>
        <v>0.88900000000000001</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t="str">
        <f>'数据-汇总表'!C21</f>
        <v>地下车库-机械车库</v>
      </c>
      <c r="B8" s="1923" t="str">
        <f t="shared" si="2"/>
        <v>经营性</v>
      </c>
      <c r="C8" s="156" t="s">
        <v>2739</v>
      </c>
      <c r="D8" s="1894">
        <f>SUMIF(项目基本情况!C$15:I$15,C8,项目基本情况!C$18:I$18)</f>
        <v>50</v>
      </c>
      <c r="E8" s="1895">
        <f>IF(B8="","",SUMIF(项目基本情况!C$15:I$15,C8,项目基本情况!C$17:I$17))</f>
        <v>63848</v>
      </c>
      <c r="F8" s="157">
        <f>SUMIF(项目基本情况!C$15:I$15,C8,项目基本情况!C$19:I$19)</f>
        <v>49.95</v>
      </c>
      <c r="G8" s="158">
        <f t="shared" si="0"/>
        <v>1</v>
      </c>
      <c r="H8" s="2310">
        <f>H6</f>
        <v>4.4999999999999998E-2</v>
      </c>
      <c r="I8" s="2310">
        <f t="shared" ref="I8:J8" si="10">I6</f>
        <v>0.05</v>
      </c>
      <c r="J8" s="2310">
        <f t="shared" si="10"/>
        <v>7.0000000000000007E-2</v>
      </c>
      <c r="K8" s="162">
        <f>SUMIF('数据-汇总表'!C$19:C$33,'数据-取费表'!A8,'数据-汇总表'!E$19:E$33)</f>
        <v>2307.2000000000003</v>
      </c>
      <c r="L8" s="2311">
        <v>4500</v>
      </c>
      <c r="M8" s="160">
        <f>ROUND(K8*L8/10000,0)</f>
        <v>1038</v>
      </c>
      <c r="N8" s="2312">
        <v>0</v>
      </c>
      <c r="O8" s="160">
        <f t="shared" si="4"/>
        <v>0</v>
      </c>
      <c r="P8" s="161">
        <f t="shared" si="5"/>
        <v>1038</v>
      </c>
      <c r="Q8" s="2313">
        <v>0.05</v>
      </c>
      <c r="R8" s="162">
        <f>SUMIF('数据-汇总表'!C$19:C$33,A8,'数据-汇总表'!R$19:R$33)</f>
        <v>1134.71</v>
      </c>
      <c r="S8" s="121">
        <f>IF('数据-汇总表'!$I$17="按面积比例",SUMIF('数据-汇总表'!C$19:C$33,A8,'数据-汇总表'!K$19:K$33),SUMIF('数据-汇总表'!C$19:C$33,A8,'数据-汇总表'!N$19:N$33))</f>
        <v>198.28</v>
      </c>
      <c r="T8" s="1826">
        <f t="shared" si="6"/>
        <v>89</v>
      </c>
      <c r="U8" s="163">
        <v>400</v>
      </c>
      <c r="V8" s="164">
        <v>1.4999999999999999E-2</v>
      </c>
      <c r="W8" s="164">
        <v>0.1</v>
      </c>
      <c r="X8" s="1907"/>
      <c r="Y8" s="165">
        <v>1</v>
      </c>
      <c r="Z8" s="166"/>
      <c r="AA8" s="159"/>
      <c r="AB8" s="159"/>
      <c r="AC8" s="1910"/>
      <c r="AD8" s="167"/>
      <c r="AE8" s="885">
        <f t="shared" ca="1" si="7"/>
        <v>47.45</v>
      </c>
      <c r="AF8" s="126"/>
      <c r="AG8" s="1052">
        <f t="shared" si="8"/>
        <v>0</v>
      </c>
      <c r="AH8" s="3467">
        <v>70</v>
      </c>
      <c r="AI8" s="170">
        <v>12</v>
      </c>
      <c r="AJ8" s="126"/>
      <c r="AK8" s="171">
        <v>2E-3</v>
      </c>
      <c r="AL8" s="172">
        <v>1E-3</v>
      </c>
      <c r="AM8" s="2321">
        <v>0.01</v>
      </c>
      <c r="AN8" s="1123" t="s">
        <v>3739</v>
      </c>
      <c r="AO8" s="2609"/>
      <c r="AP8" s="95">
        <f t="shared" si="9"/>
        <v>0.88900000000000001</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t="str">
        <f>'数据-汇总表'!C22</f>
        <v>地下仓储</v>
      </c>
      <c r="B9" s="1923" t="str">
        <f t="shared" si="2"/>
        <v>经营性</v>
      </c>
      <c r="C9" s="156" t="s">
        <v>2740</v>
      </c>
      <c r="D9" s="1894">
        <f>SUMIF(项目基本情况!C$15:I$15,C9,项目基本情况!C$18:I$18)</f>
        <v>50</v>
      </c>
      <c r="E9" s="1895">
        <f>IF(B9="","",SUMIF(项目基本情况!C$15:I$15,C9,项目基本情况!C$17:I$17))</f>
        <v>63848</v>
      </c>
      <c r="F9" s="157">
        <f>SUMIF(项目基本情况!C$15:I$15,C9,项目基本情况!C$19:I$19)</f>
        <v>49.95</v>
      </c>
      <c r="G9" s="158">
        <f t="shared" si="0"/>
        <v>1</v>
      </c>
      <c r="H9" s="159">
        <f>H6</f>
        <v>4.4999999999999998E-2</v>
      </c>
      <c r="I9" s="159">
        <f t="shared" ref="I9:J9" si="11">I6</f>
        <v>0.05</v>
      </c>
      <c r="J9" s="159">
        <f t="shared" si="11"/>
        <v>7.0000000000000007E-2</v>
      </c>
      <c r="K9" s="162">
        <f>SUMIF('数据-汇总表'!C$19:C$33,'数据-取费表'!A9,'数据-汇总表'!E$19:E$33)</f>
        <v>98.29</v>
      </c>
      <c r="L9" s="2311">
        <v>4500</v>
      </c>
      <c r="M9" s="160">
        <f t="shared" si="1"/>
        <v>44</v>
      </c>
      <c r="N9" s="2312">
        <v>0</v>
      </c>
      <c r="O9" s="160">
        <f t="shared" si="4"/>
        <v>0</v>
      </c>
      <c r="P9" s="161">
        <f t="shared" si="5"/>
        <v>44</v>
      </c>
      <c r="Q9" s="174">
        <v>0.05</v>
      </c>
      <c r="R9" s="162">
        <f>SUMIF('数据-汇总表'!C$19:C$33,A9,'数据-汇总表'!R$19:R$33)</f>
        <v>48.339999999999996</v>
      </c>
      <c r="S9" s="121">
        <f>IF('数据-汇总表'!$I$17="按面积比例",SUMIF('数据-汇总表'!C$19:C$33,A9,'数据-汇总表'!K$19:K$33),SUMIF('数据-汇总表'!C$19:C$33,A9,'数据-汇总表'!N$19:N$33))</f>
        <v>8.4499999999999993</v>
      </c>
      <c r="T9" s="1826">
        <f t="shared" si="6"/>
        <v>4</v>
      </c>
      <c r="U9" s="163"/>
      <c r="V9" s="164"/>
      <c r="W9" s="164"/>
      <c r="X9" s="1907"/>
      <c r="Y9" s="165"/>
      <c r="Z9" s="166"/>
      <c r="AA9" s="159"/>
      <c r="AB9" s="159"/>
      <c r="AC9" s="1910"/>
      <c r="AD9" s="167"/>
      <c r="AE9" s="885">
        <f t="shared" ca="1" si="7"/>
        <v>0</v>
      </c>
      <c r="AF9" s="126"/>
      <c r="AG9" s="1052">
        <f t="shared" si="8"/>
        <v>0</v>
      </c>
      <c r="AH9" s="126"/>
      <c r="AI9" s="170"/>
      <c r="AJ9" s="126"/>
      <c r="AK9" s="171"/>
      <c r="AL9" s="172"/>
      <c r="AM9" s="2321"/>
      <c r="AN9" s="1123"/>
      <c r="AO9" s="2609"/>
      <c r="AP9" s="95">
        <f t="shared" si="9"/>
        <v>0.88900000000000001</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hidden="1">
      <c r="A10" s="1888">
        <f>'数据-汇总表'!C23</f>
        <v>0</v>
      </c>
      <c r="B10" s="1923" t="str">
        <f t="shared" si="2"/>
        <v/>
      </c>
      <c r="C10" s="156"/>
      <c r="D10" s="1894">
        <f>SUMIF(项目基本情况!C$15:I$15,C10,项目基本情况!C$18:I$18)</f>
        <v>0</v>
      </c>
      <c r="E10" s="1895"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11"/>
      <c r="M10" s="160">
        <f t="shared" si="1"/>
        <v>0</v>
      </c>
      <c r="N10" s="2312"/>
      <c r="O10" s="160">
        <f t="shared" si="4"/>
        <v>0</v>
      </c>
      <c r="P10" s="161">
        <f t="shared" si="5"/>
        <v>0</v>
      </c>
      <c r="Q10" s="174"/>
      <c r="R10" s="162">
        <f>SUMIF('数据-汇总表'!C$19:C$33,A10,'数据-汇总表'!R$19:R$33)</f>
        <v>0</v>
      </c>
      <c r="S10" s="121">
        <f>IF('数据-汇总表'!$I$17="按面积比例",SUMIF('数据-汇总表'!C$19:C$33,A10,'数据-汇总表'!K$19:K$33),SUMIF('数据-汇总表'!C$19:C$33,A10,'数据-汇总表'!N$19:N$33))</f>
        <v>0</v>
      </c>
      <c r="T10" s="1826">
        <f t="shared" si="6"/>
        <v>0</v>
      </c>
      <c r="U10" s="163"/>
      <c r="V10" s="164"/>
      <c r="W10" s="164"/>
      <c r="X10" s="1907"/>
      <c r="Y10" s="165"/>
      <c r="Z10" s="166"/>
      <c r="AA10" s="159"/>
      <c r="AB10" s="159"/>
      <c r="AC10" s="1910"/>
      <c r="AD10" s="167"/>
      <c r="AE10" s="885">
        <f t="shared" ca="1" si="7"/>
        <v>0</v>
      </c>
      <c r="AF10" s="126"/>
      <c r="AG10" s="1052">
        <f t="shared" si="8"/>
        <v>0</v>
      </c>
      <c r="AH10" s="126"/>
      <c r="AI10" s="170"/>
      <c r="AJ10" s="126"/>
      <c r="AK10" s="171"/>
      <c r="AL10" s="172"/>
      <c r="AM10" s="2321"/>
      <c r="AN10" s="1123"/>
      <c r="AO10" s="2609"/>
      <c r="AP10" s="95">
        <f t="shared" si="9"/>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hidden="1">
      <c r="A11" s="1888">
        <f>'数据-汇总表'!C24</f>
        <v>0</v>
      </c>
      <c r="B11" s="1923" t="str">
        <f t="shared" si="2"/>
        <v/>
      </c>
      <c r="C11" s="156"/>
      <c r="D11" s="1894">
        <f>SUMIF(项目基本情况!C$15:I$15,C11,项目基本情况!C$18:I$18)</f>
        <v>0</v>
      </c>
      <c r="E11" s="1895"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11"/>
      <c r="M11" s="160">
        <f t="shared" si="1"/>
        <v>0</v>
      </c>
      <c r="N11" s="2312"/>
      <c r="O11" s="160">
        <f t="shared" si="4"/>
        <v>0</v>
      </c>
      <c r="P11" s="161">
        <f t="shared" si="5"/>
        <v>0</v>
      </c>
      <c r="Q11" s="174"/>
      <c r="R11" s="162">
        <f>SUMIF('数据-汇总表'!C$19:C$33,A11,'数据-汇总表'!R$19:R$33)</f>
        <v>0</v>
      </c>
      <c r="S11" s="121">
        <f>IF('数据-汇总表'!$I$17="按面积比例",SUMIF('数据-汇总表'!C$19:C$33,A11,'数据-汇总表'!K$19:K$33),SUMIF('数据-汇总表'!C$19:C$33,A11,'数据-汇总表'!N$19:N$33))</f>
        <v>0</v>
      </c>
      <c r="T11" s="1826">
        <f t="shared" si="6"/>
        <v>0</v>
      </c>
      <c r="U11" s="168"/>
      <c r="V11" s="164"/>
      <c r="W11" s="159"/>
      <c r="X11" s="1910"/>
      <c r="Y11" s="165"/>
      <c r="Z11" s="177"/>
      <c r="AA11" s="159"/>
      <c r="AB11" s="159"/>
      <c r="AC11" s="1910"/>
      <c r="AD11" s="167"/>
      <c r="AE11" s="885">
        <f t="shared" ca="1" si="7"/>
        <v>0</v>
      </c>
      <c r="AF11" s="126"/>
      <c r="AG11" s="1052">
        <f t="shared" si="8"/>
        <v>0</v>
      </c>
      <c r="AH11" s="126"/>
      <c r="AI11" s="170"/>
      <c r="AJ11" s="126"/>
      <c r="AK11" s="171"/>
      <c r="AL11" s="172"/>
      <c r="AM11" s="2321"/>
      <c r="AN11" s="1123"/>
      <c r="AO11" s="2609"/>
      <c r="AP11" s="95">
        <f t="shared" si="9"/>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hidden="1">
      <c r="A12" s="1888">
        <f>'数据-汇总表'!C25</f>
        <v>0</v>
      </c>
      <c r="B12" s="1923" t="str">
        <f t="shared" si="2"/>
        <v/>
      </c>
      <c r="C12" s="156"/>
      <c r="D12" s="1894">
        <f>SUMIF(项目基本情况!C$15:I$15,C12,项目基本情况!C$18:I$18)</f>
        <v>0</v>
      </c>
      <c r="E12" s="1895"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11"/>
      <c r="M12" s="160">
        <f>ROUND(K12*L12/10000,0)</f>
        <v>0</v>
      </c>
      <c r="N12" s="2312"/>
      <c r="O12" s="160">
        <f t="shared" si="4"/>
        <v>0</v>
      </c>
      <c r="P12" s="161">
        <f t="shared" si="5"/>
        <v>0</v>
      </c>
      <c r="Q12" s="174"/>
      <c r="R12" s="162">
        <f>SUMIF('数据-汇总表'!C$19:C$33,A12,'数据-汇总表'!R$19:R$33)</f>
        <v>0</v>
      </c>
      <c r="S12" s="121">
        <f>IF('数据-汇总表'!$I$17="按面积比例",SUMIF('数据-汇总表'!C$19:C$33,A12,'数据-汇总表'!K$19:K$33),SUMIF('数据-汇总表'!C$19:C$33,A12,'数据-汇总表'!N$19:N$33))</f>
        <v>0</v>
      </c>
      <c r="T12" s="1826">
        <f t="shared" si="6"/>
        <v>0</v>
      </c>
      <c r="U12" s="168"/>
      <c r="V12" s="164"/>
      <c r="W12" s="159"/>
      <c r="X12" s="1910"/>
      <c r="Y12" s="165"/>
      <c r="Z12" s="177"/>
      <c r="AA12" s="159"/>
      <c r="AB12" s="159"/>
      <c r="AC12" s="1910"/>
      <c r="AD12" s="167"/>
      <c r="AE12" s="885">
        <f t="shared" ca="1" si="7"/>
        <v>0</v>
      </c>
      <c r="AF12" s="126"/>
      <c r="AG12" s="1052">
        <f t="shared" si="8"/>
        <v>0</v>
      </c>
      <c r="AH12" s="126"/>
      <c r="AI12" s="170"/>
      <c r="AJ12" s="126"/>
      <c r="AK12" s="171"/>
      <c r="AL12" s="172"/>
      <c r="AM12" s="2321"/>
      <c r="AN12" s="1123"/>
      <c r="AO12" s="2609"/>
      <c r="AP12" s="95">
        <f t="shared" si="9"/>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hidden="1">
      <c r="A13" s="1888">
        <f>'数据-汇总表'!C26</f>
        <v>0</v>
      </c>
      <c r="B13" s="1923" t="str">
        <f t="shared" si="2"/>
        <v/>
      </c>
      <c r="C13" s="156"/>
      <c r="D13" s="1894">
        <f>SUMIF(项目基本情况!C$15:I$15,C13,项目基本情况!C$18:I$18)</f>
        <v>0</v>
      </c>
      <c r="E13" s="1895"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4"/>
        <v>0</v>
      </c>
      <c r="P13" s="161">
        <f t="shared" si="5"/>
        <v>0</v>
      </c>
      <c r="Q13" s="174"/>
      <c r="R13" s="162">
        <f>SUMIF('数据-汇总表'!C$19:C$33,A13,'数据-汇总表'!R$19:R$33)</f>
        <v>0</v>
      </c>
      <c r="S13" s="121">
        <f>IF('数据-汇总表'!$I$17="按面积比例",SUMIF('数据-汇总表'!C$19:C$33,A13,'数据-汇总表'!K$19:K$33),SUMIF('数据-汇总表'!C$19:C$33,A13,'数据-汇总表'!N$19:N$33))</f>
        <v>0</v>
      </c>
      <c r="T13" s="1826">
        <f t="shared" si="6"/>
        <v>0</v>
      </c>
      <c r="U13" s="163"/>
      <c r="V13" s="164"/>
      <c r="W13" s="164"/>
      <c r="X13" s="1907"/>
      <c r="Y13" s="165"/>
      <c r="Z13" s="166"/>
      <c r="AA13" s="159"/>
      <c r="AB13" s="159"/>
      <c r="AC13" s="1910"/>
      <c r="AD13" s="167"/>
      <c r="AE13" s="885">
        <f t="shared" ca="1" si="7"/>
        <v>0</v>
      </c>
      <c r="AF13" s="126"/>
      <c r="AG13" s="1052">
        <f t="shared" si="8"/>
        <v>0</v>
      </c>
      <c r="AH13" s="126"/>
      <c r="AI13" s="170"/>
      <c r="AJ13" s="126"/>
      <c r="AK13" s="171"/>
      <c r="AL13" s="172"/>
      <c r="AM13" s="1948"/>
      <c r="AN13" s="1123"/>
      <c r="AO13" s="2609"/>
      <c r="AP13" s="95">
        <f t="shared" si="9"/>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1671</v>
      </c>
      <c r="B14" s="1892" t="s">
        <v>1213</v>
      </c>
      <c r="C14" s="1893" t="s">
        <v>1671</v>
      </c>
      <c r="D14" s="1894"/>
      <c r="E14" s="1895"/>
      <c r="F14" s="157"/>
      <c r="G14" s="158"/>
      <c r="H14" s="1896"/>
      <c r="I14" s="1896"/>
      <c r="J14" s="1896"/>
      <c r="K14" s="162">
        <f>SUMIF('数据-汇总表'!C$19:C$33,'数据-取费表'!A14,'数据-汇总表'!E$19:E$33)</f>
        <v>2205.91</v>
      </c>
      <c r="L14" s="175">
        <v>4500</v>
      </c>
      <c r="M14" s="160">
        <f t="shared" si="1"/>
        <v>993</v>
      </c>
      <c r="N14" s="176">
        <v>0</v>
      </c>
      <c r="O14" s="160">
        <f t="shared" si="4"/>
        <v>0</v>
      </c>
      <c r="P14" s="161">
        <f t="shared" si="5"/>
        <v>993</v>
      </c>
      <c r="Q14" s="1904"/>
      <c r="R14" s="162"/>
      <c r="S14" s="121"/>
      <c r="T14" s="1903"/>
      <c r="U14" s="887"/>
      <c r="V14" s="1906"/>
      <c r="W14" s="1906"/>
      <c r="X14" s="1907"/>
      <c r="Y14" s="1908"/>
      <c r="Z14" s="124"/>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1673</v>
      </c>
      <c r="B15" s="1892" t="s">
        <v>1213</v>
      </c>
      <c r="C15" s="1893" t="s">
        <v>1672</v>
      </c>
      <c r="D15" s="1894"/>
      <c r="E15" s="1895"/>
      <c r="F15" s="157"/>
      <c r="G15" s="158"/>
      <c r="H15" s="1896"/>
      <c r="I15" s="1896"/>
      <c r="J15" s="1896"/>
      <c r="K15" s="162">
        <f>SUMIF('数据-汇总表'!C$19:C$33,'数据-取费表'!A15,'数据-汇总表'!E$19:E$33)</f>
        <v>825.68520000000012</v>
      </c>
      <c r="L15" s="1902"/>
      <c r="M15" s="160"/>
      <c r="N15" s="1905"/>
      <c r="O15" s="160"/>
      <c r="P15" s="161"/>
      <c r="Q15" s="1904"/>
      <c r="R15" s="162"/>
      <c r="S15" s="121"/>
      <c r="T15" s="1903"/>
      <c r="U15" s="887"/>
      <c r="V15" s="1906"/>
      <c r="W15" s="1906"/>
      <c r="X15" s="1907"/>
      <c r="Y15" s="1908"/>
      <c r="Z15" s="124"/>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8" t="s">
        <v>228</v>
      </c>
      <c r="B16" s="179"/>
      <c r="C16" s="180"/>
      <c r="D16" s="181"/>
      <c r="E16" s="179"/>
      <c r="F16" s="179"/>
      <c r="G16" s="182">
        <f>ROUND(SUMPRODUCT(G6:G13,K6:K13)/SUMPRODUCT((G6:G13&gt;0)*(K6:K13)),3)</f>
        <v>1</v>
      </c>
      <c r="H16" s="183">
        <f>ROUND(SUMPRODUCT(H6:H13,K6:K13)/SUMPRODUCT((H6:H13&gt;0)*(K6:K13)),3)</f>
        <v>4.4999999999999998E-2</v>
      </c>
      <c r="I16" s="184"/>
      <c r="J16" s="184"/>
      <c r="K16" s="185">
        <f>SUM(K6:K15)</f>
        <v>28699.425200000001</v>
      </c>
      <c r="L16" s="186">
        <f>ROUND(M16*10000/SUM(K6:K14),0)</f>
        <v>5603</v>
      </c>
      <c r="M16" s="186">
        <f>SUM(M6:M14)</f>
        <v>15617</v>
      </c>
      <c r="N16" s="187">
        <f>ROUND(SUMPRODUCT(M6:M14,N6:N14)/M16,3)</f>
        <v>0</v>
      </c>
      <c r="O16" s="186">
        <f>SUM(O6:O14)</f>
        <v>0</v>
      </c>
      <c r="P16" s="186">
        <f>SUM(P6:P14)</f>
        <v>15617</v>
      </c>
      <c r="Q16" s="188">
        <f>ROUND(SUMPRODUCT(Q6:Q13,K6:K13)/SUMPRODUCT((Q6:Q13&gt;0)*(K6:K13)),2)</f>
        <v>0.17</v>
      </c>
      <c r="R16" s="1897">
        <f>SUM(R6:R13)</f>
        <v>12997.760000000002</v>
      </c>
      <c r="S16" s="189">
        <f>SUM(S6:S13)</f>
        <v>2205.91</v>
      </c>
      <c r="T16" s="190">
        <f>IF(SUMIF(T6:T13,"&lt;9E307")=M14,SUMIF(T6:T13,"&lt;9E307"),"有误，请检查")</f>
        <v>993</v>
      </c>
      <c r="U16" s="191"/>
      <c r="V16" s="192"/>
      <c r="W16" s="192"/>
      <c r="X16" s="195"/>
      <c r="Y16" s="193"/>
      <c r="Z16" s="194"/>
      <c r="AA16" s="192"/>
      <c r="AB16" s="192"/>
      <c r="AC16" s="195"/>
      <c r="AD16" s="195"/>
      <c r="AE16" s="191"/>
      <c r="AF16" s="192"/>
      <c r="AG16" s="193"/>
      <c r="AH16" s="192"/>
      <c r="AI16" s="194"/>
      <c r="AJ16" s="194"/>
      <c r="AK16" s="192"/>
      <c r="AL16" s="192"/>
      <c r="AM16" s="193"/>
      <c r="AN16" s="2609"/>
      <c r="AO16" s="2609"/>
      <c r="AP16" s="95">
        <f>ROUND(SUMPRODUCT(AP6:AP13,K6:K13)/SUMPRODUCT((AP6:AP13&gt;0)*(K6:K13)),3)</f>
        <v>0.94099999999999995</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f>Q16/B20</f>
        <v>6.8000000000000005E-2</v>
      </c>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3"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7" t="s">
        <v>230</v>
      </c>
      <c r="B19" s="198">
        <v>0</v>
      </c>
      <c r="C19" s="2628" t="s">
        <v>2272</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199" t="s">
        <v>231</v>
      </c>
      <c r="B20" s="200">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1" t="s">
        <v>232</v>
      </c>
      <c r="B21" s="200">
        <v>0</v>
      </c>
      <c r="C21" s="2609"/>
      <c r="D21" s="2618"/>
      <c r="E21" s="2609"/>
      <c r="F21" s="2609"/>
      <c r="G21" s="2609"/>
      <c r="H21" s="2609"/>
      <c r="I21" s="2609"/>
      <c r="J21" s="3407"/>
      <c r="K21" s="3407"/>
      <c r="L21" s="3407" t="s">
        <v>3340</v>
      </c>
      <c r="M21" s="2617"/>
      <c r="N21" s="2617"/>
      <c r="O21" s="2617"/>
      <c r="P21" s="2617"/>
      <c r="Q21" s="2617"/>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199" t="s">
        <v>233</v>
      </c>
      <c r="B22" s="202">
        <f>B19+B20</f>
        <v>2.5</v>
      </c>
      <c r="C22" s="2609"/>
      <c r="D22" s="2618"/>
      <c r="E22" s="2609"/>
      <c r="F22" s="2609"/>
      <c r="G22" s="2609"/>
      <c r="H22" s="2609"/>
      <c r="I22" s="2609"/>
      <c r="J22" s="3407"/>
      <c r="K22" s="3408"/>
      <c r="L22" s="2617"/>
      <c r="M22" s="3407" t="s">
        <v>3341</v>
      </c>
      <c r="N22" s="3407" t="s">
        <v>3342</v>
      </c>
      <c r="O22" s="3407" t="s">
        <v>3343</v>
      </c>
      <c r="P22" s="2617"/>
      <c r="Q22" s="3407"/>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1" t="s">
        <v>234</v>
      </c>
      <c r="B23" s="202">
        <f>B19+B21</f>
        <v>0</v>
      </c>
      <c r="C23" s="2609"/>
      <c r="D23" s="2618"/>
      <c r="E23" s="2609"/>
      <c r="F23" s="2609"/>
      <c r="G23" s="2609"/>
      <c r="H23" s="2609"/>
      <c r="I23" s="2609"/>
      <c r="J23" s="3407"/>
      <c r="K23" s="3408"/>
      <c r="L23" s="3414" t="s">
        <v>3344</v>
      </c>
      <c r="M23" s="3415"/>
      <c r="N23" s="3416">
        <f>N24+N27+N28+N29</f>
        <v>5056.3238472251496</v>
      </c>
      <c r="O23" s="3415"/>
      <c r="P23" s="2617"/>
      <c r="Q23" s="2617"/>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3" t="s">
        <v>235</v>
      </c>
      <c r="B24" s="204">
        <f>B20-B21</f>
        <v>2.5</v>
      </c>
      <c r="C24" s="2609"/>
      <c r="D24" s="2618"/>
      <c r="E24" s="2609"/>
      <c r="F24" s="2609"/>
      <c r="G24" s="2609"/>
      <c r="H24" s="2609"/>
      <c r="I24" s="2609"/>
      <c r="J24" s="3407"/>
      <c r="K24" s="3408"/>
      <c r="L24" s="3410" t="s">
        <v>3345</v>
      </c>
      <c r="M24" s="3411">
        <f>M25+M26</f>
        <v>30746.715199999999</v>
      </c>
      <c r="N24" s="3417">
        <f>O24/M24</f>
        <v>2809.0522788593689</v>
      </c>
      <c r="O24" s="3412">
        <f>O25+O26</f>
        <v>86369130.399999991</v>
      </c>
      <c r="P24" s="2617"/>
      <c r="Q24" s="3407"/>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5"/>
      <c r="C25" s="2609"/>
      <c r="D25" s="2618"/>
      <c r="E25" s="2609"/>
      <c r="F25" s="2609"/>
      <c r="G25" s="2609"/>
      <c r="H25" s="2609"/>
      <c r="I25" s="2609"/>
      <c r="J25" s="3407"/>
      <c r="K25" s="3408"/>
      <c r="L25" s="3410" t="s">
        <v>3346</v>
      </c>
      <c r="M25" s="3411">
        <f>工规面积指标!D22</f>
        <v>20796.435199999996</v>
      </c>
      <c r="N25" s="3412">
        <v>2000</v>
      </c>
      <c r="O25" s="3412">
        <f>N25*M25</f>
        <v>41592870.399999991</v>
      </c>
      <c r="P25" s="2617" t="s">
        <v>3361</v>
      </c>
      <c r="Q25" s="3407"/>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2" t="s">
        <v>236</v>
      </c>
      <c r="B26" s="205" t="s">
        <v>237</v>
      </c>
      <c r="C26" s="2619" t="s">
        <v>238</v>
      </c>
      <c r="D26" s="2618"/>
      <c r="E26" s="2609"/>
      <c r="F26" s="2609"/>
      <c r="G26" s="2609"/>
      <c r="H26" s="2609"/>
      <c r="I26" s="2609"/>
      <c r="J26" s="3409"/>
      <c r="K26" s="2617"/>
      <c r="L26" s="3410" t="s">
        <v>3347</v>
      </c>
      <c r="M26" s="3413">
        <f>工规面积指标!K22</f>
        <v>9950.2800000000007</v>
      </c>
      <c r="N26" s="3412">
        <v>4500</v>
      </c>
      <c r="O26" s="3412">
        <f t="shared" ref="O26:O28" si="12">N26*M26</f>
        <v>44776260</v>
      </c>
      <c r="P26" s="2617" t="s">
        <v>3362</v>
      </c>
      <c r="Q26" s="3407"/>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6" t="s">
        <v>1694</v>
      </c>
      <c r="B27" s="207">
        <v>100</v>
      </c>
      <c r="C27" s="2629" t="s">
        <v>2273</v>
      </c>
      <c r="D27" s="2621"/>
      <c r="E27" s="2622"/>
      <c r="F27" s="2622"/>
      <c r="G27" s="2609"/>
      <c r="H27" s="2609"/>
      <c r="I27" s="2609"/>
      <c r="J27" s="3409"/>
      <c r="K27" s="2617"/>
      <c r="L27" s="3410" t="s">
        <v>3348</v>
      </c>
      <c r="M27" s="3411">
        <f>M24</f>
        <v>30746.715199999999</v>
      </c>
      <c r="N27" s="3412">
        <v>1000</v>
      </c>
      <c r="O27" s="3412">
        <f t="shared" si="12"/>
        <v>30746715.199999999</v>
      </c>
      <c r="P27" s="2617"/>
      <c r="Q27" s="2617"/>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8" t="s">
        <v>1695</v>
      </c>
      <c r="B28" s="209">
        <v>150</v>
      </c>
      <c r="C28" s="2623"/>
      <c r="D28" s="2621"/>
      <c r="E28" s="2622"/>
      <c r="F28" s="2622"/>
      <c r="G28" s="2609"/>
      <c r="H28" s="2609"/>
      <c r="I28" s="2609"/>
      <c r="J28" s="3405"/>
      <c r="K28" s="2617"/>
      <c r="L28" s="3410" t="s">
        <v>3349</v>
      </c>
      <c r="M28" s="3411">
        <f>M24</f>
        <v>30746.715199999999</v>
      </c>
      <c r="N28" s="3412">
        <v>1100</v>
      </c>
      <c r="O28" s="3412">
        <f t="shared" si="12"/>
        <v>33821386.719999999</v>
      </c>
      <c r="P28" s="2617"/>
      <c r="Q28" s="2617"/>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1" t="s">
        <v>1693</v>
      </c>
      <c r="B29" s="212"/>
      <c r="C29" s="2630" t="s">
        <v>1696</v>
      </c>
      <c r="D29" s="2621"/>
      <c r="E29" s="2622"/>
      <c r="F29" s="2622"/>
      <c r="G29" s="2609"/>
      <c r="H29" s="2609"/>
      <c r="I29" s="2609"/>
      <c r="J29" s="2609"/>
      <c r="K29" s="2617"/>
      <c r="L29" s="3414" t="s">
        <v>3357</v>
      </c>
      <c r="M29" s="3418">
        <v>0.03</v>
      </c>
      <c r="N29" s="3417">
        <f>O29/M24</f>
        <v>147.27156836578106</v>
      </c>
      <c r="O29" s="3417">
        <f>(O24+O27+O28)*M29</f>
        <v>4528116.9695999995</v>
      </c>
      <c r="P29" s="2617"/>
      <c r="Q29" s="2617"/>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5" t="s">
        <v>239</v>
      </c>
      <c r="B30" s="891">
        <v>200</v>
      </c>
      <c r="C30" s="2623"/>
      <c r="D30" s="2621"/>
      <c r="E30" s="2622"/>
      <c r="F30" s="2622"/>
      <c r="G30" s="2609"/>
      <c r="H30" s="2609"/>
      <c r="I30" s="2609"/>
      <c r="J30" s="2609"/>
      <c r="K30" s="2617"/>
      <c r="L30" s="3414" t="s">
        <v>3350</v>
      </c>
      <c r="M30" s="3419">
        <f>M24</f>
        <v>30746.715199999999</v>
      </c>
      <c r="N30" s="3416">
        <f>O30/M30</f>
        <v>5056.3238472251496</v>
      </c>
      <c r="O30" s="3416">
        <f>O24+O27+O28+O29</f>
        <v>155465349.28959998</v>
      </c>
      <c r="P30" s="2617"/>
      <c r="Q30" s="2617"/>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8" t="s">
        <v>240</v>
      </c>
      <c r="B31" s="210">
        <f>B30-B32</f>
        <v>150</v>
      </c>
      <c r="C31" s="2620"/>
      <c r="D31" s="2621"/>
      <c r="E31" s="2622"/>
      <c r="F31" s="2622"/>
      <c r="G31" s="2609"/>
      <c r="H31" s="2609"/>
      <c r="I31" s="2609"/>
      <c r="J31" s="2609"/>
      <c r="K31" s="2617"/>
      <c r="L31" s="2617"/>
      <c r="M31" s="2617"/>
      <c r="N31" s="2617"/>
      <c r="O31" s="2617"/>
      <c r="P31" s="2617"/>
      <c r="Q31" s="2617"/>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7" t="s">
        <v>241</v>
      </c>
      <c r="B32" s="1167">
        <v>50</v>
      </c>
      <c r="C32" s="2623"/>
      <c r="D32" s="2618"/>
      <c r="E32" s="2609"/>
      <c r="F32" s="2609"/>
      <c r="G32" s="2609"/>
      <c r="H32" s="2609"/>
      <c r="I32" s="2609"/>
      <c r="J32" s="2609"/>
      <c r="K32" s="2617"/>
      <c r="L32" s="3407" t="s">
        <v>3351</v>
      </c>
      <c r="M32" s="2617"/>
      <c r="N32" s="2617"/>
      <c r="O32" s="2617"/>
      <c r="P32" s="2617"/>
      <c r="Q32" s="2617"/>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6" t="s">
        <v>244</v>
      </c>
      <c r="B33" s="1168">
        <v>0.05</v>
      </c>
      <c r="C33" s="2631" t="s">
        <v>3261</v>
      </c>
      <c r="D33" s="2621"/>
      <c r="E33" s="2622"/>
      <c r="F33" s="2622"/>
      <c r="G33" s="2609"/>
      <c r="H33" s="2609"/>
      <c r="I33" s="2609"/>
      <c r="J33" s="2609"/>
      <c r="K33" s="2617"/>
      <c r="L33" s="3407" t="s">
        <v>3352</v>
      </c>
      <c r="M33" s="3407" t="s">
        <v>3353</v>
      </c>
      <c r="N33" s="3407" t="s">
        <v>3354</v>
      </c>
      <c r="O33" s="3407" t="s">
        <v>3355</v>
      </c>
      <c r="P33" s="2617"/>
      <c r="Q33" s="2617"/>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8" t="s">
        <v>245</v>
      </c>
      <c r="B34" s="213">
        <v>0.08</v>
      </c>
      <c r="C34" s="2631" t="s">
        <v>2263</v>
      </c>
      <c r="D34" s="2632" t="s">
        <v>2269</v>
      </c>
      <c r="E34" s="2615"/>
      <c r="F34" s="2609"/>
      <c r="G34" s="2609"/>
      <c r="H34" s="2609"/>
      <c r="I34" s="2609"/>
      <c r="J34" s="2609"/>
      <c r="K34" s="2617"/>
      <c r="L34" s="3407" t="s">
        <v>3356</v>
      </c>
      <c r="M34" s="3408">
        <f>K6</f>
        <v>20493.689999999999</v>
      </c>
      <c r="N34" s="2617">
        <v>6000</v>
      </c>
      <c r="O34" s="2617">
        <f>M34*N34</f>
        <v>122962139.99999999</v>
      </c>
      <c r="P34" s="2617"/>
      <c r="Q34" s="3407" t="s">
        <v>3689</v>
      </c>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8" t="s">
        <v>242</v>
      </c>
      <c r="B35" s="209">
        <v>200</v>
      </c>
      <c r="C35" s="2631" t="s">
        <v>2264</v>
      </c>
      <c r="D35" s="2618"/>
      <c r="E35" s="2609"/>
      <c r="F35" s="2609"/>
      <c r="G35" s="2609"/>
      <c r="H35" s="2609"/>
      <c r="I35" s="2609"/>
      <c r="J35" s="2609"/>
      <c r="K35" s="2617"/>
      <c r="L35" s="3407" t="s">
        <v>3358</v>
      </c>
      <c r="M35" s="3408">
        <f>K7+K8</f>
        <v>5075.8500000000004</v>
      </c>
      <c r="N35" s="2617">
        <v>4500</v>
      </c>
      <c r="O35" s="2617">
        <f t="shared" ref="O35:O37" si="13">M35*N35</f>
        <v>22841325</v>
      </c>
      <c r="P35" s="2617"/>
      <c r="Q35" s="2617"/>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1" t="s">
        <v>243</v>
      </c>
      <c r="B36" s="214">
        <v>0.02</v>
      </c>
      <c r="C36" s="2631" t="s">
        <v>3262</v>
      </c>
      <c r="D36" s="2616"/>
      <c r="E36" s="2615"/>
      <c r="F36" s="2609"/>
      <c r="G36" s="2609"/>
      <c r="H36" s="2609"/>
      <c r="I36" s="2609"/>
      <c r="J36" s="2609"/>
      <c r="K36" s="2617"/>
      <c r="L36" s="3407" t="s">
        <v>3359</v>
      </c>
      <c r="M36" s="3408">
        <f>K9</f>
        <v>98.29</v>
      </c>
      <c r="N36" s="2617">
        <f>N35</f>
        <v>4500</v>
      </c>
      <c r="O36" s="2617">
        <f t="shared" si="13"/>
        <v>442305</v>
      </c>
      <c r="P36" s="2617"/>
      <c r="Q36" s="2617"/>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5" t="s">
        <v>246</v>
      </c>
      <c r="B37" s="216">
        <v>0.02</v>
      </c>
      <c r="C37" s="2631" t="s">
        <v>2265</v>
      </c>
      <c r="D37" s="2618"/>
      <c r="E37" s="2609"/>
      <c r="F37" s="2609"/>
      <c r="G37" s="2609"/>
      <c r="H37" s="2609"/>
      <c r="I37" s="2609"/>
      <c r="J37" s="2609"/>
      <c r="K37" s="2617"/>
      <c r="L37" s="3407" t="s">
        <v>3360</v>
      </c>
      <c r="M37" s="3408">
        <f>K14</f>
        <v>2205.91</v>
      </c>
      <c r="N37" s="2617">
        <v>4500</v>
      </c>
      <c r="O37" s="2617">
        <f t="shared" si="13"/>
        <v>9926595</v>
      </c>
      <c r="P37" s="2617"/>
      <c r="Q37" s="2617"/>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8" t="s">
        <v>247</v>
      </c>
      <c r="B38" s="213">
        <v>0.02</v>
      </c>
      <c r="C38" s="2631" t="s">
        <v>2265</v>
      </c>
      <c r="D38" s="2618"/>
      <c r="E38" s="2609"/>
      <c r="F38" s="2609"/>
      <c r="G38" s="2609"/>
      <c r="H38" s="2609"/>
      <c r="I38" s="2609"/>
      <c r="J38" s="2609"/>
      <c r="K38" s="2617"/>
      <c r="L38" s="3407" t="s">
        <v>3339</v>
      </c>
      <c r="M38" s="3408">
        <f>M34+M35+M36+M37</f>
        <v>27873.74</v>
      </c>
      <c r="N38" s="3408">
        <f>O38/M38</f>
        <v>5602.8493126505446</v>
      </c>
      <c r="O38" s="3408">
        <f t="shared" ref="O38" si="14">O34+O35+O36+O37</f>
        <v>156172365</v>
      </c>
      <c r="P38" s="2617"/>
      <c r="Q38" s="2617"/>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1801</v>
      </c>
      <c r="B39" s="734">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2287</v>
      </c>
      <c r="B40" s="1990">
        <f ca="1">IF(A40="利息：取LPR",存贷款利率!E2,存贷款利率!E2+C40)</f>
        <v>3.1E-2</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6" t="s">
        <v>248</v>
      </c>
      <c r="B41" s="218">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0">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1">
        <f>B42*(B44+B45+B46)+B47</f>
        <v>6.000000000000001E-3</v>
      </c>
      <c r="C43" s="2620"/>
      <c r="D43" s="2618"/>
      <c r="E43" s="3405" t="s">
        <v>3337</v>
      </c>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19" t="s">
        <v>251</v>
      </c>
      <c r="B44" s="222">
        <v>7.0000000000000007E-2</v>
      </c>
      <c r="C44" s="2631" t="s">
        <v>2270</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19" t="s">
        <v>252</v>
      </c>
      <c r="B45" s="220">
        <v>0.03</v>
      </c>
      <c r="C45" s="2634" t="s">
        <v>2266</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19" t="s">
        <v>253</v>
      </c>
      <c r="B46" s="220">
        <v>0.02</v>
      </c>
      <c r="C46" s="2634" t="s">
        <v>2267</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3" t="s">
        <v>254</v>
      </c>
      <c r="B47" s="224"/>
      <c r="C47" s="2629" t="s">
        <v>2274</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5" t="s">
        <v>255</v>
      </c>
      <c r="B48" s="226">
        <v>0.03</v>
      </c>
      <c r="C48" s="2634" t="s">
        <v>2266</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7" t="s">
        <v>256</v>
      </c>
      <c r="B49" s="220">
        <v>5.0000000000000001E-4</v>
      </c>
      <c r="C49" s="2634" t="s">
        <v>2268</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7" t="s">
        <v>257</v>
      </c>
      <c r="B50" s="228">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1" t="s">
        <v>258</v>
      </c>
      <c r="B51" s="229">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7" t="s">
        <v>259</v>
      </c>
      <c r="B52" s="230">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8" t="s">
        <v>260</v>
      </c>
      <c r="B53" s="231" t="s">
        <v>1153</v>
      </c>
      <c r="C53" s="2625" t="s">
        <v>2165</v>
      </c>
      <c r="D53" s="2635" t="s">
        <v>2271</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69"/>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69"/>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69"/>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69"/>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69"/>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69">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69"/>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69"/>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69"/>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2"/>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6" customFormat="1">
      <c r="A64" s="233"/>
      <c r="D64" s="1640"/>
      <c r="K64" s="52"/>
      <c r="L64" s="52"/>
    </row>
    <row r="65" spans="1:12" s="236" customFormat="1">
      <c r="A65" s="233"/>
      <c r="D65" s="1640"/>
      <c r="K65" s="52"/>
      <c r="L65" s="52"/>
    </row>
    <row r="66" spans="1:12" s="236" customFormat="1">
      <c r="A66" s="233"/>
      <c r="D66" s="1640"/>
      <c r="K66" s="52"/>
      <c r="L66" s="52"/>
    </row>
    <row r="67" spans="1:12" s="236" customFormat="1">
      <c r="A67" s="233"/>
      <c r="D67" s="1640"/>
      <c r="K67" s="52"/>
      <c r="L67" s="52"/>
    </row>
    <row r="68" spans="1:12" s="236" customFormat="1">
      <c r="A68" s="233"/>
      <c r="D68" s="1640"/>
      <c r="K68" s="52"/>
      <c r="L68" s="52"/>
    </row>
    <row r="69" spans="1:12" s="236" customFormat="1">
      <c r="A69" s="233"/>
      <c r="D69" s="1640"/>
      <c r="K69" s="52"/>
      <c r="L69" s="52"/>
    </row>
    <row r="70" spans="1:12" s="236" customFormat="1">
      <c r="A70" s="233"/>
      <c r="D70" s="1640"/>
      <c r="K70" s="52"/>
      <c r="L70" s="52"/>
    </row>
    <row r="71" spans="1:12" s="236" customFormat="1">
      <c r="A71" s="233"/>
      <c r="D71" s="1640"/>
      <c r="K71" s="52"/>
      <c r="L71" s="52"/>
    </row>
    <row r="72" spans="1:12" s="236" customFormat="1">
      <c r="A72" s="233"/>
      <c r="D72" s="1640"/>
      <c r="K72" s="52"/>
      <c r="L72" s="52"/>
    </row>
    <row r="73" spans="1:12" s="236" customFormat="1">
      <c r="A73" s="233"/>
      <c r="D73" s="1640"/>
      <c r="K73" s="52"/>
      <c r="L73" s="52"/>
    </row>
    <row r="74" spans="1:12" s="236" customFormat="1">
      <c r="A74" s="233"/>
      <c r="D74" s="1640"/>
      <c r="K74" s="52"/>
      <c r="L74" s="52"/>
    </row>
    <row r="75" spans="1:12" s="236" customFormat="1">
      <c r="A75" s="233"/>
      <c r="D75" s="1640"/>
      <c r="K75" s="52"/>
      <c r="L75" s="52"/>
    </row>
    <row r="76" spans="1:12" s="236" customFormat="1">
      <c r="A76" s="233"/>
      <c r="D76" s="1640"/>
      <c r="K76" s="52"/>
      <c r="L76" s="52"/>
    </row>
    <row r="77" spans="1:12" s="236" customFormat="1">
      <c r="A77" s="233"/>
      <c r="D77" s="1640"/>
      <c r="K77" s="52"/>
      <c r="L77" s="52"/>
    </row>
    <row r="78" spans="1:12" s="236" customFormat="1">
      <c r="A78" s="233"/>
      <c r="D78" s="1640"/>
      <c r="K78" s="52"/>
      <c r="L78" s="52"/>
    </row>
    <row r="79" spans="1:12" s="236" customFormat="1">
      <c r="A79" s="233"/>
      <c r="D79" s="1640"/>
      <c r="K79" s="52"/>
      <c r="L79" s="52"/>
    </row>
    <row r="80" spans="1:12" s="236" customFormat="1">
      <c r="A80" s="233"/>
      <c r="D80" s="1640"/>
      <c r="K80" s="52"/>
      <c r="L80" s="52"/>
    </row>
    <row r="81" spans="1:12" s="236" customFormat="1">
      <c r="A81" s="233"/>
      <c r="D81" s="1640"/>
      <c r="K81" s="52"/>
      <c r="L81" s="52"/>
    </row>
    <row r="82" spans="1:12" s="236" customFormat="1">
      <c r="A82" s="233"/>
      <c r="D82" s="1640"/>
      <c r="K82" s="52"/>
      <c r="L82" s="52"/>
    </row>
    <row r="83" spans="1:12" s="236" customFormat="1">
      <c r="A83" s="233"/>
      <c r="D83" s="1640"/>
      <c r="K83" s="52"/>
      <c r="L83" s="52"/>
    </row>
    <row r="84" spans="1:12" s="236" customFormat="1">
      <c r="A84" s="233"/>
      <c r="D84" s="1640"/>
      <c r="K84" s="52"/>
      <c r="L84" s="52"/>
    </row>
    <row r="85" spans="1:12" s="236" customFormat="1">
      <c r="A85" s="233"/>
      <c r="D85" s="1640"/>
      <c r="K85" s="52"/>
      <c r="L85" s="52"/>
    </row>
    <row r="86" spans="1:12" s="236" customFormat="1">
      <c r="A86" s="233"/>
      <c r="D86" s="1640"/>
      <c r="K86" s="52"/>
      <c r="L86" s="52"/>
    </row>
    <row r="87" spans="1:12" s="236" customFormat="1">
      <c r="A87" s="233"/>
      <c r="D87" s="1640"/>
      <c r="K87" s="52"/>
      <c r="L87" s="52"/>
    </row>
    <row r="88" spans="1:12" s="236" customFormat="1">
      <c r="A88" s="233"/>
      <c r="D88" s="1640"/>
      <c r="K88" s="52"/>
      <c r="L88" s="52"/>
    </row>
    <row r="89" spans="1:12" s="236" customFormat="1">
      <c r="A89" s="233"/>
      <c r="D89" s="1640"/>
      <c r="K89" s="52"/>
      <c r="L89" s="52"/>
    </row>
    <row r="90" spans="1:12" s="236" customFormat="1">
      <c r="A90" s="233"/>
      <c r="D90" s="1640"/>
      <c r="K90" s="52"/>
      <c r="L90" s="52"/>
    </row>
    <row r="91" spans="1:12" s="236" customFormat="1">
      <c r="A91" s="233"/>
      <c r="D91" s="1640"/>
      <c r="K91" s="52"/>
      <c r="L91" s="52"/>
    </row>
    <row r="92" spans="1:12" s="236" customFormat="1">
      <c r="A92" s="233"/>
      <c r="D92" s="1640"/>
      <c r="K92" s="52"/>
      <c r="L92" s="52"/>
    </row>
    <row r="93" spans="1:12" s="236" customFormat="1">
      <c r="A93" s="233"/>
      <c r="D93" s="1640"/>
      <c r="K93" s="52"/>
      <c r="L93" s="52"/>
    </row>
    <row r="94" spans="1:12" s="236" customFormat="1">
      <c r="A94" s="233"/>
      <c r="D94" s="1640"/>
      <c r="K94" s="52"/>
      <c r="L94" s="52"/>
    </row>
    <row r="95" spans="1:12" s="236" customFormat="1">
      <c r="A95" s="233"/>
      <c r="D95" s="1640"/>
      <c r="K95" s="52"/>
      <c r="L95" s="52"/>
    </row>
    <row r="96" spans="1:12" s="236" customFormat="1">
      <c r="A96" s="233"/>
      <c r="D96" s="1640"/>
      <c r="K96" s="52"/>
      <c r="L96" s="52"/>
    </row>
    <row r="97" spans="1:12" s="236" customFormat="1">
      <c r="A97" s="233"/>
      <c r="D97" s="1640"/>
      <c r="K97" s="52"/>
      <c r="L97" s="52"/>
    </row>
    <row r="98" spans="1:12" s="236" customFormat="1">
      <c r="A98" s="233"/>
      <c r="D98" s="1640"/>
      <c r="K98" s="52"/>
      <c r="L98" s="52"/>
    </row>
    <row r="99" spans="1:12" s="236" customFormat="1">
      <c r="A99" s="233"/>
      <c r="D99" s="1640"/>
      <c r="K99" s="52"/>
      <c r="L99" s="52"/>
    </row>
    <row r="100" spans="1:12" s="236" customFormat="1">
      <c r="A100" s="233"/>
      <c r="D100" s="1640"/>
      <c r="K100" s="52"/>
      <c r="L100" s="52"/>
    </row>
    <row r="101" spans="1:12" s="236" customFormat="1">
      <c r="A101" s="233"/>
      <c r="D101" s="1640"/>
      <c r="K101" s="52"/>
      <c r="L101" s="52"/>
    </row>
    <row r="102" spans="1:12" s="236" customFormat="1">
      <c r="A102" s="233"/>
      <c r="D102" s="1640"/>
      <c r="K102" s="52"/>
      <c r="L102" s="52"/>
    </row>
    <row r="103" spans="1:12" s="236" customFormat="1">
      <c r="A103" s="233"/>
      <c r="D103" s="1640"/>
      <c r="K103" s="52"/>
      <c r="L103" s="52"/>
    </row>
    <row r="104" spans="1:12" s="236" customFormat="1">
      <c r="A104" s="233"/>
      <c r="D104" s="1640"/>
      <c r="K104" s="52"/>
      <c r="L104" s="52"/>
    </row>
    <row r="105" spans="1:12" s="236" customFormat="1">
      <c r="A105" s="233"/>
      <c r="D105" s="1640"/>
      <c r="K105" s="52"/>
      <c r="L105" s="52"/>
    </row>
    <row r="106" spans="1:12" s="236" customFormat="1">
      <c r="A106" s="233"/>
      <c r="D106" s="1640"/>
      <c r="K106" s="52"/>
      <c r="L106" s="52"/>
    </row>
    <row r="107" spans="1:12" s="236" customFormat="1">
      <c r="A107" s="233"/>
      <c r="D107" s="1640"/>
      <c r="K107" s="52"/>
      <c r="L107" s="52"/>
    </row>
    <row r="108" spans="1:12" s="236" customFormat="1">
      <c r="A108" s="233"/>
      <c r="D108" s="1640"/>
      <c r="K108" s="52"/>
      <c r="L108" s="52"/>
    </row>
    <row r="109" spans="1:12" s="236" customFormat="1">
      <c r="A109" s="233"/>
      <c r="D109" s="1640"/>
      <c r="K109" s="52"/>
      <c r="L109" s="52"/>
    </row>
    <row r="110" spans="1:12" s="236" customFormat="1">
      <c r="A110" s="233"/>
      <c r="D110" s="1640"/>
      <c r="K110" s="52"/>
      <c r="L110" s="52"/>
    </row>
    <row r="111" spans="1:12" s="236" customFormat="1">
      <c r="A111" s="233"/>
      <c r="D111" s="1640"/>
      <c r="K111" s="52"/>
      <c r="L111" s="52"/>
    </row>
    <row r="112" spans="1:12" s="236" customFormat="1">
      <c r="A112" s="233"/>
      <c r="D112" s="1640"/>
      <c r="K112" s="52"/>
      <c r="L112" s="52"/>
    </row>
    <row r="113" spans="1:12" s="236" customFormat="1">
      <c r="A113" s="233"/>
      <c r="D113" s="1640"/>
      <c r="K113" s="52"/>
      <c r="L113" s="52"/>
    </row>
    <row r="114" spans="1:12" s="236" customFormat="1">
      <c r="A114" s="233"/>
      <c r="D114" s="1640"/>
      <c r="K114" s="52"/>
      <c r="L114" s="52"/>
    </row>
    <row r="115" spans="1:12" s="236" customFormat="1">
      <c r="A115" s="233"/>
      <c r="D115" s="1640"/>
      <c r="K115" s="52"/>
      <c r="L115" s="52"/>
    </row>
    <row r="116" spans="1:12" s="236" customFormat="1">
      <c r="A116" s="233"/>
      <c r="D116" s="1640"/>
      <c r="K116" s="52"/>
      <c r="L116" s="52"/>
    </row>
    <row r="117" spans="1:12" s="236" customFormat="1">
      <c r="A117" s="233"/>
      <c r="D117" s="1640"/>
      <c r="K117" s="52"/>
      <c r="L117" s="52"/>
    </row>
    <row r="118" spans="1:12" s="236" customFormat="1">
      <c r="A118" s="233"/>
      <c r="D118" s="1640"/>
      <c r="K118" s="52"/>
      <c r="L118" s="52"/>
    </row>
    <row r="119" spans="1:12" s="236" customFormat="1">
      <c r="A119" s="233"/>
      <c r="D119" s="1640"/>
      <c r="K119" s="52"/>
      <c r="L119" s="52"/>
    </row>
    <row r="120" spans="1:12" s="236" customFormat="1">
      <c r="A120" s="233"/>
      <c r="D120" s="1640"/>
      <c r="K120" s="52"/>
      <c r="L120" s="52"/>
    </row>
    <row r="121" spans="1:12" s="236" customFormat="1">
      <c r="A121" s="233"/>
      <c r="D121" s="1640"/>
      <c r="K121" s="52"/>
      <c r="L121" s="52"/>
    </row>
    <row r="122" spans="1:12" s="236" customFormat="1">
      <c r="A122" s="233"/>
      <c r="D122" s="1640"/>
      <c r="K122" s="52"/>
      <c r="L122" s="52"/>
    </row>
    <row r="123" spans="1:12" s="236" customFormat="1">
      <c r="A123" s="233"/>
      <c r="D123" s="1640"/>
      <c r="K123" s="52"/>
      <c r="L123" s="52"/>
    </row>
    <row r="124" spans="1:12" s="236" customFormat="1">
      <c r="A124" s="233"/>
      <c r="D124" s="1640"/>
      <c r="K124" s="52"/>
      <c r="L124" s="52"/>
    </row>
    <row r="125" spans="1:12" s="236" customFormat="1">
      <c r="A125" s="233"/>
      <c r="D125" s="1640"/>
      <c r="K125" s="52"/>
      <c r="L125" s="52"/>
    </row>
    <row r="126" spans="1:12" s="236" customFormat="1">
      <c r="A126" s="233"/>
      <c r="D126" s="1640"/>
      <c r="K126" s="52"/>
      <c r="L126" s="52"/>
    </row>
    <row r="127" spans="1:12" s="236" customFormat="1">
      <c r="A127" s="233"/>
      <c r="D127" s="1640"/>
      <c r="K127" s="52"/>
      <c r="L127" s="52"/>
    </row>
    <row r="128" spans="1:12" s="236" customFormat="1">
      <c r="A128" s="233"/>
      <c r="D128" s="1640"/>
      <c r="K128" s="52"/>
      <c r="L128" s="52"/>
    </row>
    <row r="129" spans="1:12" s="236" customFormat="1">
      <c r="A129" s="233"/>
      <c r="D129" s="1640"/>
      <c r="K129" s="52"/>
      <c r="L129" s="52"/>
    </row>
    <row r="130" spans="1:12" s="236" customFormat="1">
      <c r="A130" s="233"/>
      <c r="D130" s="1640"/>
      <c r="K130" s="52"/>
      <c r="L130" s="52"/>
    </row>
    <row r="131" spans="1:12" s="236" customFormat="1">
      <c r="A131" s="233"/>
      <c r="D131" s="1640"/>
      <c r="K131" s="52"/>
      <c r="L131" s="52"/>
    </row>
    <row r="132" spans="1:12" s="236" customFormat="1">
      <c r="A132" s="233"/>
      <c r="D132" s="1640"/>
      <c r="K132" s="52"/>
      <c r="L132" s="52"/>
    </row>
    <row r="133" spans="1:12" s="236" customFormat="1">
      <c r="A133" s="233"/>
      <c r="D133" s="1640"/>
      <c r="K133" s="52"/>
      <c r="L133" s="52"/>
    </row>
    <row r="134" spans="1:12" s="236" customFormat="1">
      <c r="A134" s="233"/>
      <c r="D134" s="1640"/>
      <c r="K134" s="52"/>
      <c r="L134" s="52"/>
    </row>
    <row r="135" spans="1:12" s="236" customFormat="1">
      <c r="A135" s="233"/>
      <c r="D135" s="1640"/>
      <c r="K135" s="52"/>
      <c r="L135" s="52"/>
    </row>
    <row r="136" spans="1:12" s="236" customFormat="1">
      <c r="A136" s="233"/>
      <c r="D136" s="1640"/>
      <c r="K136" s="52"/>
      <c r="L136" s="52"/>
    </row>
    <row r="137" spans="1:12" s="236" customFormat="1">
      <c r="A137" s="233"/>
      <c r="D137" s="1640"/>
      <c r="K137" s="52"/>
      <c r="L137" s="52"/>
    </row>
    <row r="138" spans="1:12" s="236" customFormat="1">
      <c r="A138" s="233"/>
      <c r="D138" s="1640"/>
      <c r="K138" s="52"/>
      <c r="L138" s="52"/>
    </row>
    <row r="139" spans="1:12" s="236" customFormat="1">
      <c r="A139" s="233"/>
      <c r="D139" s="1640"/>
      <c r="K139" s="52"/>
      <c r="L139" s="52"/>
    </row>
    <row r="140" spans="1:12" s="236" customFormat="1">
      <c r="A140" s="233"/>
      <c r="D140" s="1640"/>
      <c r="K140" s="52"/>
      <c r="L140" s="52"/>
    </row>
    <row r="141" spans="1:12" s="236" customFormat="1">
      <c r="A141" s="233"/>
      <c r="D141" s="1640"/>
      <c r="K141" s="52"/>
      <c r="L141" s="52"/>
    </row>
    <row r="142" spans="1:12" s="236" customFormat="1">
      <c r="A142" s="233"/>
      <c r="D142" s="1640"/>
      <c r="K142" s="52"/>
      <c r="L142" s="52"/>
    </row>
    <row r="143" spans="1:12" s="236" customFormat="1">
      <c r="A143" s="233"/>
      <c r="D143" s="1640"/>
      <c r="K143" s="52"/>
      <c r="L143" s="52"/>
    </row>
    <row r="144" spans="1:12" s="236" customFormat="1">
      <c r="A144" s="233"/>
      <c r="D144" s="1640"/>
      <c r="K144" s="52"/>
      <c r="L144" s="52"/>
    </row>
    <row r="145" spans="1:12" s="236" customFormat="1">
      <c r="A145" s="233"/>
      <c r="D145" s="1640"/>
      <c r="K145" s="52"/>
      <c r="L145" s="52"/>
    </row>
    <row r="146" spans="1:12" s="236" customFormat="1">
      <c r="A146" s="233"/>
      <c r="D146" s="1640"/>
      <c r="K146" s="52"/>
      <c r="L146" s="52"/>
    </row>
    <row r="147" spans="1:12" s="236" customFormat="1">
      <c r="A147" s="233"/>
      <c r="D147" s="1640"/>
      <c r="K147" s="52"/>
      <c r="L147" s="52"/>
    </row>
    <row r="148" spans="1:12" s="236" customFormat="1">
      <c r="A148" s="233"/>
      <c r="D148" s="1640"/>
      <c r="K148" s="52"/>
      <c r="L148" s="52"/>
    </row>
    <row r="149" spans="1:12" s="236" customFormat="1">
      <c r="A149" s="233"/>
      <c r="D149" s="1640"/>
      <c r="K149" s="52"/>
      <c r="L149" s="52"/>
    </row>
    <row r="150" spans="1:12" s="236" customFormat="1">
      <c r="A150" s="233"/>
      <c r="D150" s="1640"/>
      <c r="K150" s="52"/>
      <c r="L150" s="52"/>
    </row>
    <row r="151" spans="1:12" s="236" customFormat="1">
      <c r="A151" s="233"/>
      <c r="D151" s="1640"/>
      <c r="K151" s="52"/>
      <c r="L151" s="52"/>
    </row>
    <row r="152" spans="1:12" s="236" customFormat="1">
      <c r="A152" s="233"/>
      <c r="D152" s="1640"/>
      <c r="K152" s="52"/>
      <c r="L152" s="52"/>
    </row>
    <row r="153" spans="1:12" s="236" customFormat="1">
      <c r="A153" s="233"/>
      <c r="D153" s="1640"/>
      <c r="K153" s="52"/>
      <c r="L153" s="52"/>
    </row>
    <row r="154" spans="1:12" s="236" customFormat="1">
      <c r="A154" s="233"/>
      <c r="D154" s="1640"/>
      <c r="K154" s="52"/>
      <c r="L154" s="52"/>
    </row>
    <row r="155" spans="1:12" s="236" customFormat="1">
      <c r="A155" s="233"/>
      <c r="D155" s="1640"/>
      <c r="K155" s="52"/>
      <c r="L155" s="52"/>
    </row>
    <row r="156" spans="1:12" s="236" customFormat="1">
      <c r="A156" s="233"/>
      <c r="D156" s="1640"/>
      <c r="K156" s="52"/>
      <c r="L156" s="52"/>
    </row>
    <row r="157" spans="1:12" s="236" customFormat="1">
      <c r="A157" s="233"/>
      <c r="D157" s="1640"/>
      <c r="K157" s="52"/>
      <c r="L157" s="52"/>
    </row>
    <row r="158" spans="1:12" s="236" customFormat="1">
      <c r="A158" s="233"/>
      <c r="D158" s="1640"/>
      <c r="K158" s="52"/>
      <c r="L158" s="52"/>
    </row>
    <row r="159" spans="1:12" s="236" customFormat="1">
      <c r="A159" s="233"/>
      <c r="D159" s="1640"/>
      <c r="K159" s="52"/>
      <c r="L159" s="52"/>
    </row>
    <row r="160" spans="1:12" s="236" customFormat="1">
      <c r="A160" s="233"/>
      <c r="D160" s="1640"/>
      <c r="K160" s="52"/>
      <c r="L160" s="52"/>
    </row>
    <row r="161" spans="1:12" s="236" customFormat="1">
      <c r="A161" s="233"/>
      <c r="D161" s="1640"/>
      <c r="K161" s="52"/>
      <c r="L161" s="52"/>
    </row>
    <row r="162" spans="1:12" s="236" customFormat="1">
      <c r="A162" s="233"/>
      <c r="D162" s="1640"/>
      <c r="K162" s="52"/>
      <c r="L162" s="52"/>
    </row>
    <row r="163" spans="1:12" s="236" customFormat="1">
      <c r="A163" s="233"/>
      <c r="D163" s="1640"/>
      <c r="K163" s="52"/>
      <c r="L163" s="52"/>
    </row>
    <row r="164" spans="1:12" s="236" customFormat="1">
      <c r="A164" s="233"/>
      <c r="D164" s="1640"/>
      <c r="K164" s="52"/>
      <c r="L164" s="52"/>
    </row>
    <row r="165" spans="1:12" s="236" customFormat="1">
      <c r="A165" s="233"/>
      <c r="D165" s="1640"/>
      <c r="K165" s="52"/>
      <c r="L165" s="52"/>
    </row>
    <row r="166" spans="1:12" s="236" customFormat="1">
      <c r="A166" s="233"/>
      <c r="D166" s="1640"/>
      <c r="K166" s="52"/>
      <c r="L166" s="52"/>
    </row>
    <row r="167" spans="1:12" s="236" customFormat="1">
      <c r="A167" s="233"/>
      <c r="D167" s="1640"/>
      <c r="K167" s="52"/>
      <c r="L167" s="52"/>
    </row>
    <row r="168" spans="1:12" s="236" customFormat="1">
      <c r="A168" s="233"/>
      <c r="D168" s="1640"/>
      <c r="K168" s="52"/>
      <c r="L168" s="52"/>
    </row>
    <row r="169" spans="1:12" s="236" customFormat="1">
      <c r="A169" s="233"/>
      <c r="D169" s="1640"/>
      <c r="K169" s="52"/>
      <c r="L169" s="52"/>
    </row>
    <row r="170" spans="1:12" s="236" customFormat="1">
      <c r="A170" s="233"/>
      <c r="D170" s="1640"/>
      <c r="K170" s="52"/>
      <c r="L170" s="52"/>
    </row>
    <row r="171" spans="1:12" s="236" customFormat="1">
      <c r="A171" s="233"/>
      <c r="D171" s="1640"/>
      <c r="K171" s="52"/>
      <c r="L171" s="52"/>
    </row>
    <row r="172" spans="1:12" s="236" customFormat="1">
      <c r="A172" s="233"/>
      <c r="D172" s="1640"/>
      <c r="K172" s="52"/>
      <c r="L172" s="52"/>
    </row>
    <row r="173" spans="1:12" s="236" customFormat="1">
      <c r="A173" s="233"/>
      <c r="D173" s="1640"/>
      <c r="K173" s="52"/>
      <c r="L173" s="52"/>
    </row>
    <row r="174" spans="1:12" s="236" customFormat="1">
      <c r="A174" s="233"/>
      <c r="D174" s="1640"/>
      <c r="K174" s="52"/>
      <c r="L174" s="52"/>
    </row>
    <row r="175" spans="1:12" s="236" customFormat="1">
      <c r="A175" s="233"/>
      <c r="D175" s="1640"/>
      <c r="K175" s="52"/>
      <c r="L175" s="52"/>
    </row>
    <row r="176" spans="1:12" s="236" customFormat="1">
      <c r="A176" s="233"/>
      <c r="D176" s="1640"/>
      <c r="K176" s="52"/>
      <c r="L176" s="52"/>
    </row>
    <row r="177" spans="1:12" s="236" customFormat="1">
      <c r="A177" s="233"/>
      <c r="D177" s="1640"/>
      <c r="K177" s="52"/>
      <c r="L177" s="52"/>
    </row>
    <row r="178" spans="1:12" s="236" customFormat="1">
      <c r="A178" s="233"/>
      <c r="D178" s="1640"/>
      <c r="K178" s="52"/>
      <c r="L178" s="52"/>
    </row>
    <row r="179" spans="1:12" s="236" customFormat="1">
      <c r="A179" s="233"/>
      <c r="D179" s="1640"/>
      <c r="K179" s="52"/>
      <c r="L179" s="52"/>
    </row>
    <row r="180" spans="1:12" s="236" customFormat="1">
      <c r="A180" s="233"/>
      <c r="D180" s="1640"/>
      <c r="K180" s="52"/>
      <c r="L180" s="52"/>
    </row>
    <row r="181" spans="1:12" s="236" customFormat="1">
      <c r="A181" s="233"/>
      <c r="D181" s="1640"/>
      <c r="K181" s="52"/>
      <c r="L181" s="52"/>
    </row>
    <row r="182" spans="1:12" s="236" customFormat="1">
      <c r="A182" s="233"/>
      <c r="D182" s="1640"/>
      <c r="K182" s="52"/>
      <c r="L182" s="52"/>
    </row>
    <row r="183" spans="1:12" s="236" customFormat="1">
      <c r="A183" s="233"/>
      <c r="D183" s="1640"/>
      <c r="K183" s="52"/>
      <c r="L183" s="52"/>
    </row>
    <row r="184" spans="1:12" s="236" customFormat="1">
      <c r="A184" s="233"/>
      <c r="D184" s="1640"/>
      <c r="K184" s="52"/>
      <c r="L184" s="52"/>
    </row>
    <row r="185" spans="1:12" s="236" customFormat="1">
      <c r="A185" s="233"/>
      <c r="D185" s="1640"/>
      <c r="K185" s="52"/>
      <c r="L185" s="52"/>
    </row>
    <row r="186" spans="1:12" s="236" customFormat="1">
      <c r="A186" s="233"/>
      <c r="D186" s="1640"/>
      <c r="K186" s="52"/>
      <c r="L186" s="52"/>
    </row>
    <row r="187" spans="1:12" s="236" customFormat="1">
      <c r="A187" s="233"/>
      <c r="D187" s="1640"/>
      <c r="K187" s="52"/>
      <c r="L187" s="52"/>
    </row>
    <row r="188" spans="1:12" s="236" customFormat="1">
      <c r="A188" s="233"/>
      <c r="D188" s="1640"/>
      <c r="K188" s="52"/>
      <c r="L188" s="52"/>
    </row>
    <row r="189" spans="1:12" s="236" customFormat="1">
      <c r="A189" s="233"/>
      <c r="D189" s="1640"/>
      <c r="K189" s="52"/>
      <c r="L189" s="52"/>
    </row>
    <row r="190" spans="1:12" s="236" customFormat="1">
      <c r="A190" s="233"/>
      <c r="D190" s="1640"/>
      <c r="K190" s="52"/>
      <c r="L190" s="52"/>
    </row>
    <row r="191" spans="1:12" s="236" customFormat="1">
      <c r="A191" s="233"/>
      <c r="D191" s="1640"/>
      <c r="K191" s="52"/>
      <c r="L191" s="52"/>
    </row>
    <row r="192" spans="1:12" s="236" customFormat="1">
      <c r="A192" s="233"/>
      <c r="D192" s="1640"/>
      <c r="K192" s="52"/>
      <c r="L192" s="52"/>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599" t="s">
        <v>1198</v>
      </c>
      <c r="B1" s="3600"/>
      <c r="C1" s="3600"/>
      <c r="D1" s="3600"/>
      <c r="E1" s="3600"/>
      <c r="F1" s="3600"/>
      <c r="G1" s="3600"/>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2182</v>
      </c>
      <c r="D3" s="2648"/>
      <c r="E3" s="2649" t="s">
        <v>1201</v>
      </c>
      <c r="F3" s="2650" t="s">
        <v>1189</v>
      </c>
      <c r="G3" s="2651" t="s">
        <v>2181</v>
      </c>
      <c r="H3" s="2644"/>
      <c r="I3" s="2644"/>
      <c r="J3" s="2644"/>
      <c r="K3" s="2644"/>
      <c r="L3" s="2644"/>
      <c r="M3" s="2644"/>
      <c r="N3" s="2644"/>
      <c r="O3" s="2644"/>
      <c r="P3" s="2644"/>
      <c r="Q3" s="2644"/>
    </row>
    <row r="4" spans="1:18" ht="40.5">
      <c r="A4" s="2649"/>
      <c r="B4" s="2652" t="s">
        <v>1202</v>
      </c>
      <c r="C4" s="2653" t="s">
        <v>2183</v>
      </c>
      <c r="D4" s="2648"/>
      <c r="E4" s="2654"/>
      <c r="F4" s="2655" t="s">
        <v>1203</v>
      </c>
      <c r="G4" s="2656" t="s">
        <v>2178</v>
      </c>
      <c r="H4" s="2644"/>
      <c r="I4" s="2644"/>
      <c r="J4" s="2644"/>
      <c r="K4" s="2644"/>
      <c r="L4" s="2644"/>
      <c r="M4" s="2644"/>
      <c r="N4" s="2644"/>
      <c r="O4" s="2644"/>
      <c r="P4" s="2644"/>
      <c r="Q4" s="2644"/>
    </row>
    <row r="5" spans="1:18" ht="41.25">
      <c r="A5" s="2649"/>
      <c r="B5" s="2652" t="s">
        <v>1204</v>
      </c>
      <c r="C5" s="2653" t="s">
        <v>2184</v>
      </c>
      <c r="D5" s="2648"/>
      <c r="E5" s="2654"/>
      <c r="F5" s="2652" t="s">
        <v>1829</v>
      </c>
      <c r="G5" s="2656" t="s">
        <v>2179</v>
      </c>
      <c r="H5" s="2644"/>
      <c r="I5" s="2644"/>
      <c r="J5" s="2644"/>
      <c r="K5" s="2644"/>
      <c r="L5" s="2644"/>
      <c r="M5" s="2644"/>
      <c r="N5" s="2644"/>
      <c r="O5" s="2644"/>
      <c r="P5" s="2644"/>
      <c r="Q5" s="2644"/>
    </row>
    <row r="6" spans="1:18" ht="40.5">
      <c r="A6" s="2649"/>
      <c r="B6" s="2652" t="s">
        <v>1190</v>
      </c>
      <c r="C6" s="2656" t="s">
        <v>2178</v>
      </c>
      <c r="D6" s="2648"/>
      <c r="E6" s="2654"/>
      <c r="F6" s="2652" t="s">
        <v>1830</v>
      </c>
      <c r="G6" s="2656" t="s">
        <v>2176</v>
      </c>
      <c r="H6" s="2644"/>
      <c r="I6" s="2644"/>
      <c r="J6" s="2644"/>
      <c r="K6" s="2644"/>
      <c r="L6" s="2644"/>
      <c r="M6" s="2644"/>
      <c r="N6" s="2644"/>
      <c r="O6" s="2644"/>
      <c r="P6" s="2644"/>
      <c r="Q6" s="2644"/>
    </row>
    <row r="7" spans="1:18" ht="27.75" thickBot="1">
      <c r="A7" s="2649"/>
      <c r="B7" s="2652" t="s">
        <v>1829</v>
      </c>
      <c r="C7" s="2656" t="s">
        <v>2179</v>
      </c>
      <c r="D7" s="2657"/>
      <c r="E7" s="2658"/>
      <c r="F7" s="2659" t="s">
        <v>1205</v>
      </c>
      <c r="G7" s="2660" t="s">
        <v>2180</v>
      </c>
      <c r="H7" s="2644"/>
      <c r="I7" s="2644"/>
      <c r="J7" s="2644"/>
      <c r="K7" s="2644"/>
      <c r="L7" s="2644"/>
      <c r="M7" s="2644"/>
      <c r="N7" s="2644"/>
      <c r="O7" s="2644"/>
      <c r="P7" s="2644"/>
      <c r="Q7" s="2644"/>
    </row>
    <row r="8" spans="1:18">
      <c r="A8" s="2649"/>
      <c r="B8" s="2652" t="s">
        <v>1830</v>
      </c>
      <c r="C8" s="2656" t="s">
        <v>2176</v>
      </c>
      <c r="D8" s="2657"/>
      <c r="E8" s="2657"/>
      <c r="F8" s="2661"/>
      <c r="G8" s="2661"/>
      <c r="H8" s="2644"/>
      <c r="I8" s="2644"/>
      <c r="J8" s="2644"/>
      <c r="K8" s="2644"/>
      <c r="L8" s="2644"/>
      <c r="M8" s="2644"/>
      <c r="N8" s="2644"/>
      <c r="O8" s="2644"/>
      <c r="P8" s="2644"/>
      <c r="Q8" s="2644"/>
    </row>
    <row r="9" spans="1:18" ht="27">
      <c r="A9" s="2649"/>
      <c r="B9" s="2652" t="s">
        <v>1191</v>
      </c>
      <c r="C9" s="2653" t="s">
        <v>2177</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1829</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1830</v>
      </c>
      <c r="G20" s="2686" t="str">
        <f>G6</f>
        <v>估价对象所在区域基础设施水平</v>
      </c>
    </row>
    <row r="21" spans="1:7" ht="27">
      <c r="A21" s="2681"/>
      <c r="B21" s="2652" t="s">
        <v>1829</v>
      </c>
      <c r="C21" s="2686" t="str">
        <f>C7</f>
        <v>估价对象所在区域公共配套设施齐备情况</v>
      </c>
      <c r="D21" s="2648"/>
      <c r="E21" s="2684"/>
      <c r="F21" s="2685" t="s">
        <v>1196</v>
      </c>
      <c r="G21" s="2688"/>
    </row>
    <row r="22" spans="1:7" ht="14.25">
      <c r="A22" s="2681"/>
      <c r="B22" s="2652" t="s">
        <v>1830</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B14" sqref="B14"/>
    </sheetView>
  </sheetViews>
  <sheetFormatPr defaultColWidth="14.625" defaultRowHeight="13.5"/>
  <cols>
    <col min="1" max="1" width="24.375" style="2695" customWidth="1"/>
    <col min="2" max="16384" width="14.625" style="2695"/>
  </cols>
  <sheetData>
    <row r="1" spans="1:10" ht="16.5">
      <c r="A1" s="2694" t="s">
        <v>2117</v>
      </c>
      <c r="B1" s="2694">
        <f>SUM(B14:B23)</f>
        <v>28699.43</v>
      </c>
      <c r="C1" s="2702"/>
      <c r="D1" s="2702"/>
      <c r="E1" s="2702"/>
      <c r="F1" s="2702"/>
      <c r="G1" s="2703"/>
      <c r="H1" s="2703"/>
      <c r="I1" s="2703"/>
      <c r="J1" s="2703"/>
    </row>
    <row r="2" spans="1:10" ht="16.5">
      <c r="A2" s="2694" t="s">
        <v>2118</v>
      </c>
      <c r="B2" s="2694">
        <f>SUM(C14:C23)</f>
        <v>12997.77</v>
      </c>
      <c r="C2" s="2702"/>
      <c r="D2" s="2702"/>
      <c r="E2" s="2702"/>
      <c r="F2" s="2702"/>
      <c r="G2" s="2703"/>
      <c r="H2" s="2703"/>
      <c r="I2" s="2703"/>
      <c r="J2" s="2703"/>
    </row>
    <row r="3" spans="1:10" ht="16.5">
      <c r="A3" s="2694" t="s">
        <v>2119</v>
      </c>
      <c r="B3" s="2696">
        <f>项目基本情况!D3</f>
        <v>45615</v>
      </c>
      <c r="C3" s="2702"/>
      <c r="D3" s="2702"/>
      <c r="E3" s="2702"/>
      <c r="F3" s="2702"/>
      <c r="G3" s="2703"/>
      <c r="H3" s="2703"/>
      <c r="I3" s="2703"/>
      <c r="J3" s="2703"/>
    </row>
    <row r="4" spans="1:10" ht="33">
      <c r="A4" s="2694" t="s">
        <v>2120</v>
      </c>
      <c r="B4" s="2694" t="s">
        <v>2121</v>
      </c>
      <c r="C4" s="2694" t="s">
        <v>2122</v>
      </c>
      <c r="D4" s="2694" t="s">
        <v>2123</v>
      </c>
      <c r="E4" s="2702"/>
      <c r="F4" s="2702"/>
      <c r="G4" s="2703"/>
      <c r="H4" s="2703"/>
      <c r="I4" s="2703"/>
      <c r="J4" s="2703"/>
    </row>
    <row r="5" spans="1:10" ht="16.5">
      <c r="A5" s="2694" t="s">
        <v>2124</v>
      </c>
      <c r="B5" s="2694">
        <f ca="1">SUM(D14:D23)</f>
        <v>24958</v>
      </c>
      <c r="C5" s="2694">
        <f ca="1">ROUND(B5*10000/$B$1,0)</f>
        <v>8696</v>
      </c>
      <c r="D5" s="2694">
        <f ca="1">ROUND(B5*10000/$B$2,0)</f>
        <v>19202</v>
      </c>
      <c r="E5" s="2702"/>
      <c r="F5" s="2702"/>
      <c r="G5" s="2703"/>
      <c r="H5" s="2703"/>
      <c r="I5" s="2703"/>
      <c r="J5" s="2703"/>
    </row>
    <row r="6" spans="1:10" ht="16.5">
      <c r="A6" s="2694" t="s">
        <v>2125</v>
      </c>
      <c r="B6" s="2694">
        <f ca="1">SUM(G14:G23)</f>
        <v>11739</v>
      </c>
      <c r="C6" s="2694">
        <f ca="1">ROUND(B6*10000/$B$1,0)</f>
        <v>4090</v>
      </c>
      <c r="D6" s="2694">
        <f ca="1">ROUND(B6*10000/$B$2,0)</f>
        <v>9032</v>
      </c>
      <c r="E6" s="2702"/>
      <c r="F6" s="2702"/>
      <c r="G6" s="2703"/>
      <c r="H6" s="2703"/>
      <c r="I6" s="2703"/>
      <c r="J6" s="2703"/>
    </row>
    <row r="7" spans="1:10" ht="16.5">
      <c r="A7" s="2694" t="s">
        <v>2126</v>
      </c>
      <c r="B7" s="2694">
        <f>SUM(H14:H23)</f>
        <v>0</v>
      </c>
      <c r="C7" s="2694">
        <f>ROUND(B7*10000/$B$1,0)</f>
        <v>0</v>
      </c>
      <c r="D7" s="2694">
        <f>ROUND(B7*10000/$B$2,0)</f>
        <v>0</v>
      </c>
      <c r="E7" s="2702"/>
      <c r="F7" s="2702"/>
      <c r="G7" s="2703"/>
      <c r="H7" s="2703"/>
      <c r="I7" s="2703"/>
      <c r="J7" s="2703"/>
    </row>
    <row r="8" spans="1:10" ht="16.5">
      <c r="A8" s="2694" t="s">
        <v>2127</v>
      </c>
      <c r="B8" s="2694">
        <f ca="1">SUM(I14:I23)</f>
        <v>10396</v>
      </c>
      <c r="C8" s="2694">
        <f ca="1">ROUND(B8*10000/$B$1,0)</f>
        <v>3622</v>
      </c>
      <c r="D8" s="2694">
        <f ca="1">ROUND(B8*10000/$B$2,0)</f>
        <v>7998</v>
      </c>
      <c r="E8" s="2702"/>
      <c r="F8" s="2702"/>
      <c r="G8" s="2703"/>
      <c r="H8" s="2703"/>
      <c r="I8" s="2703"/>
      <c r="J8" s="2703"/>
    </row>
    <row r="9" spans="1:10" ht="16.5">
      <c r="A9" s="2694" t="s">
        <v>2128</v>
      </c>
      <c r="B9" s="2325"/>
      <c r="C9" s="2702"/>
      <c r="D9" s="2702"/>
      <c r="E9" s="2702"/>
      <c r="F9" s="2702"/>
      <c r="G9" s="2703"/>
      <c r="H9" s="2703"/>
      <c r="I9" s="2703"/>
      <c r="J9" s="2703"/>
    </row>
    <row r="10" spans="1:10" ht="16.5">
      <c r="A10" s="2694" t="s">
        <v>2129</v>
      </c>
      <c r="B10" s="2325"/>
      <c r="C10" s="2702"/>
      <c r="D10" s="2702"/>
      <c r="E10" s="2702"/>
      <c r="F10" s="2702"/>
      <c r="G10" s="2703"/>
      <c r="H10" s="2703"/>
      <c r="I10" s="2703"/>
      <c r="J10" s="2703"/>
    </row>
    <row r="11" spans="1:10" ht="16.5">
      <c r="A11" s="2694" t="s">
        <v>2146</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2145</v>
      </c>
      <c r="B13" s="2698" t="s">
        <v>2117</v>
      </c>
      <c r="C13" s="2698" t="s">
        <v>2118</v>
      </c>
      <c r="D13" s="2698" t="s">
        <v>2130</v>
      </c>
      <c r="E13" s="2694" t="s">
        <v>2144</v>
      </c>
      <c r="F13" s="2694" t="s">
        <v>2123</v>
      </c>
      <c r="G13" s="2698" t="s">
        <v>2131</v>
      </c>
      <c r="H13" s="2698" t="s">
        <v>2132</v>
      </c>
      <c r="I13" s="2698" t="s">
        <v>2133</v>
      </c>
      <c r="J13" s="2703"/>
    </row>
    <row r="14" spans="1:10" ht="16.5">
      <c r="A14" s="2699" t="s">
        <v>2143</v>
      </c>
      <c r="B14" s="2700">
        <f>ROUND('数据-汇总表'!E3,2)</f>
        <v>28699.43</v>
      </c>
      <c r="C14" s="2700">
        <f>'数据-汇总表'!D3</f>
        <v>12997.77</v>
      </c>
      <c r="D14" s="2700">
        <f ca="1">结果表!C42</f>
        <v>24958</v>
      </c>
      <c r="E14" s="2700">
        <f ca="1">ROUND(D14*10000/B14,0)</f>
        <v>8696</v>
      </c>
      <c r="F14" s="2700">
        <f ca="1">ROUND(D14*10000/C14,0)</f>
        <v>19202</v>
      </c>
      <c r="G14" s="2700">
        <f ca="1">结果表!C44</f>
        <v>11739</v>
      </c>
      <c r="H14" s="2700"/>
      <c r="I14" s="2700">
        <f ca="1">结果表!O79</f>
        <v>10396</v>
      </c>
      <c r="J14" s="2703"/>
    </row>
    <row r="15" spans="1:10" ht="16.5">
      <c r="A15" s="2699" t="s">
        <v>2134</v>
      </c>
      <c r="B15" s="2701"/>
      <c r="C15" s="2701"/>
      <c r="D15" s="2701"/>
      <c r="E15" s="2700" t="e">
        <f t="shared" ref="E15:E23" si="0">ROUND(D15*10000/B15,0)</f>
        <v>#DIV/0!</v>
      </c>
      <c r="F15" s="2700" t="e">
        <f t="shared" ref="F15:F23" si="1">ROUND(D15*10000/C15,0)</f>
        <v>#DIV/0!</v>
      </c>
      <c r="G15" s="2325"/>
      <c r="H15" s="2325"/>
      <c r="I15" s="2701"/>
      <c r="J15" s="2703"/>
    </row>
    <row r="16" spans="1:10" ht="16.5">
      <c r="A16" s="2699" t="s">
        <v>2135</v>
      </c>
      <c r="B16" s="2701"/>
      <c r="C16" s="2701"/>
      <c r="D16" s="2701"/>
      <c r="E16" s="2700" t="e">
        <f t="shared" si="0"/>
        <v>#DIV/0!</v>
      </c>
      <c r="F16" s="2700" t="e">
        <f t="shared" si="1"/>
        <v>#DIV/0!</v>
      </c>
      <c r="G16" s="2325"/>
      <c r="H16" s="2325"/>
      <c r="I16" s="2701"/>
      <c r="J16" s="2703"/>
    </row>
    <row r="17" spans="1:10" ht="16.5">
      <c r="A17" s="2699" t="s">
        <v>2136</v>
      </c>
      <c r="B17" s="2701"/>
      <c r="C17" s="2701"/>
      <c r="D17" s="2701"/>
      <c r="E17" s="2700" t="e">
        <f t="shared" si="0"/>
        <v>#DIV/0!</v>
      </c>
      <c r="F17" s="2700" t="e">
        <f t="shared" si="1"/>
        <v>#DIV/0!</v>
      </c>
      <c r="G17" s="2325"/>
      <c r="H17" s="2325"/>
      <c r="I17" s="2701"/>
      <c r="J17" s="2703"/>
    </row>
    <row r="18" spans="1:10" ht="16.5">
      <c r="A18" s="2699" t="s">
        <v>2137</v>
      </c>
      <c r="B18" s="2701"/>
      <c r="C18" s="2701"/>
      <c r="D18" s="2701"/>
      <c r="E18" s="2700" t="e">
        <f t="shared" si="0"/>
        <v>#DIV/0!</v>
      </c>
      <c r="F18" s="2700" t="e">
        <f t="shared" si="1"/>
        <v>#DIV/0!</v>
      </c>
      <c r="G18" s="2701"/>
      <c r="H18" s="2701"/>
      <c r="I18" s="2701"/>
      <c r="J18" s="2703"/>
    </row>
    <row r="19" spans="1:10" ht="16.5">
      <c r="A19" s="2699" t="s">
        <v>2138</v>
      </c>
      <c r="B19" s="2701"/>
      <c r="C19" s="2701"/>
      <c r="D19" s="2701"/>
      <c r="E19" s="2700" t="e">
        <f t="shared" si="0"/>
        <v>#DIV/0!</v>
      </c>
      <c r="F19" s="2700" t="e">
        <f t="shared" si="1"/>
        <v>#DIV/0!</v>
      </c>
      <c r="G19" s="2701"/>
      <c r="H19" s="2701"/>
      <c r="I19" s="2701"/>
      <c r="J19" s="2703"/>
    </row>
    <row r="20" spans="1:10" ht="16.5">
      <c r="A20" s="2699" t="s">
        <v>2139</v>
      </c>
      <c r="B20" s="2701"/>
      <c r="C20" s="2701"/>
      <c r="D20" s="2701"/>
      <c r="E20" s="2700" t="e">
        <f t="shared" si="0"/>
        <v>#DIV/0!</v>
      </c>
      <c r="F20" s="2700" t="e">
        <f t="shared" si="1"/>
        <v>#DIV/0!</v>
      </c>
      <c r="G20" s="2701"/>
      <c r="H20" s="2701"/>
      <c r="I20" s="2701"/>
      <c r="J20" s="2703"/>
    </row>
    <row r="21" spans="1:10" ht="16.5">
      <c r="A21" s="2699" t="s">
        <v>2140</v>
      </c>
      <c r="B21" s="2701"/>
      <c r="C21" s="2701"/>
      <c r="D21" s="2701"/>
      <c r="E21" s="2700" t="e">
        <f t="shared" si="0"/>
        <v>#DIV/0!</v>
      </c>
      <c r="F21" s="2700" t="e">
        <f t="shared" si="1"/>
        <v>#DIV/0!</v>
      </c>
      <c r="G21" s="2701"/>
      <c r="H21" s="2701"/>
      <c r="I21" s="2701"/>
      <c r="J21" s="2703"/>
    </row>
    <row r="22" spans="1:10" ht="16.5">
      <c r="A22" s="2699" t="s">
        <v>2141</v>
      </c>
      <c r="B22" s="2701"/>
      <c r="C22" s="2701"/>
      <c r="D22" s="2701"/>
      <c r="E22" s="2700" t="e">
        <f t="shared" si="0"/>
        <v>#DIV/0!</v>
      </c>
      <c r="F22" s="2700" t="e">
        <f t="shared" si="1"/>
        <v>#DIV/0!</v>
      </c>
      <c r="G22" s="2701"/>
      <c r="H22" s="2701"/>
      <c r="I22" s="2701"/>
      <c r="J22" s="2703"/>
    </row>
    <row r="23" spans="1:10" ht="16.5">
      <c r="A23" s="2699" t="s">
        <v>2142</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91" t="str">
        <f>项目基本情况!B1</f>
        <v>北京市延庆区南辛堡村、民主村、百眼泉村棚户区改造项目YQ00-0309-0017地块R2二类居住用地出让国有建设用地使用权抵押价格预评估</v>
      </c>
      <c r="C37" s="3491"/>
      <c r="D37" s="3491"/>
      <c r="E37" s="3491"/>
      <c r="F37" s="3491"/>
      <c r="G37" s="3491"/>
      <c r="H37" s="3491"/>
      <c r="I37" s="3491"/>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吴薇、赵雯</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Q43" sqref="Q43"/>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3"/>
  </cols>
  <sheetData>
    <row r="1" spans="1:22" ht="21.75" customHeight="1" thickBot="1">
      <c r="A1" s="1472" t="s">
        <v>1573</v>
      </c>
      <c r="B1" s="1473"/>
      <c r="C1" s="1498" t="s">
        <v>1574</v>
      </c>
      <c r="D1" s="1499"/>
      <c r="E1" s="1498" t="s">
        <v>1575</v>
      </c>
      <c r="F1" s="1500"/>
      <c r="G1" s="286"/>
      <c r="H1" s="286"/>
      <c r="I1" s="286"/>
      <c r="J1" s="1635"/>
      <c r="K1" s="1635"/>
      <c r="L1" s="1635"/>
      <c r="M1" s="1635"/>
      <c r="N1" s="1635"/>
      <c r="O1" s="1635"/>
      <c r="P1" s="1635"/>
      <c r="Q1" s="1635"/>
      <c r="R1" s="1635"/>
      <c r="S1" s="1635"/>
      <c r="T1" s="1635"/>
      <c r="U1" s="1635"/>
      <c r="V1" s="1635"/>
    </row>
    <row r="2" spans="1:22" ht="21.75" customHeight="1" thickBot="1">
      <c r="A2" s="3645" t="str">
        <f>项目基本情况!K2</f>
        <v>北京市延庆区南辛堡村、民主村、百眼泉村棚户区改造项目YQ00-0309-0017地块R2二类居住用地出让国有建设用地使用权</v>
      </c>
      <c r="B2" s="3646"/>
      <c r="C2" s="3647"/>
      <c r="D2" s="3647"/>
      <c r="E2" s="3647"/>
      <c r="F2" s="3647"/>
      <c r="G2" s="3646"/>
      <c r="H2" s="3646"/>
      <c r="I2" s="3648"/>
      <c r="J2" s="1642"/>
      <c r="K2" s="1635"/>
      <c r="L2" s="1635"/>
      <c r="M2" s="1635"/>
      <c r="N2" s="1635"/>
      <c r="O2" s="1635"/>
      <c r="P2" s="1635"/>
      <c r="Q2" s="1635"/>
      <c r="R2" s="1635"/>
      <c r="S2" s="1635"/>
      <c r="T2" s="1635"/>
      <c r="U2" s="1635"/>
      <c r="V2" s="1635"/>
    </row>
    <row r="3" spans="1:22" ht="14.25">
      <c r="A3" s="3638" t="s">
        <v>264</v>
      </c>
      <c r="B3" s="3639"/>
      <c r="C3" s="3639"/>
      <c r="D3" s="3639"/>
      <c r="E3" s="3639"/>
      <c r="F3" s="3639"/>
      <c r="G3" s="3639"/>
      <c r="H3" s="3639"/>
      <c r="I3" s="3639"/>
      <c r="J3" s="1642"/>
      <c r="K3" s="1635"/>
      <c r="L3" s="1635"/>
      <c r="M3" s="1635"/>
      <c r="N3" s="1635"/>
      <c r="O3" s="1635"/>
      <c r="P3" s="1635"/>
      <c r="Q3" s="1635"/>
      <c r="R3" s="1635"/>
      <c r="S3" s="1635"/>
      <c r="T3" s="1635"/>
      <c r="U3" s="1635"/>
      <c r="V3" s="1635"/>
    </row>
    <row r="4" spans="1:22" ht="14.25">
      <c r="A4" s="237" t="s">
        <v>265</v>
      </c>
      <c r="B4" s="238" t="s">
        <v>266</v>
      </c>
      <c r="C4" s="239" t="s">
        <v>3385</v>
      </c>
      <c r="D4" s="239" t="s">
        <v>3386</v>
      </c>
      <c r="E4" s="3604" t="s">
        <v>267</v>
      </c>
      <c r="F4" s="3605"/>
      <c r="G4" s="3605"/>
      <c r="H4" s="3605"/>
      <c r="I4" s="3640"/>
      <c r="J4" s="1642"/>
      <c r="K4" s="1635"/>
      <c r="L4" s="1117" t="str">
        <f>IF(ISNUMBER(FIND("比较法",C4)),"比较法",IF(ISNUMBER(FIND("成本法",C4)),"成本法",IF(ISNUMBER(FIND("剩余法",C4)),"剩余法",IF(ISNUMBER(FIND("收益法",C4)),"收益法","基准地价系数修正法"))))</f>
        <v>比较法</v>
      </c>
      <c r="M4" s="865"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4.25">
      <c r="A5" s="3603" t="s">
        <v>268</v>
      </c>
      <c r="B5" s="3632">
        <v>25</v>
      </c>
      <c r="C5" s="3630"/>
      <c r="D5" s="3634"/>
      <c r="E5" s="240" t="s">
        <v>269</v>
      </c>
      <c r="F5" s="241"/>
      <c r="G5" s="241"/>
      <c r="H5" s="241"/>
      <c r="I5" s="242"/>
      <c r="J5" s="1642"/>
      <c r="K5" s="1635"/>
      <c r="L5" s="1635"/>
      <c r="M5" s="1635"/>
      <c r="N5" s="1635"/>
      <c r="O5" s="1635"/>
      <c r="P5" s="1635"/>
      <c r="Q5" s="1635"/>
      <c r="R5" s="1635"/>
      <c r="S5" s="1635"/>
      <c r="T5" s="1635"/>
      <c r="U5" s="1635"/>
      <c r="V5" s="1635"/>
    </row>
    <row r="6" spans="1:22" ht="14.25">
      <c r="A6" s="3603"/>
      <c r="B6" s="3632"/>
      <c r="C6" s="3633"/>
      <c r="D6" s="3634"/>
      <c r="E6" s="240" t="s">
        <v>270</v>
      </c>
      <c r="F6" s="241"/>
      <c r="G6" s="241"/>
      <c r="H6" s="241"/>
      <c r="I6" s="242"/>
      <c r="J6" s="1642"/>
      <c r="K6" s="1635"/>
      <c r="L6" s="1635"/>
      <c r="M6" s="1635"/>
      <c r="N6" s="1635"/>
      <c r="O6" s="1635"/>
      <c r="P6" s="1635"/>
      <c r="Q6" s="1635"/>
      <c r="R6" s="1635"/>
      <c r="S6" s="1635"/>
      <c r="T6" s="1635"/>
      <c r="U6" s="1635"/>
      <c r="V6" s="1635"/>
    </row>
    <row r="7" spans="1:22" ht="14.25">
      <c r="A7" s="3603"/>
      <c r="B7" s="3632"/>
      <c r="C7" s="3631"/>
      <c r="D7" s="3634"/>
      <c r="E7" s="240" t="s">
        <v>271</v>
      </c>
      <c r="F7" s="241"/>
      <c r="G7" s="241"/>
      <c r="H7" s="241"/>
      <c r="I7" s="242"/>
      <c r="J7" s="1642"/>
      <c r="K7" s="1635"/>
      <c r="L7" s="1635"/>
      <c r="M7" s="1635"/>
      <c r="N7" s="1635"/>
      <c r="O7" s="1635"/>
      <c r="P7" s="1635"/>
      <c r="Q7" s="1635"/>
      <c r="R7" s="1635"/>
      <c r="S7" s="1635"/>
      <c r="T7" s="1635"/>
      <c r="U7" s="1635"/>
      <c r="V7" s="1635"/>
    </row>
    <row r="8" spans="1:22" ht="14.25">
      <c r="A8" s="3603" t="s">
        <v>272</v>
      </c>
      <c r="B8" s="3632">
        <v>15</v>
      </c>
      <c r="C8" s="3630"/>
      <c r="D8" s="3634"/>
      <c r="E8" s="240" t="s">
        <v>273</v>
      </c>
      <c r="F8" s="241"/>
      <c r="G8" s="241"/>
      <c r="H8" s="241"/>
      <c r="I8" s="242"/>
      <c r="J8" s="1642"/>
      <c r="K8" s="1635"/>
      <c r="L8" s="1635"/>
      <c r="M8" s="1635"/>
      <c r="N8" s="1635"/>
      <c r="O8" s="1635"/>
      <c r="P8" s="1635"/>
      <c r="Q8" s="1635"/>
      <c r="R8" s="1635"/>
      <c r="S8" s="1635"/>
      <c r="T8" s="1635"/>
      <c r="U8" s="1635"/>
      <c r="V8" s="1635"/>
    </row>
    <row r="9" spans="1:22" ht="14.25">
      <c r="A9" s="3603"/>
      <c r="B9" s="3632"/>
      <c r="C9" s="3631"/>
      <c r="D9" s="3634"/>
      <c r="E9" s="240" t="s">
        <v>274</v>
      </c>
      <c r="F9" s="241"/>
      <c r="G9" s="241"/>
      <c r="H9" s="241"/>
      <c r="I9" s="242"/>
      <c r="J9" s="1642"/>
      <c r="K9" s="1635"/>
      <c r="L9" s="1635"/>
      <c r="M9" s="1635"/>
      <c r="N9" s="1635"/>
      <c r="O9" s="1635"/>
      <c r="P9" s="1635"/>
      <c r="Q9" s="1635"/>
      <c r="R9" s="1635"/>
      <c r="S9" s="1635"/>
      <c r="T9" s="1635"/>
      <c r="U9" s="1635"/>
      <c r="V9" s="1635"/>
    </row>
    <row r="10" spans="1:22" ht="14.25">
      <c r="A10" s="3603" t="s">
        <v>275</v>
      </c>
      <c r="B10" s="3632">
        <v>15</v>
      </c>
      <c r="C10" s="3630"/>
      <c r="D10" s="3634"/>
      <c r="E10" s="240" t="s">
        <v>276</v>
      </c>
      <c r="F10" s="241"/>
      <c r="G10" s="241"/>
      <c r="H10" s="241"/>
      <c r="I10" s="242"/>
      <c r="J10" s="1642"/>
      <c r="K10" s="1635"/>
      <c r="L10" s="1635"/>
      <c r="M10" s="1635"/>
      <c r="N10" s="1635"/>
      <c r="O10" s="1635"/>
      <c r="P10" s="1635"/>
      <c r="Q10" s="1635"/>
      <c r="R10" s="1635"/>
      <c r="S10" s="1635"/>
      <c r="T10" s="1635"/>
      <c r="U10" s="1635"/>
      <c r="V10" s="1635"/>
    </row>
    <row r="11" spans="1:22" ht="14.25">
      <c r="A11" s="3603"/>
      <c r="B11" s="3632"/>
      <c r="C11" s="3631"/>
      <c r="D11" s="3634"/>
      <c r="E11" s="240" t="s">
        <v>277</v>
      </c>
      <c r="F11" s="241"/>
      <c r="G11" s="241"/>
      <c r="H11" s="241"/>
      <c r="I11" s="242"/>
      <c r="J11" s="1642"/>
      <c r="K11" s="1635"/>
      <c r="L11" s="1635"/>
      <c r="M11" s="1635"/>
      <c r="N11" s="1635"/>
      <c r="O11" s="1635"/>
      <c r="P11" s="1635"/>
      <c r="Q11" s="1635"/>
      <c r="R11" s="1635"/>
      <c r="S11" s="1635"/>
      <c r="T11" s="1635"/>
      <c r="U11" s="1635"/>
      <c r="V11" s="1635"/>
    </row>
    <row r="12" spans="1:22" ht="14.25">
      <c r="A12" s="3603" t="s">
        <v>278</v>
      </c>
      <c r="B12" s="3632">
        <v>15</v>
      </c>
      <c r="C12" s="3630"/>
      <c r="D12" s="3634"/>
      <c r="E12" s="240" t="s">
        <v>279</v>
      </c>
      <c r="F12" s="241"/>
      <c r="G12" s="241"/>
      <c r="H12" s="241"/>
      <c r="I12" s="242"/>
      <c r="J12" s="1642"/>
      <c r="K12" s="1635"/>
      <c r="L12" s="1635"/>
      <c r="M12" s="1635"/>
      <c r="N12" s="1635"/>
      <c r="O12" s="1635"/>
      <c r="P12" s="1635"/>
      <c r="Q12" s="1635"/>
      <c r="R12" s="1635"/>
      <c r="S12" s="1635"/>
      <c r="T12" s="1635"/>
      <c r="U12" s="1635"/>
      <c r="V12" s="1635"/>
    </row>
    <row r="13" spans="1:22" ht="14.25">
      <c r="A13" s="3603"/>
      <c r="B13" s="3632"/>
      <c r="C13" s="3631"/>
      <c r="D13" s="3634"/>
      <c r="E13" s="240" t="s">
        <v>280</v>
      </c>
      <c r="F13" s="241"/>
      <c r="G13" s="241"/>
      <c r="H13" s="241"/>
      <c r="I13" s="242"/>
      <c r="J13" s="1642"/>
      <c r="K13" s="1635"/>
      <c r="L13" s="1635"/>
      <c r="M13" s="1635"/>
      <c r="N13" s="1635"/>
      <c r="O13" s="1635"/>
      <c r="P13" s="1635"/>
      <c r="Q13" s="1635"/>
      <c r="R13" s="1635"/>
      <c r="S13" s="1635"/>
      <c r="T13" s="1635"/>
      <c r="U13" s="1635"/>
      <c r="V13" s="1635"/>
    </row>
    <row r="14" spans="1:22" ht="14.25">
      <c r="A14" s="3603" t="s">
        <v>281</v>
      </c>
      <c r="B14" s="3632">
        <v>30</v>
      </c>
      <c r="C14" s="3630">
        <v>5</v>
      </c>
      <c r="D14" s="3634">
        <v>5</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603"/>
      <c r="B15" s="3632"/>
      <c r="C15" s="3633"/>
      <c r="D15" s="3634"/>
      <c r="E15" s="240" t="s">
        <v>283</v>
      </c>
      <c r="F15" s="241"/>
      <c r="G15" s="241"/>
      <c r="H15" s="241"/>
      <c r="I15" s="242"/>
      <c r="J15" s="1642"/>
      <c r="K15" s="1635"/>
      <c r="L15" s="1635"/>
      <c r="M15" s="1635"/>
      <c r="N15" s="1635"/>
      <c r="O15" s="1635"/>
      <c r="P15" s="1635"/>
      <c r="Q15" s="1635"/>
      <c r="R15" s="1635"/>
      <c r="S15" s="1635"/>
      <c r="T15" s="1635"/>
      <c r="U15" s="1635"/>
      <c r="V15" s="1635"/>
    </row>
    <row r="16" spans="1:22" ht="14.25">
      <c r="A16" s="3603"/>
      <c r="B16" s="3632"/>
      <c r="C16" s="3631"/>
      <c r="D16" s="3634"/>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4"/>
      <c r="C17" s="244">
        <f>SUM(C5:C16)</f>
        <v>5</v>
      </c>
      <c r="D17" s="244">
        <f>SUM(D5:D16)</f>
        <v>5</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5" t="s">
        <v>286</v>
      </c>
      <c r="B18" s="95"/>
      <c r="C18" s="246">
        <f>ROUND(C17/SUM(C17:D17),2)</f>
        <v>0.5</v>
      </c>
      <c r="D18" s="246">
        <f>1-C18</f>
        <v>0.5</v>
      </c>
      <c r="E18" s="3635" t="s">
        <v>2252</v>
      </c>
      <c r="F18" s="3636"/>
      <c r="G18" s="3636"/>
      <c r="H18" s="3636"/>
      <c r="I18" s="3636"/>
      <c r="J18" s="1635"/>
      <c r="K18" s="3454" t="s">
        <v>3681</v>
      </c>
      <c r="L18" s="3454" t="s">
        <v>3690</v>
      </c>
      <c r="M18" s="3454" t="s">
        <v>3691</v>
      </c>
      <c r="N18" s="1635"/>
      <c r="O18" s="1635"/>
      <c r="P18" s="1635"/>
      <c r="Q18" s="1635"/>
      <c r="R18" s="1635"/>
      <c r="S18" s="1635"/>
      <c r="T18" s="1635"/>
      <c r="U18" s="1635"/>
      <c r="V18" s="1635"/>
    </row>
    <row r="19" spans="1:22" ht="15">
      <c r="A19" s="247" t="s">
        <v>287</v>
      </c>
      <c r="B19" s="248" t="s">
        <v>288</v>
      </c>
      <c r="C19" s="249">
        <f ca="1">SUMIF(INDIRECT("'"&amp;C4&amp;"'"&amp;"!A:A"),结果表!B19,INDIRECT("'"&amp;C4&amp;"'"&amp;"!B:B"))</f>
        <v>25142</v>
      </c>
      <c r="D19" s="250">
        <f ca="1">SUMIF(INDIRECT("'"&amp;D4&amp;"'"&amp;"!A:A"),结果表!B19,INDIRECT("'"&amp;D4&amp;"'"&amp;"!B:B"))</f>
        <v>24773</v>
      </c>
      <c r="E19" s="247" t="s">
        <v>289</v>
      </c>
      <c r="F19" s="248" t="s">
        <v>288</v>
      </c>
      <c r="G19" s="251">
        <f ca="1">ROUND(C19*$C$18+D19*$D$18,0)</f>
        <v>24958</v>
      </c>
      <c r="H19" s="252" t="s">
        <v>290</v>
      </c>
      <c r="I19" s="286"/>
      <c r="J19" s="1635"/>
      <c r="K19" s="3454">
        <f>工规面积指标!D4</f>
        <v>24600</v>
      </c>
      <c r="L19" s="1635">
        <f>工规面积指标!D5</f>
        <v>12300</v>
      </c>
      <c r="M19" s="1635">
        <f>工规面积指标!D6+工规面积指标!E6</f>
        <v>13050</v>
      </c>
      <c r="N19" s="1635"/>
      <c r="O19" s="1635"/>
      <c r="P19" s="1635"/>
      <c r="Q19" s="1635"/>
      <c r="R19" s="1635"/>
      <c r="S19" s="1635"/>
      <c r="T19" s="1635"/>
      <c r="U19" s="1635"/>
      <c r="V19" s="1635"/>
    </row>
    <row r="20" spans="1:22" ht="15">
      <c r="A20" s="253"/>
      <c r="B20" s="101" t="s">
        <v>291</v>
      </c>
      <c r="C20" s="254">
        <f ca="1">SUMIF(INDIRECT("'"&amp;C4&amp;"'"&amp;"!A:A"),结果表!B20,INDIRECT("'"&amp;C4&amp;"'"&amp;"!B:B"))</f>
        <v>8760</v>
      </c>
      <c r="D20" s="255">
        <f ca="1">SUMIF(INDIRECT("'"&amp;D4&amp;"'"&amp;"!A:A"),结果表!B20,INDIRECT("'"&amp;D4&amp;"'"&amp;"!B:B"))</f>
        <v>8632</v>
      </c>
      <c r="E20" s="253"/>
      <c r="F20" s="101" t="s">
        <v>291</v>
      </c>
      <c r="G20" s="256">
        <f ca="1">ROUND(C20*$C$18+D20*$D$18,0)</f>
        <v>8696</v>
      </c>
      <c r="H20" s="257" t="s">
        <v>292</v>
      </c>
      <c r="I20" s="286"/>
      <c r="J20" s="1635"/>
      <c r="K20" s="1635"/>
      <c r="L20" s="1635"/>
      <c r="M20" s="1635"/>
      <c r="N20" s="1635"/>
      <c r="O20" s="1635"/>
      <c r="P20" s="1635"/>
      <c r="Q20" s="1635"/>
      <c r="R20" s="1635"/>
      <c r="S20" s="1635"/>
      <c r="T20" s="1635"/>
      <c r="U20" s="1635"/>
      <c r="V20" s="1635"/>
    </row>
    <row r="21" spans="1:22" ht="15" customHeight="1">
      <c r="A21" s="253"/>
      <c r="B21" s="105" t="s">
        <v>293</v>
      </c>
      <c r="C21" s="258">
        <f ca="1">SUMIF(INDIRECT("'"&amp;C4&amp;"'"&amp;"!A:A"),结果表!B21,INDIRECT("'"&amp;C4&amp;"'"&amp;"!B:B"))</f>
        <v>19343</v>
      </c>
      <c r="D21" s="134">
        <f ca="1">SUMIF(INDIRECT("'"&amp;D4&amp;"'"&amp;"!A:A"),结果表!B21,INDIRECT("'"&amp;D4&amp;"'"&amp;"!B:B"))</f>
        <v>19059</v>
      </c>
      <c r="E21" s="253"/>
      <c r="F21" s="105" t="s">
        <v>293</v>
      </c>
      <c r="G21" s="259">
        <f ca="1">ROUND(C21*$C$18+D21*$D$18,0)</f>
        <v>19201</v>
      </c>
      <c r="H21" s="257" t="s">
        <v>292</v>
      </c>
      <c r="I21" s="286"/>
      <c r="J21" s="1635"/>
      <c r="K21" s="1635"/>
      <c r="L21" s="1635"/>
      <c r="M21" s="1635"/>
      <c r="N21" s="1635"/>
      <c r="O21" s="1635"/>
      <c r="P21" s="1635"/>
      <c r="Q21" s="1635"/>
      <c r="R21" s="1635"/>
      <c r="S21" s="1635"/>
      <c r="T21" s="1635"/>
      <c r="U21" s="1635"/>
      <c r="V21" s="1635"/>
    </row>
    <row r="22" spans="1:22" ht="15.75" thickBot="1">
      <c r="A22" s="116" t="s">
        <v>294</v>
      </c>
      <c r="B22" s="1059"/>
      <c r="C22" s="240"/>
      <c r="D22" s="260">
        <f ca="1">IF(C19&lt;D19,D19/C19-1,C19/D19-1)</f>
        <v>1.489524885964566E-2</v>
      </c>
      <c r="E22" s="261"/>
      <c r="F22" s="262"/>
      <c r="G22" s="263">
        <f ca="1">ROUND(G19/('数据-汇总表'!D3/666.67),0)</f>
        <v>1280</v>
      </c>
      <c r="H22" s="264" t="s">
        <v>295</v>
      </c>
      <c r="I22" s="286"/>
      <c r="J22" s="1635"/>
      <c r="K22" s="1635">
        <f ca="1">G19-SUM(E37:E39)</f>
        <v>24789</v>
      </c>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609"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610"/>
      <c r="B25" s="1123" t="s">
        <v>297</v>
      </c>
      <c r="C25" s="267">
        <f>IF(B30=0,0,C30)</f>
        <v>0</v>
      </c>
      <c r="D25" s="268"/>
      <c r="E25" s="286"/>
      <c r="F25" s="286"/>
      <c r="G25" s="286"/>
      <c r="H25" s="286"/>
      <c r="I25" s="286"/>
      <c r="J25" s="1635"/>
      <c r="K25" s="1060" t="str">
        <f ca="1">项目基本情况!A17&amp;"国有建设用地使用权价格："&amp;O38&amp;"万元"</f>
        <v>出让国有建设用地使用权价格：24958万元</v>
      </c>
      <c r="L25" s="1061"/>
      <c r="M25" s="1061"/>
      <c r="N25" s="1061"/>
      <c r="O25" s="1062"/>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3" t="str">
        <f ca="1">"大写金额：人民币"&amp;NUMBERSTRING(INT(O38*10000),2)&amp;"元整"</f>
        <v>大写金额：人民币贰亿肆仟玖佰伍拾捌万元整</v>
      </c>
      <c r="L26" s="1059"/>
      <c r="M26" s="1059"/>
      <c r="N26" s="1059"/>
      <c r="O26" s="257"/>
      <c r="P26" s="1635"/>
      <c r="Q26" s="1635"/>
      <c r="R26" s="1635"/>
      <c r="S26" s="1635"/>
      <c r="T26" s="1635"/>
      <c r="U26" s="1635"/>
      <c r="V26" s="1635"/>
    </row>
    <row r="27" spans="1:22" ht="18">
      <c r="A27" s="269"/>
      <c r="B27" s="270"/>
      <c r="C27" s="270"/>
      <c r="D27" s="271"/>
      <c r="E27" s="286"/>
      <c r="F27" s="286"/>
      <c r="G27" s="286"/>
      <c r="H27" s="286"/>
      <c r="I27" s="286"/>
      <c r="J27" s="1635"/>
      <c r="K27" s="1063" t="str">
        <f ca="1">"单位面积地价："&amp;M38&amp;"元/平方米"</f>
        <v>单位面积地价：19202元/平方米</v>
      </c>
      <c r="L27" s="1059"/>
      <c r="M27" s="1059"/>
      <c r="N27" s="1059"/>
      <c r="O27" s="257"/>
      <c r="P27" s="1635"/>
      <c r="Q27" s="1635"/>
      <c r="R27" s="1635"/>
      <c r="S27" s="1635"/>
      <c r="T27" s="1635"/>
      <c r="U27" s="1635"/>
      <c r="V27" s="1635"/>
    </row>
    <row r="28" spans="1:22" ht="18.75" customHeight="1">
      <c r="A28" s="269"/>
      <c r="B28" s="270"/>
      <c r="C28" s="270"/>
      <c r="D28" s="271"/>
      <c r="E28" s="286"/>
      <c r="F28" s="286"/>
      <c r="G28" s="286"/>
      <c r="H28" s="286"/>
      <c r="I28" s="286"/>
      <c r="J28" s="1635"/>
      <c r="K28" s="1063" t="str">
        <f ca="1">"楼面地价："&amp;N38&amp;"元/平方米"</f>
        <v>楼面地价：8696元/平方米</v>
      </c>
      <c r="L28" s="1059"/>
      <c r="M28" s="1059"/>
      <c r="N28" s="1059"/>
      <c r="O28" s="257"/>
      <c r="P28" s="1635"/>
      <c r="V28" s="1635"/>
    </row>
    <row r="29" spans="1:22" ht="18">
      <c r="A29" s="269"/>
      <c r="B29" s="270"/>
      <c r="C29" s="270"/>
      <c r="D29" s="271"/>
      <c r="E29" s="286"/>
      <c r="F29" s="286"/>
      <c r="G29" s="286"/>
      <c r="H29" s="286"/>
      <c r="I29" s="286"/>
      <c r="J29" s="1635"/>
      <c r="K29" s="1063" t="str">
        <f ca="1">IF(OR(项目基本情况!E8="抵押价格",项目基本情况!E8="已注销及未注销"),"抵押价格："&amp;O39&amp;"万元","——")</f>
        <v>抵押价格：11739万元</v>
      </c>
      <c r="L29" s="1059"/>
      <c r="M29" s="1059"/>
      <c r="N29" s="1059"/>
      <c r="O29" s="257"/>
      <c r="P29" s="1635"/>
      <c r="V29" s="1635"/>
    </row>
    <row r="30" spans="1:22" ht="18.75" thickBot="1">
      <c r="A30" s="2364" t="s">
        <v>302</v>
      </c>
      <c r="B30" s="284"/>
      <c r="C30" s="284"/>
      <c r="D30" s="285"/>
      <c r="E30" s="2538" t="s">
        <v>2253</v>
      </c>
      <c r="F30" s="286"/>
      <c r="G30" s="286"/>
      <c r="H30" s="286"/>
      <c r="I30" s="286"/>
      <c r="J30" s="1635"/>
      <c r="K30" s="1063" t="str">
        <f ca="1">IF(K29="——","——","大写金额：人民币"&amp;NUMBERSTRING(INT(O39*10000),2)&amp;"元整")</f>
        <v>大写金额：人民币壹亿壹仟柒佰叁拾玖万元整</v>
      </c>
      <c r="L30" s="1059"/>
      <c r="M30" s="1059"/>
      <c r="N30" s="1059"/>
      <c r="O30" s="257"/>
      <c r="P30" s="1635"/>
      <c r="V30" s="1635"/>
    </row>
    <row r="31" spans="1:22" ht="24" customHeight="1" thickBot="1">
      <c r="A31" s="3637" t="s">
        <v>2254</v>
      </c>
      <c r="B31" s="3637"/>
      <c r="C31" s="3637"/>
      <c r="D31" s="3637"/>
      <c r="E31" s="3637"/>
      <c r="F31" s="3637"/>
      <c r="G31" s="3637"/>
      <c r="H31" s="3637"/>
      <c r="I31" s="3637"/>
      <c r="J31" s="1635"/>
      <c r="K31" s="1979" t="str">
        <f>IF(项目基本情况!E8="抵押价格","——","抵押担保权已注销时的抵押价格："&amp;O40&amp;"万元")</f>
        <v>——</v>
      </c>
      <c r="L31" s="1976"/>
      <c r="M31" s="1976"/>
      <c r="N31" s="1976"/>
      <c r="O31" s="1977"/>
      <c r="P31" s="1635"/>
      <c r="V31" s="1635"/>
    </row>
    <row r="32" spans="1:22" ht="19.5" thickTop="1" thickBot="1">
      <c r="A32" s="253" t="s">
        <v>303</v>
      </c>
      <c r="B32" s="2539" t="s">
        <v>1221</v>
      </c>
      <c r="C32" s="245">
        <f ca="1">G19-C24</f>
        <v>24958</v>
      </c>
      <c r="D32" s="2540" t="s">
        <v>1222</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1" t="s">
        <v>1223</v>
      </c>
      <c r="C33" s="243">
        <f ca="1">ROUND(C32*10000/'数据-汇总表'!E3,0)</f>
        <v>8696</v>
      </c>
      <c r="D33" s="1172" t="s">
        <v>1224</v>
      </c>
      <c r="E33" s="3609" t="s">
        <v>304</v>
      </c>
      <c r="F33" s="272" t="s">
        <v>305</v>
      </c>
      <c r="G33" s="273"/>
      <c r="H33" s="893"/>
      <c r="I33" s="1064"/>
      <c r="J33" s="1635"/>
      <c r="K33" s="1063" t="str">
        <f>IF(项目基本情况!E9="——","——","抵押净值："&amp;C46&amp;"万元")</f>
        <v>抵押净值：——万元</v>
      </c>
      <c r="L33" s="1059"/>
      <c r="M33" s="1059"/>
      <c r="N33" s="1059"/>
      <c r="O33" s="257"/>
      <c r="P33" s="1635"/>
      <c r="V33" s="1635"/>
    </row>
    <row r="34" spans="1:22" ht="18.75" thickBot="1">
      <c r="A34" s="276"/>
      <c r="B34" s="97" t="s">
        <v>1225</v>
      </c>
      <c r="C34" s="243">
        <f ca="1">ROUND(C32*10000/'数据-汇总表'!D3,0)</f>
        <v>19202</v>
      </c>
      <c r="D34" s="1172" t="s">
        <v>1224</v>
      </c>
      <c r="E34" s="3653"/>
      <c r="F34" s="117" t="s">
        <v>307</v>
      </c>
      <c r="G34" s="275"/>
      <c r="H34" s="95"/>
      <c r="I34" s="286"/>
      <c r="J34" s="1635"/>
      <c r="K34" s="1066" t="e">
        <f>IF(K33="——","——","大写金额：人民币"&amp;NUMBERSTRING(INT(O41*10000),2)&amp;"元整")</f>
        <v>#VALUE!</v>
      </c>
      <c r="L34" s="1067"/>
      <c r="M34" s="1067"/>
      <c r="N34" s="1067"/>
      <c r="O34" s="1068"/>
      <c r="P34" s="1635"/>
      <c r="V34" s="1635"/>
    </row>
    <row r="35" spans="1:22" ht="15.75" thickBot="1">
      <c r="A35" s="261"/>
      <c r="B35" s="1173"/>
      <c r="C35" s="1174">
        <f ca="1">ROUND(C32/('数据-汇总表'!D3/666.67),0)</f>
        <v>1280</v>
      </c>
      <c r="D35" s="1175" t="s">
        <v>1226</v>
      </c>
      <c r="E35" s="3654"/>
      <c r="F35" s="277" t="s">
        <v>308</v>
      </c>
      <c r="G35" s="895">
        <f>E37+E38+E39+M19</f>
        <v>13219</v>
      </c>
      <c r="H35" s="894" t="s">
        <v>309</v>
      </c>
      <c r="I35" s="286"/>
      <c r="J35" s="1635"/>
      <c r="K35" s="3627" t="s">
        <v>316</v>
      </c>
      <c r="L35" s="3627" t="s">
        <v>317</v>
      </c>
      <c r="M35" s="1069" t="s">
        <v>318</v>
      </c>
      <c r="N35" s="3627" t="s">
        <v>319</v>
      </c>
      <c r="O35" s="3627" t="s">
        <v>320</v>
      </c>
      <c r="P35" s="1635"/>
      <c r="V35" s="1635"/>
    </row>
    <row r="36" spans="1:22" ht="16.5" customHeight="1">
      <c r="A36" s="279" t="s">
        <v>310</v>
      </c>
      <c r="B36" s="280" t="s">
        <v>299</v>
      </c>
      <c r="C36" s="281" t="s">
        <v>311</v>
      </c>
      <c r="D36" s="281" t="s">
        <v>312</v>
      </c>
      <c r="E36" s="282" t="s">
        <v>313</v>
      </c>
      <c r="F36" s="286"/>
      <c r="G36" s="286"/>
      <c r="H36" s="286"/>
      <c r="I36" s="286"/>
      <c r="J36" s="1643"/>
      <c r="K36" s="3628"/>
      <c r="L36" s="3628"/>
      <c r="M36" s="1071" t="s">
        <v>321</v>
      </c>
      <c r="N36" s="3628"/>
      <c r="O36" s="3628"/>
      <c r="P36" s="1635"/>
      <c r="V36" s="1635"/>
    </row>
    <row r="37" spans="1:22" ht="16.5" customHeight="1" thickBot="1">
      <c r="A37" s="1065" t="s">
        <v>314</v>
      </c>
      <c r="B37" s="269">
        <f>'比较法-住宅、综合'!E62</f>
        <v>104.29</v>
      </c>
      <c r="C37" s="270">
        <f>ROUND(12002*0.2*25%,0)</f>
        <v>600</v>
      </c>
      <c r="D37" s="270">
        <v>1.0305</v>
      </c>
      <c r="E37" s="271">
        <f>ROUND((C37*B37*D37/10000),0)</f>
        <v>6</v>
      </c>
      <c r="F37" s="286"/>
      <c r="G37" s="286"/>
      <c r="H37" s="286"/>
      <c r="I37" s="286"/>
      <c r="J37" s="1643"/>
      <c r="K37" s="3629"/>
      <c r="L37" s="3629"/>
      <c r="M37" s="1072"/>
      <c r="N37" s="3629"/>
      <c r="O37" s="3629"/>
      <c r="P37" s="1635"/>
      <c r="V37" s="1635"/>
    </row>
    <row r="38" spans="1:22" ht="16.5" customHeight="1" thickBot="1">
      <c r="A38" s="1065" t="s">
        <v>315</v>
      </c>
      <c r="B38" s="269">
        <f>'比较法-住宅、综合'!E63</f>
        <v>98.29</v>
      </c>
      <c r="C38" s="270">
        <f>ROUND(12002*0.2*25%,0)</f>
        <v>600</v>
      </c>
      <c r="D38" s="270">
        <v>1.0305</v>
      </c>
      <c r="E38" s="271">
        <f>ROUND((C38*B38*D38/10000),0)</f>
        <v>6</v>
      </c>
      <c r="F38" s="286"/>
      <c r="G38" s="286"/>
      <c r="H38" s="286"/>
      <c r="I38" s="286"/>
      <c r="J38" s="1643"/>
      <c r="K38" s="1073">
        <f>'数据-汇总表'!D3</f>
        <v>12997.77</v>
      </c>
      <c r="L38" s="1074">
        <f>'数据-汇总表'!E3</f>
        <v>28699.425200000001</v>
      </c>
      <c r="M38" s="1074">
        <f ca="1">C34</f>
        <v>19202</v>
      </c>
      <c r="N38" s="1074">
        <f ca="1">C33</f>
        <v>8696</v>
      </c>
      <c r="O38" s="1075">
        <f ca="1">C32</f>
        <v>24958</v>
      </c>
      <c r="P38" s="1635"/>
      <c r="V38" s="1635"/>
    </row>
    <row r="39" spans="1:22" ht="16.5" customHeight="1" thickBot="1">
      <c r="A39" s="1070"/>
      <c r="B39" s="283">
        <f>'比较法-住宅、综合'!E64</f>
        <v>5075.8500000000004</v>
      </c>
      <c r="C39" s="284">
        <f>ROUND(12002*0.1*25%,0)</f>
        <v>300</v>
      </c>
      <c r="D39" s="270">
        <v>1.0305</v>
      </c>
      <c r="E39" s="271">
        <f>ROUND((C39*B39*D39/10000),0)</f>
        <v>157</v>
      </c>
      <c r="F39" s="286"/>
      <c r="G39" s="286"/>
      <c r="H39" s="286"/>
      <c r="I39" s="286"/>
      <c r="J39" s="1643"/>
      <c r="K39" s="3667" t="str">
        <f>MID(A44,3,LEN(A44)-2)</f>
        <v>抵押价格</v>
      </c>
      <c r="L39" s="3668"/>
      <c r="M39" s="3668"/>
      <c r="N39" s="3669"/>
      <c r="O39" s="1177">
        <f ca="1">C44</f>
        <v>11739</v>
      </c>
      <c r="P39" s="1635"/>
      <c r="V39" s="1635"/>
    </row>
    <row r="40" spans="1:22" ht="19.5" thickBot="1">
      <c r="A40" s="94" t="s">
        <v>810</v>
      </c>
      <c r="B40" s="286"/>
      <c r="C40" s="286"/>
      <c r="D40" s="286"/>
      <c r="E40" s="286"/>
      <c r="F40" s="286"/>
      <c r="G40" s="286"/>
      <c r="H40" s="286"/>
      <c r="I40" s="286"/>
      <c r="J40" s="1643"/>
      <c r="K40" s="3667" t="str">
        <f>MID(A45,3,LEN(A45)-2)</f>
        <v/>
      </c>
      <c r="L40" s="3668"/>
      <c r="M40" s="3668"/>
      <c r="N40" s="3669"/>
      <c r="O40" s="1177" t="str">
        <f>C45</f>
        <v>——</v>
      </c>
      <c r="P40" s="1635"/>
      <c r="V40" s="1635"/>
    </row>
    <row r="41" spans="1:22" ht="16.5" thickBot="1">
      <c r="A41" s="287" t="s">
        <v>322</v>
      </c>
      <c r="B41" s="288"/>
      <c r="C41" s="289" t="s">
        <v>323</v>
      </c>
      <c r="D41" s="290" t="s">
        <v>324</v>
      </c>
      <c r="E41" s="290" t="s">
        <v>325</v>
      </c>
      <c r="F41" s="291" t="s">
        <v>326</v>
      </c>
      <c r="G41" s="286"/>
      <c r="H41" s="286"/>
      <c r="I41" s="286"/>
      <c r="J41" s="1643"/>
      <c r="K41" s="3667" t="str">
        <f>MID(A46,3,LEN(A46)-2)</f>
        <v/>
      </c>
      <c r="L41" s="3668"/>
      <c r="M41" s="3668"/>
      <c r="N41" s="3669"/>
      <c r="O41" s="1177" t="str">
        <f>C46</f>
        <v>——</v>
      </c>
      <c r="P41" s="1635"/>
      <c r="V41" s="1635"/>
    </row>
    <row r="42" spans="1:22" ht="29.25">
      <c r="A42" s="3611" t="s">
        <v>1585</v>
      </c>
      <c r="B42" s="3612"/>
      <c r="C42" s="243">
        <f ca="1">C32</f>
        <v>24958</v>
      </c>
      <c r="D42" s="292">
        <f ca="1">C33</f>
        <v>8696</v>
      </c>
      <c r="E42" s="292">
        <f ca="1">C34</f>
        <v>19202</v>
      </c>
      <c r="F42" s="293">
        <f ca="1">C35</f>
        <v>1280</v>
      </c>
      <c r="G42" s="286"/>
      <c r="H42" s="286"/>
      <c r="I42" s="294"/>
      <c r="J42" s="1643"/>
      <c r="K42" s="1076" t="s">
        <v>327</v>
      </c>
      <c r="L42" s="1659" t="s">
        <v>328</v>
      </c>
      <c r="M42" s="1077" t="s">
        <v>329</v>
      </c>
      <c r="N42" s="1660" t="s">
        <v>330</v>
      </c>
      <c r="O42" s="1661" t="s">
        <v>331</v>
      </c>
      <c r="P42" s="1635"/>
      <c r="V42" s="1635"/>
    </row>
    <row r="43" spans="1:22" ht="30">
      <c r="A43" s="3622" t="s">
        <v>2011</v>
      </c>
      <c r="B43" s="3623"/>
      <c r="C43" s="243">
        <f>IF(H33="正常操作",G33+G34+G35,G34+G35)</f>
        <v>13219</v>
      </c>
      <c r="D43" s="292" t="s">
        <v>17</v>
      </c>
      <c r="E43" s="292" t="s">
        <v>18</v>
      </c>
      <c r="F43" s="293" t="s">
        <v>18</v>
      </c>
      <c r="G43" s="2170" t="s">
        <v>877</v>
      </c>
      <c r="H43" s="286"/>
      <c r="I43" s="294"/>
      <c r="J43" s="1643"/>
      <c r="K43" s="1078" t="str">
        <f>C4</f>
        <v>比较法-住宅、综合</v>
      </c>
      <c r="L43" s="1079">
        <f ca="1">IF(L42="估价结果/万元",C19,C20)</f>
        <v>25142</v>
      </c>
      <c r="M43" s="1080">
        <f>C18</f>
        <v>0.5</v>
      </c>
      <c r="N43" s="1081">
        <f ca="1">IF(N42="测算结果/万元",G19,G20)</f>
        <v>24958</v>
      </c>
      <c r="O43" s="1082">
        <f ca="1">IF(O42="最终结果/万元",C32,C33)</f>
        <v>24958</v>
      </c>
      <c r="P43" s="1635"/>
      <c r="V43" s="1635"/>
    </row>
    <row r="44" spans="1:22" ht="30.75" thickBot="1">
      <c r="A44" s="3611" t="str">
        <f>IF(OR(项目基本情况!E8="抵押价格",项目基本情况!E8="已注销及未注销"),"3.抵押价格","——")</f>
        <v>3.抵押价格</v>
      </c>
      <c r="B44" s="3612"/>
      <c r="C44" s="243">
        <f ca="1">IF(A44="——","——",C42-C43)</f>
        <v>11739</v>
      </c>
      <c r="D44" s="292">
        <f ca="1">ROUND(C44*10000/'数据-汇总表'!E3,0)</f>
        <v>4090</v>
      </c>
      <c r="E44" s="292">
        <f ca="1">ROUND(C44*10000/'数据-汇总表'!D3,0)</f>
        <v>9032</v>
      </c>
      <c r="F44" s="293">
        <f ca="1">ROUND(C44/('数据-汇总表'!D3/666.67),0)</f>
        <v>602</v>
      </c>
      <c r="G44" s="286"/>
      <c r="H44" s="286"/>
      <c r="I44" s="294"/>
      <c r="J44" s="1643"/>
      <c r="K44" s="1083" t="str">
        <f>D4</f>
        <v>剩余法-待开发</v>
      </c>
      <c r="L44" s="1084">
        <f ca="1">IF(L42="估价结果/万元",D19,D20)</f>
        <v>24773</v>
      </c>
      <c r="M44" s="1085">
        <f>D18</f>
        <v>0.5</v>
      </c>
      <c r="N44" s="1086"/>
      <c r="O44" s="1087"/>
      <c r="P44" s="1635"/>
      <c r="V44" s="1635"/>
    </row>
    <row r="45" spans="1:22" ht="15">
      <c r="A45" s="3617" t="str">
        <f>IF(项目基本情况!E8="已注销及未注销","4.抵押担保权已注销时的抵押价格",IF(项目基本情况!E8="已注销","3.抵押担保权已注销时的抵押价格","——"))</f>
        <v>——</v>
      </c>
      <c r="B45" s="3618"/>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613" t="str">
        <f>IF(项目基本情况!E9="抵押净值",IF(A45="——","4.抵押净值","5.抵押净值"),"——")</f>
        <v>——</v>
      </c>
      <c r="B46" s="3614"/>
      <c r="C46" s="295" t="str">
        <f>IF(A46="——","——",O79)</f>
        <v>——</v>
      </c>
      <c r="D46" s="292" t="e">
        <f>ROUND(C46*10000/'数据-汇总表'!E3,0)</f>
        <v>#VALUE!</v>
      </c>
      <c r="E46" s="292" t="e">
        <f>ROUND(C46*10000/'数据-汇总表'!D3,0)</f>
        <v>#VALUE!</v>
      </c>
      <c r="F46" s="293" t="e">
        <f>ROUND(C46/('数据-汇总表'!D3/666.67),0)</f>
        <v>#VALUE!</v>
      </c>
      <c r="G46" s="286"/>
      <c r="H46" s="286"/>
      <c r="I46" s="294"/>
      <c r="J46" s="1643"/>
      <c r="K46" s="1635"/>
      <c r="L46" s="1635"/>
      <c r="M46" s="1635"/>
      <c r="N46" s="1635"/>
      <c r="O46" s="1635"/>
      <c r="P46" s="1635"/>
      <c r="Q46" s="1635"/>
      <c r="R46" s="1635"/>
      <c r="S46" s="1635"/>
      <c r="T46" s="1635"/>
      <c r="U46" s="1635"/>
      <c r="V46" s="1635"/>
    </row>
    <row r="47" spans="1:22" ht="15.75">
      <c r="A47" s="296" t="s">
        <v>332</v>
      </c>
      <c r="B47" s="1088"/>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本次评估估价师知悉的法定优先受偿款为人民币13219万元整。</v>
      </c>
      <c r="L47" s="1635"/>
      <c r="M47" s="1635"/>
      <c r="N47" s="1635"/>
      <c r="O47" s="1635"/>
      <c r="P47" s="1635"/>
      <c r="Q47" s="1635"/>
      <c r="R47" s="1635"/>
      <c r="S47" s="1635"/>
      <c r="T47" s="1635"/>
      <c r="U47" s="1635"/>
      <c r="V47" s="1635"/>
    </row>
    <row r="48" spans="1:22" ht="12.75">
      <c r="A48" s="301">
        <v>1</v>
      </c>
      <c r="B48" s="302"/>
      <c r="C48" s="302"/>
      <c r="D48" s="15"/>
      <c r="E48" s="15"/>
      <c r="F48" s="15"/>
      <c r="G48" s="15"/>
      <c r="H48" s="52"/>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2"/>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2"/>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2"/>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6"/>
      <c r="E61" s="196"/>
      <c r="F61" s="233"/>
      <c r="G61" s="236"/>
      <c r="H61" s="236"/>
      <c r="I61" s="236"/>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61" t="s">
        <v>340</v>
      </c>
      <c r="B63" s="3662"/>
      <c r="C63" s="3663"/>
      <c r="D63" s="314">
        <f ca="1">ROUND(C42*F63,0)</f>
        <v>24958</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619" t="s">
        <v>344</v>
      </c>
      <c r="B64" s="3620"/>
      <c r="C64" s="3620"/>
      <c r="D64" s="3620"/>
      <c r="E64" s="3620"/>
      <c r="F64" s="3620"/>
      <c r="G64" s="3621"/>
      <c r="H64" s="1092"/>
      <c r="I64" s="865"/>
      <c r="J64" s="1637"/>
      <c r="K64" s="1300" t="s">
        <v>343</v>
      </c>
      <c r="L64" s="9"/>
      <c r="M64" s="9"/>
      <c r="N64" s="9"/>
      <c r="O64" s="9"/>
      <c r="P64" s="286"/>
      <c r="Q64" s="1635"/>
      <c r="R64" s="1635"/>
      <c r="S64" s="1635"/>
      <c r="T64" s="1635"/>
      <c r="U64" s="1635"/>
      <c r="V64" s="1635"/>
    </row>
    <row r="65" spans="1:22" ht="12" customHeight="1">
      <c r="A65" s="317" t="s">
        <v>346</v>
      </c>
      <c r="B65" s="318"/>
      <c r="C65" s="319"/>
      <c r="D65" s="320" t="s">
        <v>347</v>
      </c>
      <c r="E65" s="48" t="s">
        <v>348</v>
      </c>
      <c r="F65" s="321" t="s">
        <v>349</v>
      </c>
      <c r="G65" s="322" t="s">
        <v>350</v>
      </c>
      <c r="H65" s="1092"/>
      <c r="I65" s="865"/>
      <c r="J65" s="1637"/>
      <c r="K65" s="1093"/>
      <c r="L65" s="1094"/>
      <c r="M65" s="1094"/>
      <c r="N65" s="1124" t="s">
        <v>345</v>
      </c>
      <c r="O65" s="1125"/>
      <c r="P65" s="1126"/>
      <c r="Q65" s="1635"/>
      <c r="R65" s="1635"/>
      <c r="S65" s="1635"/>
      <c r="T65" s="1635"/>
      <c r="U65" s="1635"/>
      <c r="V65" s="1635"/>
    </row>
    <row r="66" spans="1:22" ht="25.5">
      <c r="A66" s="3615" t="s">
        <v>352</v>
      </c>
      <c r="B66" s="3616"/>
      <c r="C66" s="3616"/>
      <c r="D66" s="240">
        <f ca="1">IF(H66="情况1",0,IF(H66="情况2",D70,IF(H66="情况3",D71,IF(H66="情况4",D72))))</f>
        <v>1331</v>
      </c>
      <c r="E66" s="905" t="str">
        <f>IF(H66="情况4","(销售额-原购置价)×税（费）率","销售额×税（费）率")</f>
        <v>销售额×税（费）率</v>
      </c>
      <c r="F66" s="323">
        <f>IF(H66="情况1","免征",'数据-取费表'!B41)</f>
        <v>5.6000000000000001E-2</v>
      </c>
      <c r="G66" s="324" t="s">
        <v>353</v>
      </c>
      <c r="H66" s="173" t="s">
        <v>3387</v>
      </c>
      <c r="I66" s="1092"/>
      <c r="J66" s="1647"/>
      <c r="K66" s="1095">
        <v>1</v>
      </c>
      <c r="L66" s="3676" t="s">
        <v>351</v>
      </c>
      <c r="M66" s="3677"/>
      <c r="N66" s="1972"/>
      <c r="O66" s="1973"/>
      <c r="P66" s="1974"/>
      <c r="Q66" s="1635"/>
      <c r="R66" s="1635"/>
      <c r="S66" s="1635"/>
      <c r="T66" s="1635"/>
      <c r="U66" s="1635"/>
      <c r="V66" s="1635"/>
    </row>
    <row r="67" spans="1:22" ht="25.5" customHeight="1">
      <c r="A67" s="325" t="s">
        <v>355</v>
      </c>
      <c r="B67" s="3606" t="s">
        <v>356</v>
      </c>
      <c r="C67" s="3606"/>
      <c r="D67" s="326">
        <v>0</v>
      </c>
      <c r="E67" s="36" t="s">
        <v>357</v>
      </c>
      <c r="F67" s="57" t="s">
        <v>15</v>
      </c>
      <c r="G67" s="3664"/>
      <c r="H67" s="2541" t="s">
        <v>2255</v>
      </c>
      <c r="I67" s="2543"/>
      <c r="J67" s="1648"/>
      <c r="K67" s="1631">
        <v>2</v>
      </c>
      <c r="L67" s="3670" t="s">
        <v>354</v>
      </c>
      <c r="M67" s="3670"/>
      <c r="N67" s="1127">
        <f>'数据-取费表'!B2</f>
        <v>45615</v>
      </c>
      <c r="O67" s="1127"/>
      <c r="P67" s="1127"/>
      <c r="Q67" s="1635"/>
      <c r="R67" s="1635"/>
      <c r="S67" s="1635"/>
      <c r="T67" s="1635"/>
      <c r="U67" s="1635"/>
      <c r="V67" s="1635"/>
    </row>
    <row r="68" spans="1:22" ht="25.5" customHeight="1">
      <c r="A68" s="327"/>
      <c r="B68" s="3606" t="s">
        <v>359</v>
      </c>
      <c r="C68" s="3606"/>
      <c r="D68" s="328"/>
      <c r="E68" s="72"/>
      <c r="F68" s="329"/>
      <c r="G68" s="3665"/>
      <c r="H68" s="2542" t="s">
        <v>2256</v>
      </c>
      <c r="I68" s="2543"/>
      <c r="J68" s="1648"/>
      <c r="K68" s="1631">
        <v>3</v>
      </c>
      <c r="L68" s="3670" t="s">
        <v>358</v>
      </c>
      <c r="M68" s="3670"/>
      <c r="N68" s="1097">
        <f ca="1">C42</f>
        <v>24958</v>
      </c>
      <c r="O68" s="1097"/>
      <c r="P68" s="1097"/>
      <c r="Q68" s="1635"/>
      <c r="R68" s="1635"/>
      <c r="S68" s="1635"/>
      <c r="T68" s="1635"/>
      <c r="U68" s="1635"/>
      <c r="V68" s="1635"/>
    </row>
    <row r="69" spans="1:22" ht="23.45" customHeight="1">
      <c r="A69" s="330"/>
      <c r="B69" s="3606" t="s">
        <v>360</v>
      </c>
      <c r="C69" s="3606"/>
      <c r="D69" s="331"/>
      <c r="E69" s="68"/>
      <c r="F69" s="329"/>
      <c r="G69" s="3666"/>
      <c r="H69" s="2542" t="s">
        <v>2257</v>
      </c>
      <c r="I69" s="2543"/>
      <c r="J69" s="1648"/>
      <c r="K69" s="1098">
        <v>4</v>
      </c>
      <c r="L69" s="3680" t="s">
        <v>2156</v>
      </c>
      <c r="M69" s="3681"/>
      <c r="N69" s="1099">
        <f ca="1">C44</f>
        <v>11739</v>
      </c>
      <c r="O69" s="1099"/>
      <c r="P69" s="1099"/>
      <c r="Q69" s="1635"/>
      <c r="R69" s="1635"/>
      <c r="S69" s="1635"/>
      <c r="T69" s="1635"/>
      <c r="U69" s="1635"/>
      <c r="V69" s="1635"/>
    </row>
    <row r="70" spans="1:22" ht="24" customHeight="1">
      <c r="A70" s="332" t="s">
        <v>361</v>
      </c>
      <c r="B70" s="3606" t="s">
        <v>362</v>
      </c>
      <c r="C70" s="3606"/>
      <c r="D70" s="331">
        <f ca="1">ROUND(D63*'数据-取费表'!B41/(1+'数据-取费表'!C42),0)</f>
        <v>1331</v>
      </c>
      <c r="E70" s="14" t="s">
        <v>363</v>
      </c>
      <c r="F70" s="333">
        <f>'数据-取费表'!B41</f>
        <v>5.6000000000000001E-2</v>
      </c>
      <c r="G70" s="334"/>
      <c r="H70" s="286"/>
      <c r="I70" s="1096"/>
      <c r="J70" s="1648"/>
      <c r="K70" s="2332"/>
      <c r="L70" s="2333"/>
      <c r="M70" s="2333"/>
      <c r="N70" s="2334" t="s">
        <v>2160</v>
      </c>
      <c r="O70" s="2333"/>
      <c r="P70" s="2335"/>
      <c r="Q70" s="1635"/>
      <c r="R70" s="1635"/>
      <c r="S70" s="1635"/>
      <c r="T70" s="1635"/>
      <c r="U70" s="1635"/>
      <c r="V70" s="1635"/>
    </row>
    <row r="71" spans="1:22" ht="12" customHeight="1">
      <c r="A71" s="332" t="s">
        <v>369</v>
      </c>
      <c r="B71" s="3607" t="s">
        <v>2282</v>
      </c>
      <c r="C71" s="3608"/>
      <c r="D71" s="331">
        <f ca="1">ROUND(D63*'数据-取费表'!B41/(1+'数据-取费表'!C42),0)</f>
        <v>1331</v>
      </c>
      <c r="E71" s="14" t="s">
        <v>363</v>
      </c>
      <c r="F71" s="333">
        <f>'数据-取费表'!B41</f>
        <v>5.6000000000000001E-2</v>
      </c>
      <c r="G71" s="334"/>
      <c r="H71" s="286"/>
      <c r="I71" s="1096"/>
      <c r="J71" s="1648"/>
      <c r="K71" s="2331" t="s">
        <v>364</v>
      </c>
      <c r="L71" s="3682" t="s">
        <v>365</v>
      </c>
      <c r="M71" s="3682"/>
      <c r="N71" s="2331" t="s">
        <v>366</v>
      </c>
      <c r="O71" s="2331" t="s">
        <v>367</v>
      </c>
      <c r="P71" s="2331" t="s">
        <v>368</v>
      </c>
      <c r="Q71" s="1635"/>
      <c r="R71" s="1635"/>
      <c r="S71" s="1635"/>
      <c r="T71" s="1635"/>
      <c r="U71" s="1635"/>
      <c r="V71" s="1635"/>
    </row>
    <row r="72" spans="1:22" ht="12" customHeight="1">
      <c r="A72" s="332" t="s">
        <v>371</v>
      </c>
      <c r="B72" s="3607" t="s">
        <v>2283</v>
      </c>
      <c r="C72" s="3608"/>
      <c r="D72" s="331">
        <f ca="1">C86</f>
        <v>1331</v>
      </c>
      <c r="E72" s="68" t="s">
        <v>372</v>
      </c>
      <c r="F72" s="333">
        <f>'数据-取费表'!B41</f>
        <v>5.6000000000000001E-2</v>
      </c>
      <c r="G72" s="334"/>
      <c r="H72" s="1102"/>
      <c r="I72" s="1096"/>
      <c r="J72" s="1648"/>
      <c r="K72" s="1631">
        <v>1</v>
      </c>
      <c r="L72" s="3657" t="s">
        <v>370</v>
      </c>
      <c r="M72" s="3657"/>
      <c r="N72" s="1100">
        <f ca="1">D66</f>
        <v>1331</v>
      </c>
      <c r="O72" s="1538" t="str">
        <f>E66</f>
        <v>销售额×税（费）率</v>
      </c>
      <c r="P72" s="1101">
        <f>F66</f>
        <v>5.6000000000000001E-2</v>
      </c>
      <c r="Q72" s="1635"/>
      <c r="R72" s="1635"/>
      <c r="S72" s="1635"/>
      <c r="T72" s="1635"/>
      <c r="U72" s="1635"/>
      <c r="V72" s="1635"/>
    </row>
    <row r="73" spans="1:22" ht="24" customHeight="1">
      <c r="A73" s="3652" t="s">
        <v>374</v>
      </c>
      <c r="B73" s="3616"/>
      <c r="C73" s="3616"/>
      <c r="D73" s="335">
        <f ca="1">IF(H73="个人住宅",0,ROUND(D63*I73,0))</f>
        <v>12</v>
      </c>
      <c r="E73" s="14" t="s">
        <v>375</v>
      </c>
      <c r="F73" s="333">
        <f>IF(H73="正常",I73,"免征")</f>
        <v>5.0000000000000001E-4</v>
      </c>
      <c r="G73" s="334"/>
      <c r="H73" s="173" t="s">
        <v>3388</v>
      </c>
      <c r="I73" s="333">
        <f>'数据-取费表'!B49</f>
        <v>5.0000000000000001E-4</v>
      </c>
      <c r="J73" s="1648"/>
      <c r="K73" s="1631">
        <v>2</v>
      </c>
      <c r="L73" s="3657" t="s">
        <v>373</v>
      </c>
      <c r="M73" s="3657"/>
      <c r="N73" s="1100">
        <f t="shared" ref="N73:P74" ca="1" si="0">D73</f>
        <v>12</v>
      </c>
      <c r="O73" s="1538" t="str">
        <f t="shared" si="0"/>
        <v>销售额×税（费）率</v>
      </c>
      <c r="P73" s="1101">
        <f t="shared" si="0"/>
        <v>5.0000000000000001E-4</v>
      </c>
      <c r="Q73" s="1635"/>
      <c r="R73" s="1635"/>
      <c r="S73" s="1635"/>
      <c r="T73" s="1635"/>
      <c r="U73" s="1635"/>
      <c r="V73" s="1635"/>
    </row>
    <row r="74" spans="1:22" ht="24.75">
      <c r="A74" s="3652" t="s">
        <v>377</v>
      </c>
      <c r="B74" s="3616"/>
      <c r="C74" s="3616"/>
      <c r="D74" s="335">
        <f ca="1">IF(H74="个人住宅",D75,D76)</f>
        <v>0</v>
      </c>
      <c r="E74" s="14" t="s">
        <v>378</v>
      </c>
      <c r="F74" s="333" t="str">
        <f>IF(H74="正常",F76,"免征")</f>
        <v>——</v>
      </c>
      <c r="G74" s="896" t="s">
        <v>379</v>
      </c>
      <c r="H74" s="336" t="s">
        <v>3388</v>
      </c>
      <c r="I74" s="37"/>
      <c r="J74" s="1648"/>
      <c r="K74" s="1631">
        <v>3</v>
      </c>
      <c r="L74" s="3657" t="s">
        <v>376</v>
      </c>
      <c r="M74" s="3657"/>
      <c r="N74" s="1100">
        <f t="shared" ca="1" si="0"/>
        <v>0</v>
      </c>
      <c r="O74" s="1538" t="str">
        <f t="shared" si="0"/>
        <v>增值额×税（费）率</v>
      </c>
      <c r="P74" s="1103" t="str">
        <f t="shared" si="0"/>
        <v>——</v>
      </c>
      <c r="Q74" s="1635"/>
      <c r="R74" s="1635"/>
      <c r="S74" s="1635"/>
      <c r="T74" s="1635"/>
      <c r="U74" s="1635"/>
      <c r="V74" s="1635"/>
    </row>
    <row r="75" spans="1:22" ht="12.75">
      <c r="A75" s="332" t="s">
        <v>380</v>
      </c>
      <c r="B75" s="3604" t="s">
        <v>381</v>
      </c>
      <c r="C75" s="3640"/>
      <c r="D75" s="337">
        <v>0</v>
      </c>
      <c r="E75" s="36" t="s">
        <v>382</v>
      </c>
      <c r="F75" s="338"/>
      <c r="G75" s="334"/>
      <c r="H75" s="37"/>
      <c r="I75" s="37"/>
      <c r="J75" s="1648"/>
      <c r="K75" s="1631" t="str">
        <f>IF(H77="非个人房产","",4)</f>
        <v/>
      </c>
      <c r="L75" s="3657" t="str">
        <f>IF(H77="非个人房产","——","个人所得税")</f>
        <v>——</v>
      </c>
      <c r="M75" s="3657"/>
      <c r="N75" s="1104" t="str">
        <f>D77</f>
        <v>——</v>
      </c>
      <c r="O75" s="1539" t="str">
        <f>E77</f>
        <v>——</v>
      </c>
      <c r="P75" s="1105" t="str">
        <f>F77</f>
        <v>——</v>
      </c>
      <c r="Q75" s="1635"/>
      <c r="R75" s="1635"/>
      <c r="S75" s="1635"/>
      <c r="T75" s="1635"/>
      <c r="U75" s="1635"/>
      <c r="V75" s="1635"/>
    </row>
    <row r="76" spans="1:22" ht="24.75">
      <c r="A76" s="332" t="s">
        <v>361</v>
      </c>
      <c r="B76" s="3604" t="s">
        <v>384</v>
      </c>
      <c r="C76" s="3605"/>
      <c r="D76" s="335">
        <f ca="1">IF(H76="转让取得",C99,C115)</f>
        <v>0</v>
      </c>
      <c r="E76" s="14" t="s">
        <v>385</v>
      </c>
      <c r="F76" s="48" t="s">
        <v>15</v>
      </c>
      <c r="G76" s="334"/>
      <c r="H76" s="336" t="s">
        <v>3389</v>
      </c>
      <c r="I76" s="37"/>
      <c r="J76" s="1648"/>
      <c r="K76" s="1631" t="str">
        <f>IF(项目基本情况!K6="上海银行",IF(K75="",4,K75+1),"")</f>
        <v/>
      </c>
      <c r="L76" s="3672" t="str">
        <f>IF(项目基本情况!K6="上海银行","其他处置费用","")</f>
        <v/>
      </c>
      <c r="M76" s="3673"/>
      <c r="N76" s="1100" t="str">
        <f>IF(项目基本情况!K6="上海银行",N89,"")</f>
        <v/>
      </c>
      <c r="O76" s="3674" t="str">
        <f>IF(项目基本情况!K6="上海银行","包含处置中涉及的律师、诉讼、拍卖、评估等费用","")</f>
        <v/>
      </c>
      <c r="P76" s="3675"/>
      <c r="Q76" s="1635"/>
      <c r="R76" s="1635"/>
      <c r="S76" s="1635"/>
      <c r="T76" s="1635"/>
      <c r="U76" s="1635"/>
      <c r="V76" s="1635"/>
    </row>
    <row r="77" spans="1:22" ht="24.75" thickBot="1">
      <c r="A77" s="3659" t="s">
        <v>387</v>
      </c>
      <c r="B77" s="3660"/>
      <c r="C77" s="3660"/>
      <c r="D77" s="2546" t="str">
        <f>IF(H77="非个人房产","——",IF(H77="个人住宅（满五唯一有凭证）",0,IF(H77="个人其他（无凭证）",ROUND(D63*F77,0),ROUND(C84*F77,0))))</f>
        <v>——</v>
      </c>
      <c r="E77" s="2547" t="str">
        <f>IF(H77="非个人房产","——",IF(H77="个人其他（无凭证）","销售额×税（费）率",IF(H77="个人住宅（满五唯一有凭证）","免征","差额计税")))</f>
        <v>——</v>
      </c>
      <c r="F77" s="2548" t="str">
        <f>IF(OR(H77="非个人房产",H77="个人住宅（满五唯一有凭证）"),"——",IF(H77="个人其他（有凭证）",20%,1%))</f>
        <v>——</v>
      </c>
      <c r="G77" s="897" t="s">
        <v>379</v>
      </c>
      <c r="H77" s="2545" t="s">
        <v>3390</v>
      </c>
      <c r="I77" s="2544" t="s">
        <v>2258</v>
      </c>
      <c r="J77" s="1648"/>
      <c r="K77" s="3658">
        <f>IF(AND(K75="",K76=""),4,IF(项目基本情况!K6="上海银行",K76+1,K75+1))</f>
        <v>4</v>
      </c>
      <c r="L77" s="3657" t="s">
        <v>2157</v>
      </c>
      <c r="M77" s="2330" t="s">
        <v>383</v>
      </c>
      <c r="N77" s="1106"/>
      <c r="O77" s="1107">
        <f ca="1">SUMIF(N72:N76,"&lt;9e307")</f>
        <v>1343</v>
      </c>
      <c r="P77" s="1108"/>
      <c r="Q77" s="2328">
        <f ca="1">O77/N69</f>
        <v>0.11440497487009114</v>
      </c>
      <c r="R77" s="1635"/>
      <c r="S77" s="1635"/>
      <c r="T77" s="1635"/>
      <c r="U77" s="1635"/>
      <c r="V77" s="1635"/>
    </row>
    <row r="78" spans="1:22" ht="12" customHeight="1">
      <c r="A78" s="1109"/>
      <c r="B78" s="286"/>
      <c r="C78" s="286"/>
      <c r="D78" s="286"/>
      <c r="E78" s="37"/>
      <c r="F78" s="37"/>
      <c r="G78" s="37"/>
      <c r="H78" s="865"/>
      <c r="I78" s="286"/>
      <c r="J78" s="1648"/>
      <c r="K78" s="3658"/>
      <c r="L78" s="3657"/>
      <c r="M78" s="2330" t="s">
        <v>386</v>
      </c>
      <c r="N78" s="1106"/>
      <c r="O78" s="1107" t="str">
        <f ca="1">NUMBERSTRING(INT(O77*10000),2)&amp;"元整"</f>
        <v>壹仟叁佰肆拾叁万元整</v>
      </c>
      <c r="P78" s="1108"/>
      <c r="Q78" s="1635"/>
      <c r="R78" s="1635"/>
      <c r="S78" s="1635"/>
      <c r="T78" s="1635"/>
      <c r="U78" s="1635"/>
      <c r="V78" s="1635"/>
    </row>
    <row r="79" spans="1:22" ht="13.5" thickBot="1">
      <c r="A79" s="3624" t="s">
        <v>388</v>
      </c>
      <c r="B79" s="3624"/>
      <c r="C79" s="3624"/>
      <c r="D79" s="3624"/>
      <c r="E79" s="3624"/>
      <c r="F79" s="37"/>
      <c r="G79" s="37"/>
      <c r="H79" s="865"/>
      <c r="I79" s="286"/>
      <c r="J79" s="1648"/>
      <c r="K79" s="3678">
        <f>K77+1</f>
        <v>5</v>
      </c>
      <c r="L79" s="3657" t="s">
        <v>2158</v>
      </c>
      <c r="M79" s="2330" t="s">
        <v>383</v>
      </c>
      <c r="N79" s="1106"/>
      <c r="O79" s="1107">
        <f ca="1">N69-O77</f>
        <v>10396</v>
      </c>
      <c r="P79" s="1108"/>
      <c r="Q79" s="1635"/>
      <c r="R79" s="1635"/>
      <c r="S79" s="1635"/>
      <c r="T79" s="1635"/>
      <c r="U79" s="1635"/>
      <c r="V79" s="1635"/>
    </row>
    <row r="80" spans="1:22" ht="25.5">
      <c r="A80" s="3625" t="s">
        <v>389</v>
      </c>
      <c r="B80" s="3626"/>
      <c r="C80" s="906"/>
      <c r="D80" s="906" t="s">
        <v>390</v>
      </c>
      <c r="E80" s="339" t="s">
        <v>391</v>
      </c>
      <c r="F80" s="37"/>
      <c r="G80" s="37"/>
      <c r="H80" s="865"/>
      <c r="I80" s="286"/>
      <c r="J80" s="1635"/>
      <c r="K80" s="3679"/>
      <c r="L80" s="3657"/>
      <c r="M80" s="2330" t="s">
        <v>386</v>
      </c>
      <c r="N80" s="1106"/>
      <c r="O80" s="1107" t="str">
        <f ca="1">NUMBERSTRING(INT(O79*10000),2)&amp;"元整"</f>
        <v>壹亿零叁佰玖拾陆万元整</v>
      </c>
      <c r="P80" s="1108"/>
      <c r="Q80" s="1635"/>
      <c r="R80" s="1635"/>
      <c r="S80" s="1635"/>
      <c r="T80" s="1635"/>
      <c r="U80" s="1635"/>
      <c r="V80" s="1635"/>
    </row>
    <row r="81" spans="1:26" ht="13.5" thickBot="1">
      <c r="A81" s="350" t="s">
        <v>1352</v>
      </c>
      <c r="B81" s="340" t="s">
        <v>392</v>
      </c>
      <c r="C81" s="341">
        <f ca="1">ROUND((C82+C83)/(1+'数据-取费表'!C42),0)</f>
        <v>23770</v>
      </c>
      <c r="D81" s="342"/>
      <c r="E81" s="343"/>
      <c r="F81" s="37"/>
      <c r="G81" s="37"/>
      <c r="H81" s="865"/>
      <c r="I81" s="286"/>
      <c r="J81" s="1635"/>
      <c r="K81" s="1631">
        <f>K79+1</f>
        <v>6</v>
      </c>
      <c r="L81" s="3655" t="s">
        <v>2159</v>
      </c>
      <c r="M81" s="3656"/>
      <c r="N81" s="1110"/>
      <c r="O81" s="1111">
        <f ca="1">ROUND(O79*10000/'数据-汇总表'!E3,0)</f>
        <v>3622</v>
      </c>
      <c r="P81" s="1112"/>
      <c r="Q81" s="1635"/>
      <c r="R81" s="1635"/>
      <c r="S81" s="1635"/>
      <c r="T81" s="1635"/>
      <c r="U81" s="1635"/>
      <c r="V81" s="1635"/>
    </row>
    <row r="82" spans="1:26" ht="13.5" thickTop="1">
      <c r="A82" s="344" t="s">
        <v>1353</v>
      </c>
      <c r="B82" s="345" t="s">
        <v>393</v>
      </c>
      <c r="C82" s="346">
        <f ca="1">D63</f>
        <v>24958</v>
      </c>
      <c r="D82" s="347" t="s">
        <v>13</v>
      </c>
      <c r="E82" s="348"/>
      <c r="F82" s="37"/>
      <c r="G82" s="37"/>
      <c r="H82" s="865"/>
      <c r="I82" s="286"/>
      <c r="J82" s="1635"/>
      <c r="K82" s="1635"/>
      <c r="L82" s="1635"/>
      <c r="M82" s="1635"/>
      <c r="N82" s="1635"/>
      <c r="O82" s="1635"/>
      <c r="P82" s="1635"/>
      <c r="Q82" s="1635"/>
      <c r="R82" s="1635"/>
      <c r="S82" s="1635"/>
      <c r="T82" s="1635"/>
      <c r="U82" s="1635"/>
      <c r="V82" s="1635"/>
    </row>
    <row r="83" spans="1:26" ht="12.75">
      <c r="A83" s="344" t="s">
        <v>1354</v>
      </c>
      <c r="B83" s="345" t="s">
        <v>394</v>
      </c>
      <c r="C83" s="349"/>
      <c r="D83" s="347"/>
      <c r="E83" s="348"/>
      <c r="F83" s="37"/>
      <c r="G83" s="37"/>
      <c r="H83" s="865"/>
      <c r="I83" s="286"/>
      <c r="J83" s="1635"/>
      <c r="K83" s="3671" t="s">
        <v>2147</v>
      </c>
      <c r="L83" s="2336" t="s">
        <v>2148</v>
      </c>
      <c r="M83" s="2326">
        <f ca="1">IF(N69&gt;10000,N69*0.5%,IF(AND(N69&gt;1000,N69&lt;=10000),N69*1%,IF(AND(N69&gt;100,N69&lt;=1000),N69*3%,IF(AND(N69&gt;10,N69&lt;=100),N69*5%,N69*8%))))</f>
        <v>58.695</v>
      </c>
      <c r="N83" s="48">
        <f ca="1">ROUND(M83,1)</f>
        <v>58.7</v>
      </c>
      <c r="O83" s="2329"/>
      <c r="P83" s="1635"/>
      <c r="Q83" s="1635"/>
      <c r="R83" s="1635"/>
      <c r="S83" s="1635"/>
      <c r="T83" s="1635"/>
      <c r="U83" s="1635"/>
      <c r="V83" s="1635"/>
    </row>
    <row r="84" spans="1:26" ht="12.75">
      <c r="A84" s="350" t="s">
        <v>1355</v>
      </c>
      <c r="B84" s="351" t="s">
        <v>395</v>
      </c>
      <c r="C84" s="352"/>
      <c r="D84" s="353" t="s">
        <v>13</v>
      </c>
      <c r="E84" s="2351" t="s">
        <v>2201</v>
      </c>
      <c r="F84" s="37"/>
      <c r="G84" s="37"/>
      <c r="H84" s="865"/>
      <c r="I84" s="286"/>
      <c r="J84" s="1635"/>
      <c r="K84" s="3671"/>
      <c r="L84" s="2336" t="s">
        <v>2149</v>
      </c>
      <c r="M84" s="2326">
        <f ca="1">IF(N69&gt;2000,N69*0.5%,IF(AND(N69&gt;1000,N69&lt;=2000),N69*0.6%,IF(AND(N69&gt;500,N69&lt;=1000),N69*0.7%,IF(AND(N69&gt;200,N69&lt;=500),N69*0.8%,IF(AND(N69&gt;100,N69&lt;=200),N69*0.9%,IF(AND(N69&gt;50,N69&lt;=100),N69*1%,IF(AND(N69&gt;20,N69&lt;=50),N69*1.5%,IF(AND(N69&gt;10,N69&lt;=20),N69*2%,IF(AND(N69&gt;1,N69&lt;=10),N69*2.5%)))))))))</f>
        <v>58.695</v>
      </c>
      <c r="N84" s="48">
        <f ca="1">ROUND(M84,1)</f>
        <v>58.7</v>
      </c>
      <c r="O84" s="1635" t="s">
        <v>2150</v>
      </c>
      <c r="P84" s="1635"/>
      <c r="Q84" s="1635"/>
      <c r="R84" s="1635"/>
      <c r="S84" s="1635"/>
      <c r="T84" s="1635"/>
      <c r="U84" s="1635"/>
      <c r="V84" s="1635"/>
    </row>
    <row r="85" spans="1:26" ht="12.75">
      <c r="A85" s="350" t="s">
        <v>1356</v>
      </c>
      <c r="B85" s="351" t="s">
        <v>396</v>
      </c>
      <c r="C85" s="354">
        <f ca="1">C81-C84</f>
        <v>23770</v>
      </c>
      <c r="D85" s="347" t="s">
        <v>13</v>
      </c>
      <c r="E85" s="348"/>
      <c r="F85" s="37"/>
      <c r="G85" s="37"/>
      <c r="H85" s="865"/>
      <c r="I85" s="286"/>
      <c r="J85" s="1635"/>
      <c r="K85" s="3671"/>
      <c r="L85" s="2336" t="s">
        <v>2151</v>
      </c>
      <c r="M85" s="2326">
        <f ca="1">IF(N69&gt;1000,N69*0.1%,IF(AND(N69&gt;500,N69&lt;=1000),N69*0.5%,IF(AND(N69&gt;50,N69&lt;=500),N69*1%,IF(AND(N69&gt;1,N69&lt;=50),N69*1.5%))))</f>
        <v>11.739000000000001</v>
      </c>
      <c r="N85" s="48">
        <f ca="1">ROUND(M85,1)</f>
        <v>11.7</v>
      </c>
      <c r="O85" s="1635" t="s">
        <v>2150</v>
      </c>
      <c r="P85" s="1635"/>
      <c r="Q85" s="1635"/>
      <c r="R85" s="1635"/>
      <c r="S85" s="1635"/>
      <c r="T85" s="1635"/>
      <c r="U85" s="1635"/>
      <c r="V85" s="1635"/>
    </row>
    <row r="86" spans="1:26" ht="13.5" thickBot="1">
      <c r="A86" s="355" t="s">
        <v>1357</v>
      </c>
      <c r="B86" s="356" t="s">
        <v>397</v>
      </c>
      <c r="C86" s="357">
        <f ca="1">IF(C85&lt;=0,0,ROUND(C85*D86,0))</f>
        <v>1331</v>
      </c>
      <c r="D86" s="358">
        <f>'数据-取费表'!B41</f>
        <v>5.6000000000000001E-2</v>
      </c>
      <c r="E86" s="359"/>
      <c r="F86" s="37"/>
      <c r="G86" s="37"/>
      <c r="H86" s="865"/>
      <c r="I86" s="286"/>
      <c r="J86" s="1635"/>
      <c r="K86" s="3671"/>
      <c r="L86" s="2336" t="s">
        <v>2152</v>
      </c>
      <c r="M86" s="2326">
        <f ca="1">N69*0.5%</f>
        <v>58.695</v>
      </c>
      <c r="N86" s="48">
        <f ca="1">IF(M86&gt;0.5,0.5,ROUND(M86,0))</f>
        <v>0.5</v>
      </c>
      <c r="O86" s="1635" t="s">
        <v>2153</v>
      </c>
      <c r="P86" s="1635"/>
      <c r="Q86" s="1635"/>
      <c r="R86" s="1635"/>
      <c r="S86" s="1635"/>
      <c r="T86" s="1635"/>
      <c r="U86" s="1635"/>
      <c r="V86" s="1635"/>
    </row>
    <row r="87" spans="1:26" ht="14.25" customHeight="1">
      <c r="A87" s="1113"/>
      <c r="B87" s="1114"/>
      <c r="C87" s="1115"/>
      <c r="D87" s="1116"/>
      <c r="E87" s="1117"/>
      <c r="F87" s="37"/>
      <c r="G87" s="37"/>
      <c r="H87" s="865"/>
      <c r="I87" s="286"/>
      <c r="J87" s="1635"/>
      <c r="K87" s="3671"/>
      <c r="L87" s="2336" t="s">
        <v>2154</v>
      </c>
      <c r="M87" s="2326">
        <f ca="1">IF(N69&gt;=10000,(8.25+(N69-10000)*0.01%),IF(AND(N69&gt;=8000,N69&lt;10000),(7.85+(N69-8000)*0.02%),IF(AND(N69&gt;=5000,N69&lt;8000),(6.65+(N69-5000)*0.04%),IF(AND(N69&gt;=2000,N69&lt;5000),(4.25+(PN69-2000)*0.08%),IF(AND(N69&gt;=1000,N69&lt;2000),(2.75+(N69-1000)*0.15%),IF(AND(N69&gt;=100,N69&lt;1000),(0.5+(N69-100)*0.25%),IF(AND(N69&gt;0,N69&lt;100),N69*0.5%)))))))</f>
        <v>8.4238999999999997</v>
      </c>
      <c r="N87" s="48">
        <f ca="1">ROUND(M87*0.9,1)</f>
        <v>7.6</v>
      </c>
      <c r="O87" s="2329"/>
      <c r="P87" s="1635"/>
      <c r="Q87" s="1635"/>
      <c r="R87" s="1635"/>
      <c r="S87" s="1635"/>
      <c r="T87" s="1635"/>
      <c r="U87" s="1635"/>
      <c r="V87" s="1635"/>
    </row>
    <row r="88" spans="1:26" s="1006" customFormat="1" ht="15" thickBot="1">
      <c r="A88" s="3650" t="s">
        <v>398</v>
      </c>
      <c r="B88" s="3651"/>
      <c r="C88" s="3651"/>
      <c r="D88" s="3651"/>
      <c r="E88" s="3651"/>
      <c r="F88" s="3651"/>
      <c r="G88" s="3651"/>
      <c r="H88" s="3651"/>
      <c r="I88" s="1118"/>
      <c r="J88" s="1649"/>
      <c r="K88" s="3671"/>
      <c r="L88" s="2336" t="s">
        <v>2155</v>
      </c>
      <c r="M88" s="2326">
        <f ca="1">IF(N69&gt;10000,N69*0.5%,IF(AND(N69&gt;5000,N69&lt;=10000),N69*1%,IF(AND(N69&gt;1000,N69&lt;=5000),N69*2%,IF(AND(N69&gt;200,N69&lt;=1000),N69*3%,N69*5%))))</f>
        <v>58.695</v>
      </c>
      <c r="N88" s="48">
        <f ca="1">ROUND(M88,1)</f>
        <v>58.7</v>
      </c>
      <c r="O88" s="2329"/>
      <c r="P88" s="1646"/>
      <c r="Q88" s="1646"/>
      <c r="R88" s="1646"/>
      <c r="S88" s="1646"/>
      <c r="T88" s="1646"/>
      <c r="U88" s="1646"/>
      <c r="V88" s="1646"/>
      <c r="W88" s="1650"/>
      <c r="X88" s="1650"/>
      <c r="Y88" s="1650"/>
      <c r="Z88" s="1650"/>
    </row>
    <row r="89" spans="1:26" s="1006" customFormat="1" ht="14.25">
      <c r="A89" s="3625" t="s">
        <v>389</v>
      </c>
      <c r="B89" s="3626"/>
      <c r="C89" s="906"/>
      <c r="D89" s="906" t="s">
        <v>390</v>
      </c>
      <c r="E89" s="360" t="s">
        <v>399</v>
      </c>
      <c r="F89" s="361"/>
      <c r="G89" s="361"/>
      <c r="H89" s="362"/>
      <c r="I89" s="1119"/>
      <c r="J89" s="1651"/>
      <c r="K89" s="3671"/>
      <c r="L89" s="2336" t="s">
        <v>16</v>
      </c>
      <c r="M89" s="2327"/>
      <c r="N89" s="48">
        <f ca="1">ROUND(SUM(N83:N88),0)</f>
        <v>196</v>
      </c>
      <c r="O89" s="2337">
        <f ca="1">N89/N69</f>
        <v>1.6696481812760882E-2</v>
      </c>
      <c r="P89" s="1646"/>
      <c r="Q89" s="1646"/>
      <c r="R89" s="1646"/>
      <c r="S89" s="1646"/>
      <c r="T89" s="1646"/>
      <c r="U89" s="1646"/>
      <c r="V89" s="1646"/>
      <c r="W89" s="1650"/>
      <c r="X89" s="1650"/>
      <c r="Y89" s="1650"/>
      <c r="Z89" s="1650"/>
    </row>
    <row r="90" spans="1:26" s="1006" customFormat="1" ht="14.25">
      <c r="A90" s="350" t="s">
        <v>1352</v>
      </c>
      <c r="B90" s="351" t="s">
        <v>400</v>
      </c>
      <c r="C90" s="354">
        <f ca="1">ROUND(D63/(1+'数据-取费表'!C42),0)</f>
        <v>23770</v>
      </c>
      <c r="D90" s="347" t="s">
        <v>13</v>
      </c>
      <c r="E90" s="904"/>
      <c r="F90" s="903"/>
      <c r="G90" s="903"/>
      <c r="H90" s="363"/>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0" t="s">
        <v>1358</v>
      </c>
      <c r="B91" s="321" t="s">
        <v>401</v>
      </c>
      <c r="C91" s="354">
        <f ca="1">C92+C96</f>
        <v>143</v>
      </c>
      <c r="D91" s="347" t="s">
        <v>13</v>
      </c>
      <c r="E91" s="904"/>
      <c r="F91" s="903"/>
      <c r="G91" s="903"/>
      <c r="H91" s="363"/>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4" t="s">
        <v>1359</v>
      </c>
      <c r="B92" s="345" t="s">
        <v>402</v>
      </c>
      <c r="C92" s="347">
        <f>ROUND(IF(G95="2016年5月1日后购买",C93/(1+'数据-取费表'!C30)+C94+C95,C93+C94+C95),0)</f>
        <v>0</v>
      </c>
      <c r="D92" s="347" t="s">
        <v>13</v>
      </c>
      <c r="E92" s="904"/>
      <c r="F92" s="903"/>
      <c r="G92" s="903"/>
      <c r="H92" s="363"/>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4" t="s">
        <v>1360</v>
      </c>
      <c r="B93" s="345" t="s">
        <v>403</v>
      </c>
      <c r="C93" s="365"/>
      <c r="D93" s="347" t="s">
        <v>13</v>
      </c>
      <c r="E93" s="366" t="s">
        <v>404</v>
      </c>
      <c r="F93" s="367"/>
      <c r="G93" s="366" t="s">
        <v>405</v>
      </c>
      <c r="H93" s="368"/>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4" t="s">
        <v>1361</v>
      </c>
      <c r="B94" s="369" t="s">
        <v>406</v>
      </c>
      <c r="C94" s="347">
        <f>IF(F93="购房发票",ROUND(C93*H93*5%,0),0)</f>
        <v>0</v>
      </c>
      <c r="D94" s="370">
        <v>0.05</v>
      </c>
      <c r="E94" s="3607" t="s">
        <v>407</v>
      </c>
      <c r="F94" s="3606"/>
      <c r="G94" s="3606"/>
      <c r="H94" s="3649"/>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4" t="s">
        <v>1363</v>
      </c>
      <c r="B96" s="345" t="s">
        <v>410</v>
      </c>
      <c r="C96" s="374">
        <f ca="1">ROUND(D63*D96/(1+'数据-取费表'!C42),0)</f>
        <v>143</v>
      </c>
      <c r="D96" s="375">
        <f>'数据-取费表'!B43</f>
        <v>6.000000000000001E-3</v>
      </c>
      <c r="E96" s="3641" t="s">
        <v>1780</v>
      </c>
      <c r="F96" s="3642"/>
      <c r="G96" s="3642"/>
      <c r="H96" s="3643"/>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1" t="s">
        <v>411</v>
      </c>
      <c r="C97" s="354">
        <f ca="1">C90-C91</f>
        <v>23627</v>
      </c>
      <c r="D97" s="347" t="s">
        <v>13</v>
      </c>
      <c r="E97" s="904"/>
      <c r="F97" s="903"/>
      <c r="G97" s="903"/>
      <c r="H97" s="363"/>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1" t="s">
        <v>412</v>
      </c>
      <c r="C98" s="376">
        <f ca="1">IF(C97&lt;=0,0,C97/C91)</f>
        <v>165.22377622377621</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3"/>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6" t="s">
        <v>413</v>
      </c>
      <c r="C99" s="377">
        <f ca="1">ROUND(IF(C97&lt;=0,0,IF(C98&gt;=200%,C97*60%-C91*35%,IF(C98&gt;=100%,C97*50%-C91*15%,IF(C98&gt;=50%,C97*40%-C91*5%,IF(C98&lt;50%,C97*30%,0))))),0)</f>
        <v>14126</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50" t="s">
        <v>414</v>
      </c>
      <c r="B101" s="3651"/>
      <c r="C101" s="3651"/>
      <c r="D101" s="3651"/>
      <c r="E101" s="3651"/>
      <c r="F101" s="3651"/>
      <c r="G101" s="3651"/>
      <c r="H101" s="3651"/>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25" t="s">
        <v>389</v>
      </c>
      <c r="B102" s="3626"/>
      <c r="C102" s="906"/>
      <c r="D102" s="906"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0" t="s">
        <v>1352</v>
      </c>
      <c r="B103" s="351" t="s">
        <v>400</v>
      </c>
      <c r="C103" s="354">
        <f ca="1">ROUND(D63/(1+'数据-取费表'!C42),0)</f>
        <v>23770</v>
      </c>
      <c r="D103" s="347" t="s">
        <v>13</v>
      </c>
      <c r="E103" s="904"/>
      <c r="F103" s="903"/>
      <c r="G103" s="903"/>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0" t="s">
        <v>1358</v>
      </c>
      <c r="B104" s="321" t="s">
        <v>401</v>
      </c>
      <c r="C104" s="354">
        <f ca="1">IF(H106="仅含出让金",C105+C108+C109+C110+C111+C112,C105+C109+C110+C111+C112)</f>
        <v>25493</v>
      </c>
      <c r="D104" s="384"/>
      <c r="E104" s="904"/>
      <c r="F104" s="903"/>
      <c r="G104" s="903"/>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4" t="s">
        <v>1359</v>
      </c>
      <c r="B105" s="345" t="s">
        <v>415</v>
      </c>
      <c r="C105" s="374">
        <f>C106+C107</f>
        <v>25350</v>
      </c>
      <c r="D105" s="375"/>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4" t="s">
        <v>1360</v>
      </c>
      <c r="B106" s="345" t="s">
        <v>416</v>
      </c>
      <c r="C106" s="385">
        <v>24600</v>
      </c>
      <c r="D106" s="375"/>
      <c r="E106" s="386" t="s">
        <v>417</v>
      </c>
      <c r="F106" s="899"/>
      <c r="G106" s="387" t="s">
        <v>418</v>
      </c>
      <c r="H106" s="388" t="s">
        <v>3391</v>
      </c>
      <c r="I106" s="9"/>
      <c r="J106" s="1646"/>
      <c r="K106" s="2744" t="s">
        <v>2276</v>
      </c>
      <c r="L106" s="1646"/>
      <c r="M106" s="1646"/>
      <c r="N106" s="1646"/>
      <c r="O106" s="1646"/>
      <c r="P106" s="1646"/>
      <c r="Q106" s="1646"/>
      <c r="R106" s="1646"/>
      <c r="S106" s="1646"/>
      <c r="T106" s="1646"/>
      <c r="U106" s="1646"/>
      <c r="V106" s="1646"/>
      <c r="W106" s="1650"/>
      <c r="X106" s="1650"/>
      <c r="Y106" s="1650"/>
      <c r="Z106" s="1650"/>
    </row>
    <row r="107" spans="1:26" s="1006" customFormat="1" ht="14.25">
      <c r="A107" s="364" t="s">
        <v>1361</v>
      </c>
      <c r="B107" s="345" t="s">
        <v>408</v>
      </c>
      <c r="C107" s="374">
        <f>ROUND(C106*D107,0)</f>
        <v>750</v>
      </c>
      <c r="D107" s="375">
        <f>'数据-取费表'!B48+'数据-取费表'!B49</f>
        <v>3.0499999999999999E-2</v>
      </c>
      <c r="E107" s="386"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4" t="s">
        <v>1363</v>
      </c>
      <c r="B108" s="345" t="s">
        <v>420</v>
      </c>
      <c r="C108" s="385"/>
      <c r="D108" s="375"/>
      <c r="E108" s="386" t="str">
        <f>IF(H106="-","土地取得成本中已包含该笔费用"," ")</f>
        <v xml:space="preserve"> </v>
      </c>
      <c r="F108" s="899"/>
      <c r="G108" s="3601" t="s">
        <v>2250</v>
      </c>
      <c r="H108" s="3602"/>
      <c r="I108" s="2416"/>
      <c r="J108" s="1646"/>
      <c r="K108" s="2744" t="s">
        <v>2277</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5" t="s">
        <v>421</v>
      </c>
      <c r="C109" s="374">
        <f>IF(H109="——",IF(F1="现房",'剩余法-现房'!C18,0),I109)</f>
        <v>0</v>
      </c>
      <c r="D109" s="375"/>
      <c r="E109" s="3644" t="s">
        <v>422</v>
      </c>
      <c r="F109" s="3642"/>
      <c r="G109" s="3642"/>
      <c r="H109" s="1599"/>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5" t="s">
        <v>423</v>
      </c>
      <c r="C110" s="374">
        <f>ROUND((C105+C108+C109)*D110,0)</f>
        <v>0</v>
      </c>
      <c r="D110" s="2774">
        <v>0</v>
      </c>
      <c r="E110" s="3644" t="s">
        <v>424</v>
      </c>
      <c r="F110" s="3642"/>
      <c r="G110" s="3642"/>
      <c r="H110" s="3643"/>
      <c r="I110" s="9"/>
      <c r="J110" s="1646"/>
      <c r="K110" s="2745" t="s">
        <v>2278</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5" t="s">
        <v>410</v>
      </c>
      <c r="C111" s="374">
        <f ca="1">ROUND(D63*D111/(1+'数据-取费表'!C42),0)</f>
        <v>143</v>
      </c>
      <c r="D111" s="375">
        <f>'数据-取费表'!B43</f>
        <v>6.000000000000001E-3</v>
      </c>
      <c r="E111" s="3641" t="s">
        <v>1780</v>
      </c>
      <c r="F111" s="3642"/>
      <c r="G111" s="3642"/>
      <c r="H111" s="3643"/>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5" t="s">
        <v>425</v>
      </c>
      <c r="C112" s="374">
        <f>ROUND(C108*D112,0)</f>
        <v>0</v>
      </c>
      <c r="D112" s="375">
        <v>0.2</v>
      </c>
      <c r="E112" s="3644" t="s">
        <v>1799</v>
      </c>
      <c r="F112" s="3642"/>
      <c r="G112" s="3642"/>
      <c r="H112" s="3643"/>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1" t="s">
        <v>411</v>
      </c>
      <c r="C113" s="354">
        <f ca="1">ROUND(C103-C104,0)</f>
        <v>-1723</v>
      </c>
      <c r="D113" s="347" t="s">
        <v>13</v>
      </c>
      <c r="E113" s="904"/>
      <c r="F113" s="903"/>
      <c r="G113" s="903"/>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1" t="s">
        <v>412</v>
      </c>
      <c r="C114" s="376">
        <f ca="1">IF(C113&lt;=0,0,C113/C104)</f>
        <v>0</v>
      </c>
      <c r="D114" s="347" t="s">
        <v>13</v>
      </c>
      <c r="E114" s="21" t="str">
        <f ca="1">IF(C114&gt;=200%,"增值额超过扣除项目金额200%",IF(C114&gt;=100%,"增值额超过扣除项目金额100%，未超过200%",IF(C114&gt;=50%,"增值额超过扣除项目金额50%，未超过100%",IF(C114&lt;50%,"增值额未超过扣除项目金额50%"))))</f>
        <v>增值额未超过扣除项目金额50%</v>
      </c>
      <c r="F114" s="903"/>
      <c r="G114" s="903"/>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9" zoomScale="90" zoomScaleNormal="95" zoomScaleSheetLayoutView="90" workbookViewId="0">
      <selection activeCell="F67" sqref="F67"/>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466</v>
      </c>
      <c r="D1" s="455" t="s">
        <v>467</v>
      </c>
      <c r="E1" s="456"/>
      <c r="F1" s="397"/>
      <c r="G1" s="456"/>
      <c r="H1" s="456"/>
      <c r="I1" s="456"/>
      <c r="J1" s="456"/>
      <c r="K1" s="457"/>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427</v>
      </c>
      <c r="B2" s="458">
        <f>F67</f>
        <v>25142</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0">
        <f>ROUND(B2*10000/'数据-汇总表'!E3,0)</f>
        <v>8760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1" t="s">
        <v>469</v>
      </c>
      <c r="B4" s="396">
        <f>IF(B48="单位面积地价",C50,ROUND(B2*10000/'数据-汇总表'!D3,0))</f>
        <v>19343</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f>ROUND(B2/('数据-汇总表'!D3/666.67),0)</f>
        <v>1290</v>
      </c>
      <c r="C5" s="400" t="s">
        <v>429</v>
      </c>
      <c r="D5" s="2727"/>
      <c r="E5" s="3441" t="s">
        <v>3611</v>
      </c>
      <c r="F5" s="2727"/>
      <c r="G5" s="3440" t="s">
        <v>3613</v>
      </c>
      <c r="H5" s="2728"/>
      <c r="I5" s="3440" t="s">
        <v>3615</v>
      </c>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690" t="s">
        <v>471</v>
      </c>
      <c r="D6" s="3691"/>
      <c r="E6" s="3690" t="s">
        <v>472</v>
      </c>
      <c r="F6" s="3691"/>
      <c r="G6" s="3690" t="s">
        <v>473</v>
      </c>
      <c r="H6" s="3691"/>
      <c r="I6" s="3690" t="s">
        <v>474</v>
      </c>
      <c r="J6" s="3691"/>
      <c r="K6" s="464" t="s">
        <v>475</v>
      </c>
      <c r="L6" s="1740"/>
      <c r="M6" s="1739"/>
      <c r="N6" s="1739"/>
      <c r="O6" s="1741"/>
      <c r="P6" s="3692" t="s">
        <v>476</v>
      </c>
      <c r="Q6" s="3693"/>
      <c r="R6" s="3698" t="s">
        <v>472</v>
      </c>
      <c r="S6" s="3699"/>
      <c r="T6" s="3698" t="s">
        <v>473</v>
      </c>
      <c r="U6" s="3699"/>
      <c r="V6" s="3685" t="s">
        <v>474</v>
      </c>
      <c r="W6" s="3685"/>
      <c r="X6" s="1301"/>
      <c r="Y6" s="3698" t="s">
        <v>476</v>
      </c>
      <c r="Z6" s="3699"/>
      <c r="AA6" s="3687" t="s">
        <v>472</v>
      </c>
      <c r="AB6" s="3688" t="s">
        <v>473</v>
      </c>
      <c r="AC6" s="3687" t="s">
        <v>474</v>
      </c>
    </row>
    <row r="7" spans="1:29" ht="94.5" customHeight="1">
      <c r="A7" s="465"/>
      <c r="B7" s="466"/>
      <c r="C7" s="3706" t="s">
        <v>2190</v>
      </c>
      <c r="D7" s="3707"/>
      <c r="E7" s="3706" t="str">
        <f>土地案例!A6</f>
        <v>北京市延庆区南辛堡村、民主村、百眼泉村棚户区改造项目YQ00-0309-0007地块R2二类居住用地</v>
      </c>
      <c r="F7" s="3707"/>
      <c r="G7" s="3706" t="str">
        <f>土地案例!A7</f>
        <v>北京市平谷区兴谷新消费综合体项目PG00-0106-0104地块R2二类居住用地</v>
      </c>
      <c r="H7" s="3707"/>
      <c r="I7" s="3706" t="str">
        <f>土地案例!A8</f>
        <v>北京市密云区十里堡镇王各庄棚户区改造项目MY00-0500-0001地块R2二类居住用地</v>
      </c>
      <c r="J7" s="3707"/>
      <c r="K7" s="464"/>
      <c r="L7" s="1740"/>
      <c r="M7" s="1739"/>
      <c r="N7" s="1739"/>
      <c r="O7" s="1741"/>
      <c r="P7" s="3694"/>
      <c r="Q7" s="3695"/>
      <c r="R7" s="3700"/>
      <c r="S7" s="3701"/>
      <c r="T7" s="3700"/>
      <c r="U7" s="3701"/>
      <c r="V7" s="3685"/>
      <c r="W7" s="3685"/>
      <c r="X7" s="1301"/>
      <c r="Y7" s="3700"/>
      <c r="Z7" s="3701"/>
      <c r="AA7" s="3688"/>
      <c r="AB7" s="3688"/>
      <c r="AC7" s="3688"/>
    </row>
    <row r="8" spans="1:29" ht="21" thickBot="1">
      <c r="A8" s="465"/>
      <c r="B8" s="466"/>
      <c r="C8" s="3708" t="s">
        <v>2194</v>
      </c>
      <c r="D8" s="3709"/>
      <c r="E8" s="3708" t="str">
        <f>土地案例!E6</f>
        <v>京土储挂(延)[2023]041号</v>
      </c>
      <c r="F8" s="3709"/>
      <c r="G8" s="3704" t="str">
        <f>土地案例!E7</f>
        <v>京土储挂(平)[2023]030号</v>
      </c>
      <c r="H8" s="3705"/>
      <c r="I8" s="3704" t="str">
        <f>土地案例!E8</f>
        <v>京土储挂(密)[2022]058号</v>
      </c>
      <c r="J8" s="3705"/>
      <c r="K8" s="464" t="s">
        <v>477</v>
      </c>
      <c r="L8" s="1740"/>
      <c r="M8" s="1739"/>
      <c r="N8" s="1739"/>
      <c r="O8" s="1741"/>
      <c r="P8" s="3696"/>
      <c r="Q8" s="3697"/>
      <c r="R8" s="3700"/>
      <c r="S8" s="3701"/>
      <c r="T8" s="3702"/>
      <c r="U8" s="3703"/>
      <c r="V8" s="3685"/>
      <c r="W8" s="3685"/>
      <c r="X8" s="1301"/>
      <c r="Y8" s="3702"/>
      <c r="Z8" s="3703"/>
      <c r="AA8" s="3689"/>
      <c r="AB8" s="3689"/>
      <c r="AC8" s="3689"/>
    </row>
    <row r="9" spans="1:29" s="1058" customFormat="1" ht="21" thickBot="1">
      <c r="A9" s="2208"/>
      <c r="B9" s="2215" t="s">
        <v>478</v>
      </c>
      <c r="C9" s="2207">
        <f>'数据-取费表'!B2</f>
        <v>45615</v>
      </c>
      <c r="D9" s="470">
        <v>100</v>
      </c>
      <c r="E9" s="471" t="str">
        <f>土地案例!P6</f>
        <v>2023-08-09</v>
      </c>
      <c r="F9" s="472">
        <f>SUMIF(71:71,YEAR(E9)&amp;"-"&amp;INT((MONTH(E9)+2)/3),72:72)</f>
        <v>100</v>
      </c>
      <c r="G9" s="471" t="str">
        <f>土地案例!P7</f>
        <v>2023-06-30</v>
      </c>
      <c r="H9" s="470">
        <f>SUMIF(71:71,YEAR(G9)&amp;"-"&amp;INT((MONTH(G9)+2)/3),72:72)</f>
        <v>100</v>
      </c>
      <c r="I9" s="471" t="str">
        <f>土地案例!P8</f>
        <v>2022-09-22</v>
      </c>
      <c r="J9" s="470">
        <f>SUMIF(71:71,YEAR(I9)&amp;"-"&amp;INT((MONTH(I9)+2)/3),72:72)</f>
        <v>100</v>
      </c>
      <c r="K9" s="87"/>
      <c r="L9" s="1742"/>
      <c r="M9" s="1739"/>
      <c r="N9" s="1739"/>
      <c r="O9" s="1639"/>
      <c r="P9" s="3714" t="s">
        <v>479</v>
      </c>
      <c r="Q9" s="3716"/>
      <c r="R9" s="1302" t="s">
        <v>5</v>
      </c>
      <c r="S9" s="1303">
        <f t="shared" ref="S9:S17" si="0">F9</f>
        <v>100</v>
      </c>
      <c r="T9" s="1302" t="s">
        <v>5</v>
      </c>
      <c r="U9" s="1303">
        <f t="shared" ref="U9:U17" si="1">H9</f>
        <v>100</v>
      </c>
      <c r="V9" s="1302" t="s">
        <v>5</v>
      </c>
      <c r="W9" s="1303">
        <f t="shared" ref="W9:W17" si="2">J9</f>
        <v>100</v>
      </c>
      <c r="X9" s="1304"/>
      <c r="Y9" s="3714" t="s">
        <v>479</v>
      </c>
      <c r="Z9" s="3715"/>
      <c r="AA9" s="995">
        <f>D9/F9</f>
        <v>1</v>
      </c>
      <c r="AB9" s="995">
        <f>D9/H9</f>
        <v>1</v>
      </c>
      <c r="AC9" s="995">
        <f>D9/J9</f>
        <v>1</v>
      </c>
    </row>
    <row r="10" spans="1:29" s="1058" customFormat="1" ht="21" thickBot="1">
      <c r="A10" s="2209"/>
      <c r="B10" s="2216"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2"/>
      <c r="M10" s="1739"/>
      <c r="N10" s="1739"/>
      <c r="O10" s="1639"/>
      <c r="P10" s="3714" t="s">
        <v>482</v>
      </c>
      <c r="Q10" s="3715"/>
      <c r="R10" s="1302" t="s">
        <v>5</v>
      </c>
      <c r="S10" s="1303">
        <f t="shared" si="0"/>
        <v>100</v>
      </c>
      <c r="T10" s="1302" t="s">
        <v>5</v>
      </c>
      <c r="U10" s="1303">
        <f t="shared" si="1"/>
        <v>100</v>
      </c>
      <c r="V10" s="1302" t="s">
        <v>5</v>
      </c>
      <c r="W10" s="1303">
        <f t="shared" si="2"/>
        <v>100</v>
      </c>
      <c r="X10" s="1304"/>
      <c r="Y10" s="3714" t="s">
        <v>482</v>
      </c>
      <c r="Z10" s="3715"/>
      <c r="AA10" s="995">
        <f t="shared" ref="AA10:AA47" si="3">D10/F10</f>
        <v>1</v>
      </c>
      <c r="AB10" s="995">
        <f t="shared" ref="AB10:AB47" si="4">D10/H10</f>
        <v>1</v>
      </c>
      <c r="AC10" s="995">
        <f t="shared" ref="AC10:AC47" si="5">D10/J10</f>
        <v>1</v>
      </c>
    </row>
    <row r="11" spans="1:29" s="1058" customFormat="1" ht="20.25">
      <c r="A11" s="2210"/>
      <c r="B11" s="2217" t="s">
        <v>2037</v>
      </c>
      <c r="C11" s="2204" t="s">
        <v>851</v>
      </c>
      <c r="D11" s="153">
        <v>100</v>
      </c>
      <c r="E11" s="2204" t="s">
        <v>851</v>
      </c>
      <c r="F11" s="153">
        <f>SUMIF(76:76,E11,77:77)-SUMIF(76:76,C11,77:77)+100</f>
        <v>100</v>
      </c>
      <c r="G11" s="2204" t="s">
        <v>851</v>
      </c>
      <c r="H11" s="153">
        <f>SUMIF(76:76,G11,77:77)-SUMIF(76:76,C11,77:77)+100</f>
        <v>100</v>
      </c>
      <c r="I11" s="2204" t="s">
        <v>851</v>
      </c>
      <c r="J11" s="153">
        <f>SUMIF(76:76,I11,77:77)-SUMIF(76:76,C11,77:77)+100</f>
        <v>100</v>
      </c>
      <c r="K11" s="87"/>
      <c r="L11" s="1742"/>
      <c r="M11" s="1739"/>
      <c r="N11" s="1739"/>
      <c r="O11" s="1743"/>
      <c r="P11" s="3684" t="s">
        <v>484</v>
      </c>
      <c r="Q11" s="816" t="str">
        <f t="shared" ref="Q11:Q17" si="6">B11</f>
        <v>用途</v>
      </c>
      <c r="R11" s="1302" t="s">
        <v>5</v>
      </c>
      <c r="S11" s="1303">
        <f t="shared" si="0"/>
        <v>100</v>
      </c>
      <c r="T11" s="1302" t="s">
        <v>5</v>
      </c>
      <c r="U11" s="1303">
        <f t="shared" si="1"/>
        <v>100</v>
      </c>
      <c r="V11" s="1302" t="s">
        <v>5</v>
      </c>
      <c r="W11" s="1303">
        <f t="shared" si="2"/>
        <v>100</v>
      </c>
      <c r="X11" s="1304"/>
      <c r="Y11" s="3632" t="s">
        <v>485</v>
      </c>
      <c r="Z11" s="995" t="str">
        <f t="shared" ref="Z11:Z17" si="7">Q11</f>
        <v>用途</v>
      </c>
      <c r="AA11" s="995">
        <f t="shared" si="3"/>
        <v>1</v>
      </c>
      <c r="AB11" s="995">
        <f t="shared" si="4"/>
        <v>1</v>
      </c>
      <c r="AC11" s="995">
        <f t="shared" si="5"/>
        <v>1</v>
      </c>
    </row>
    <row r="12" spans="1:29" s="1131" customFormat="1" ht="27">
      <c r="A12" s="2211"/>
      <c r="B12" s="2216" t="s">
        <v>2038</v>
      </c>
      <c r="C12" s="831"/>
      <c r="D12" s="234">
        <v>100</v>
      </c>
      <c r="E12" s="478"/>
      <c r="F12" s="234">
        <f>ROUND(100/'数据-取费表'!G16,0)</f>
        <v>100</v>
      </c>
      <c r="G12" s="479"/>
      <c r="H12" s="234">
        <f>ROUND(100/'数据-取费表'!G16,0)</f>
        <v>100</v>
      </c>
      <c r="I12" s="479"/>
      <c r="J12" s="234">
        <f>ROUND(100/'数据-取费表'!G16,0)</f>
        <v>100</v>
      </c>
      <c r="K12" s="480"/>
      <c r="L12" s="1744"/>
      <c r="M12" s="1739"/>
      <c r="N12" s="1739"/>
      <c r="O12" s="1745"/>
      <c r="P12" s="3684"/>
      <c r="Q12" s="816" t="str">
        <f t="shared" si="6"/>
        <v>土地使用年限（年）</v>
      </c>
      <c r="R12" s="1302" t="s">
        <v>5</v>
      </c>
      <c r="S12" s="1303">
        <f t="shared" si="0"/>
        <v>100</v>
      </c>
      <c r="T12" s="1302" t="s">
        <v>5</v>
      </c>
      <c r="U12" s="1303">
        <f t="shared" si="1"/>
        <v>100</v>
      </c>
      <c r="V12" s="1302" t="s">
        <v>5</v>
      </c>
      <c r="W12" s="1303">
        <f t="shared" si="2"/>
        <v>100</v>
      </c>
      <c r="X12" s="1304"/>
      <c r="Y12" s="3632"/>
      <c r="Z12" s="995" t="str">
        <f t="shared" si="7"/>
        <v>土地使用年限（年）</v>
      </c>
      <c r="AA12" s="995">
        <f t="shared" si="3"/>
        <v>1</v>
      </c>
      <c r="AB12" s="995">
        <f t="shared" si="4"/>
        <v>1</v>
      </c>
      <c r="AC12" s="995">
        <f t="shared" si="5"/>
        <v>1</v>
      </c>
    </row>
    <row r="13" spans="1:29" ht="20.25">
      <c r="A13" s="2212"/>
      <c r="B13" s="2216" t="s">
        <v>2039</v>
      </c>
      <c r="C13" s="483">
        <f>'数据-汇总表'!I4</f>
        <v>1.6</v>
      </c>
      <c r="D13" s="234">
        <v>100</v>
      </c>
      <c r="E13" s="482">
        <v>1.6</v>
      </c>
      <c r="F13" s="234">
        <f>LOOKUP(E13,81:81,82:82)-LOOKUP(C13,81:81,82:82)+100</f>
        <v>100</v>
      </c>
      <c r="G13" s="483">
        <v>1.2</v>
      </c>
      <c r="H13" s="234">
        <f>LOOKUP(G13,81:81,82:82)-LOOKUP(C13,81:81,82:82)+100</f>
        <v>102</v>
      </c>
      <c r="I13" s="482">
        <v>2.2000000000000002</v>
      </c>
      <c r="J13" s="234">
        <f>LOOKUP(I13,81:81,82:82)-LOOKUP(C13,81:81,82:82)+100</f>
        <v>98</v>
      </c>
      <c r="K13" s="484">
        <v>2</v>
      </c>
      <c r="L13" s="1746"/>
      <c r="M13" s="1739"/>
      <c r="N13" s="1739"/>
      <c r="O13" s="1747"/>
      <c r="P13" s="3684"/>
      <c r="Q13" s="816" t="str">
        <f t="shared" si="6"/>
        <v>容积率</v>
      </c>
      <c r="R13" s="1302" t="s">
        <v>5</v>
      </c>
      <c r="S13" s="1303">
        <f t="shared" si="0"/>
        <v>100</v>
      </c>
      <c r="T13" s="1302" t="s">
        <v>5</v>
      </c>
      <c r="U13" s="1303">
        <f t="shared" si="1"/>
        <v>102</v>
      </c>
      <c r="V13" s="1302" t="s">
        <v>5</v>
      </c>
      <c r="W13" s="1303">
        <f t="shared" si="2"/>
        <v>98</v>
      </c>
      <c r="X13" s="1304"/>
      <c r="Y13" s="3632"/>
      <c r="Z13" s="995" t="str">
        <f t="shared" si="7"/>
        <v>容积率</v>
      </c>
      <c r="AA13" s="995">
        <f t="shared" si="3"/>
        <v>1</v>
      </c>
      <c r="AB13" s="995">
        <f t="shared" si="4"/>
        <v>0.98039215686274506</v>
      </c>
      <c r="AC13" s="995">
        <f t="shared" si="5"/>
        <v>1.0204081632653061</v>
      </c>
    </row>
    <row r="14" spans="1:29" s="1058" customFormat="1" ht="20.25">
      <c r="A14" s="2209"/>
      <c r="B14" s="2218" t="s">
        <v>2040</v>
      </c>
      <c r="C14" s="3469" t="s">
        <v>3736</v>
      </c>
      <c r="D14" s="487">
        <v>100</v>
      </c>
      <c r="E14" s="1164" t="s">
        <v>3617</v>
      </c>
      <c r="F14" s="234">
        <f>SUMIF(83:83,E14,84:84)-SUMIF(83:83,C14,84:84)+100</f>
        <v>101</v>
      </c>
      <c r="G14" s="3442" t="s">
        <v>3617</v>
      </c>
      <c r="H14" s="234">
        <f>SUMIF(83:83,G14,84:84)-SUMIF(83:83,C14,84:84)+100</f>
        <v>101</v>
      </c>
      <c r="I14" s="2205" t="s">
        <v>3736</v>
      </c>
      <c r="J14" s="234">
        <f>SUMIF(83:83,I14,84:84)-SUMIF(83:83,C14,84:84)+100</f>
        <v>100</v>
      </c>
      <c r="K14" s="480"/>
      <c r="L14" s="1742"/>
      <c r="M14" s="1739"/>
      <c r="N14" s="1739"/>
      <c r="O14" s="1743"/>
      <c r="P14" s="3684"/>
      <c r="Q14" s="816" t="str">
        <f t="shared" si="6"/>
        <v>配建</v>
      </c>
      <c r="R14" s="1302" t="s">
        <v>5</v>
      </c>
      <c r="S14" s="1303">
        <f t="shared" si="0"/>
        <v>101</v>
      </c>
      <c r="T14" s="1302" t="s">
        <v>5</v>
      </c>
      <c r="U14" s="1303">
        <f t="shared" si="1"/>
        <v>101</v>
      </c>
      <c r="V14" s="1302" t="s">
        <v>5</v>
      </c>
      <c r="W14" s="1303">
        <f t="shared" si="2"/>
        <v>100</v>
      </c>
      <c r="X14" s="1304"/>
      <c r="Y14" s="3632"/>
      <c r="Z14" s="995" t="str">
        <f t="shared" si="7"/>
        <v>配建</v>
      </c>
      <c r="AA14" s="995">
        <f>D14/F14</f>
        <v>0.99009900990099009</v>
      </c>
      <c r="AB14" s="995">
        <f>D14/H14</f>
        <v>0.99009900990099009</v>
      </c>
      <c r="AC14" s="995">
        <f>D14/J14</f>
        <v>1</v>
      </c>
    </row>
    <row r="15" spans="1:29" ht="27">
      <c r="A15" s="2213"/>
      <c r="B15" s="3422"/>
      <c r="C15" s="3469" t="s">
        <v>3616</v>
      </c>
      <c r="D15" s="489">
        <v>100</v>
      </c>
      <c r="E15" s="490"/>
      <c r="F15" s="3470">
        <f>SUMIF(85:85,E15,86:86)-SUMIF(85:85,C15,86:86)+100</f>
        <v>100</v>
      </c>
      <c r="G15" s="491"/>
      <c r="H15" s="3470">
        <f>SUMIF(85:85,G15,86:86)-SUMIF(85:85,C15,86:86)+100</f>
        <v>100</v>
      </c>
      <c r="I15" s="2205" t="s">
        <v>3616</v>
      </c>
      <c r="J15" s="3470">
        <f>SUMIF(85:85,I15,86:86)-SUMIF(85:85,C15,86:86)+100</f>
        <v>100</v>
      </c>
      <c r="K15" s="480"/>
      <c r="L15" s="1748"/>
      <c r="M15" s="1739"/>
      <c r="N15" s="1739"/>
      <c r="O15" s="1747"/>
      <c r="P15" s="3684"/>
      <c r="Q15" s="816">
        <f t="shared" si="6"/>
        <v>0</v>
      </c>
      <c r="R15" s="1302" t="s">
        <v>5</v>
      </c>
      <c r="S15" s="1303">
        <f t="shared" si="0"/>
        <v>100</v>
      </c>
      <c r="T15" s="1302" t="s">
        <v>5</v>
      </c>
      <c r="U15" s="1303">
        <f t="shared" si="1"/>
        <v>100</v>
      </c>
      <c r="V15" s="1302" t="s">
        <v>5</v>
      </c>
      <c r="W15" s="1303">
        <f t="shared" si="2"/>
        <v>100</v>
      </c>
      <c r="X15" s="1304"/>
      <c r="Y15" s="3632"/>
      <c r="Z15" s="995">
        <f t="shared" si="7"/>
        <v>0</v>
      </c>
      <c r="AA15" s="995">
        <f>D15/F15</f>
        <v>1</v>
      </c>
      <c r="AB15" s="995">
        <f>D15/H15</f>
        <v>1</v>
      </c>
      <c r="AC15" s="995">
        <f>D15/J15</f>
        <v>1</v>
      </c>
    </row>
    <row r="16" spans="1:29" ht="21" thickBot="1">
      <c r="A16" s="2214"/>
      <c r="B16" s="2220">
        <v>111</v>
      </c>
      <c r="C16" s="836"/>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684"/>
      <c r="Q16" s="816">
        <f t="shared" si="6"/>
        <v>111</v>
      </c>
      <c r="R16" s="1302" t="s">
        <v>5</v>
      </c>
      <c r="S16" s="1303">
        <f t="shared" si="0"/>
        <v>100</v>
      </c>
      <c r="T16" s="1302" t="s">
        <v>5</v>
      </c>
      <c r="U16" s="1303">
        <f t="shared" si="1"/>
        <v>100</v>
      </c>
      <c r="V16" s="1302" t="s">
        <v>5</v>
      </c>
      <c r="W16" s="1303">
        <f t="shared" si="2"/>
        <v>100</v>
      </c>
      <c r="X16" s="1304"/>
      <c r="Y16" s="3632"/>
      <c r="Z16" s="995">
        <f t="shared" si="7"/>
        <v>111</v>
      </c>
      <c r="AA16" s="995">
        <f>D16/F16</f>
        <v>1</v>
      </c>
      <c r="AB16" s="995">
        <f>D16/H16</f>
        <v>1</v>
      </c>
      <c r="AC16" s="995">
        <f>D16/J16</f>
        <v>1</v>
      </c>
    </row>
    <row r="17" spans="1:29" ht="99.75">
      <c r="A17" s="2206" t="s">
        <v>2035</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98</v>
      </c>
      <c r="K17" s="484">
        <v>2</v>
      </c>
      <c r="L17" s="1748"/>
      <c r="M17" s="1739"/>
      <c r="N17" s="1739"/>
      <c r="O17" s="1747"/>
      <c r="P17" s="3717" t="s">
        <v>489</v>
      </c>
      <c r="Q17" s="1305" t="str">
        <f t="shared" si="6"/>
        <v>居住社区成熟度</v>
      </c>
      <c r="R17" s="1306" t="s">
        <v>5</v>
      </c>
      <c r="S17" s="1307">
        <f t="shared" si="0"/>
        <v>100</v>
      </c>
      <c r="T17" s="1306" t="s">
        <v>5</v>
      </c>
      <c r="U17" s="1307">
        <f t="shared" si="1"/>
        <v>100</v>
      </c>
      <c r="V17" s="1306" t="s">
        <v>5</v>
      </c>
      <c r="W17" s="1307">
        <f t="shared" si="2"/>
        <v>98</v>
      </c>
      <c r="X17" s="1301"/>
      <c r="Y17" s="3717" t="s">
        <v>489</v>
      </c>
      <c r="Z17" s="1308" t="str">
        <f t="shared" si="7"/>
        <v>居住社区成熟度</v>
      </c>
      <c r="AA17" s="1308">
        <f t="shared" si="3"/>
        <v>1</v>
      </c>
      <c r="AB17" s="1308">
        <f t="shared" si="4"/>
        <v>1</v>
      </c>
      <c r="AC17" s="1308">
        <f t="shared" si="5"/>
        <v>1.0204081632653061</v>
      </c>
    </row>
    <row r="18" spans="1:29" ht="20.25">
      <c r="A18" s="481"/>
      <c r="B18" s="502"/>
      <c r="C18" s="503" t="s">
        <v>3363</v>
      </c>
      <c r="D18" s="506"/>
      <c r="E18" s="507" t="s">
        <v>3363</v>
      </c>
      <c r="F18" s="504"/>
      <c r="G18" s="505" t="s">
        <v>3363</v>
      </c>
      <c r="H18" s="508"/>
      <c r="I18" s="507" t="s">
        <v>3364</v>
      </c>
      <c r="J18" s="504"/>
      <c r="K18" s="480"/>
      <c r="L18" s="1748"/>
      <c r="M18" s="1739"/>
      <c r="N18" s="1739"/>
      <c r="O18" s="1747"/>
      <c r="P18" s="3718"/>
      <c r="Q18" s="1305"/>
      <c r="R18" s="1306"/>
      <c r="S18" s="1307"/>
      <c r="T18" s="1306"/>
      <c r="U18" s="1307"/>
      <c r="V18" s="1306"/>
      <c r="W18" s="1307"/>
      <c r="X18" s="1301"/>
      <c r="Y18" s="3718"/>
      <c r="Z18" s="1308"/>
      <c r="AA18" s="1308">
        <v>1</v>
      </c>
      <c r="AB18" s="1308">
        <v>1</v>
      </c>
      <c r="AC18" s="1308">
        <v>1</v>
      </c>
    </row>
    <row r="19" spans="1:29" ht="71.25" hidden="1">
      <c r="A19" s="481"/>
      <c r="B19" s="509" t="s">
        <v>490</v>
      </c>
      <c r="C19" s="510" t="str">
        <f>估价对象房地状况!C16</f>
        <v>估价对象位于XX商圈，周边商业氛围成熟，人流量大，商业繁华度好</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718"/>
      <c r="Q19" s="1305" t="str">
        <f>B19</f>
        <v>商业繁华度</v>
      </c>
      <c r="R19" s="1306" t="s">
        <v>5</v>
      </c>
      <c r="S19" s="1307">
        <f>F19</f>
        <v>100</v>
      </c>
      <c r="T19" s="1306" t="s">
        <v>5</v>
      </c>
      <c r="U19" s="1307">
        <f>H19</f>
        <v>100</v>
      </c>
      <c r="V19" s="1306" t="s">
        <v>5</v>
      </c>
      <c r="W19" s="1307">
        <f>J19</f>
        <v>100</v>
      </c>
      <c r="X19" s="1301"/>
      <c r="Y19" s="3718"/>
      <c r="Z19" s="1308" t="str">
        <f>Q19</f>
        <v>商业繁华度</v>
      </c>
      <c r="AA19" s="1308">
        <f t="shared" si="3"/>
        <v>1</v>
      </c>
      <c r="AB19" s="1308">
        <f t="shared" si="4"/>
        <v>1</v>
      </c>
      <c r="AC19" s="1308">
        <f t="shared" si="5"/>
        <v>1</v>
      </c>
    </row>
    <row r="20" spans="1:29" ht="20.25" hidden="1">
      <c r="A20" s="481"/>
      <c r="B20" s="515"/>
      <c r="C20" s="516"/>
      <c r="D20" s="512"/>
      <c r="E20" s="518"/>
      <c r="F20" s="508"/>
      <c r="G20" s="517"/>
      <c r="H20" s="504"/>
      <c r="I20" s="518"/>
      <c r="J20" s="504"/>
      <c r="K20" s="480"/>
      <c r="L20" s="1748"/>
      <c r="M20" s="1739"/>
      <c r="N20" s="1739"/>
      <c r="O20" s="1747"/>
      <c r="P20" s="3718"/>
      <c r="Q20" s="1305"/>
      <c r="R20" s="1306"/>
      <c r="S20" s="1307"/>
      <c r="T20" s="1306"/>
      <c r="U20" s="1307"/>
      <c r="V20" s="1306"/>
      <c r="W20" s="1307"/>
      <c r="X20" s="1301"/>
      <c r="Y20" s="3718"/>
      <c r="Z20" s="1308"/>
      <c r="AA20" s="1308">
        <v>1</v>
      </c>
      <c r="AB20" s="1308">
        <v>1</v>
      </c>
      <c r="AC20" s="1308">
        <v>1</v>
      </c>
    </row>
    <row r="21" spans="1:29" ht="71.25" hidden="1">
      <c r="A21" s="481"/>
      <c r="B21" s="509" t="s">
        <v>491</v>
      </c>
      <c r="C21" s="510" t="str">
        <f>估价对象房地状况!C17</f>
        <v>估价对象位于XX商圈，周边办公楼项目较多，入驻率高，办公集聚程度较好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718"/>
      <c r="Q21" s="1305" t="str">
        <f>B21</f>
        <v>办公集聚程度</v>
      </c>
      <c r="R21" s="1306" t="s">
        <v>5</v>
      </c>
      <c r="S21" s="1307">
        <f>F21</f>
        <v>100</v>
      </c>
      <c r="T21" s="1306" t="s">
        <v>5</v>
      </c>
      <c r="U21" s="1307">
        <f>H21</f>
        <v>100</v>
      </c>
      <c r="V21" s="1306" t="s">
        <v>5</v>
      </c>
      <c r="W21" s="1307">
        <f>J21</f>
        <v>100</v>
      </c>
      <c r="X21" s="1301"/>
      <c r="Y21" s="3718"/>
      <c r="Z21" s="1308" t="str">
        <f>Q21</f>
        <v>办公集聚程度</v>
      </c>
      <c r="AA21" s="1308">
        <f t="shared" si="3"/>
        <v>1</v>
      </c>
      <c r="AB21" s="1308">
        <f t="shared" si="4"/>
        <v>1</v>
      </c>
      <c r="AC21" s="1308">
        <f t="shared" si="5"/>
        <v>1</v>
      </c>
    </row>
    <row r="22" spans="1:29" ht="20.25" hidden="1">
      <c r="A22" s="481"/>
      <c r="B22" s="515"/>
      <c r="C22" s="503"/>
      <c r="D22" s="506"/>
      <c r="E22" s="507"/>
      <c r="F22" s="504"/>
      <c r="G22" s="505"/>
      <c r="H22" s="504"/>
      <c r="I22" s="507"/>
      <c r="J22" s="504"/>
      <c r="K22" s="480"/>
      <c r="L22" s="1748"/>
      <c r="M22" s="1739"/>
      <c r="N22" s="1739"/>
      <c r="O22" s="1747"/>
      <c r="P22" s="3718"/>
      <c r="Q22" s="1305"/>
      <c r="R22" s="1306"/>
      <c r="S22" s="1307"/>
      <c r="T22" s="1306"/>
      <c r="U22" s="1307"/>
      <c r="V22" s="1306"/>
      <c r="W22" s="1307"/>
      <c r="X22" s="1301"/>
      <c r="Y22" s="3718"/>
      <c r="Z22" s="1308"/>
      <c r="AA22" s="1308">
        <v>1</v>
      </c>
      <c r="AB22" s="1308">
        <v>1</v>
      </c>
      <c r="AC22" s="1308">
        <v>1</v>
      </c>
    </row>
    <row r="23" spans="1:29" ht="85.5">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100</v>
      </c>
      <c r="I23" s="513"/>
      <c r="J23" s="508">
        <f>SUMIF(95:95,I24,96:96)-SUMIF(95:95,C24,96:96)+100</f>
        <v>100</v>
      </c>
      <c r="K23" s="484">
        <v>2</v>
      </c>
      <c r="L23" s="1748"/>
      <c r="M23" s="1739"/>
      <c r="N23" s="1739"/>
      <c r="O23" s="1747"/>
      <c r="P23" s="3718"/>
      <c r="Q23" s="1305" t="str">
        <f>B23</f>
        <v>交通便捷度</v>
      </c>
      <c r="R23" s="1306" t="s">
        <v>5</v>
      </c>
      <c r="S23" s="1307">
        <f>F23</f>
        <v>100</v>
      </c>
      <c r="T23" s="1306" t="s">
        <v>5</v>
      </c>
      <c r="U23" s="1307">
        <f>H23</f>
        <v>100</v>
      </c>
      <c r="V23" s="1306" t="s">
        <v>5</v>
      </c>
      <c r="W23" s="1307">
        <f>J23</f>
        <v>100</v>
      </c>
      <c r="X23" s="1301"/>
      <c r="Y23" s="3718"/>
      <c r="Z23" s="1308" t="str">
        <f>Q23</f>
        <v>交通便捷度</v>
      </c>
      <c r="AA23" s="1308">
        <f t="shared" si="3"/>
        <v>1</v>
      </c>
      <c r="AB23" s="1308">
        <f t="shared" si="4"/>
        <v>1</v>
      </c>
      <c r="AC23" s="1308">
        <f t="shared" si="5"/>
        <v>1</v>
      </c>
    </row>
    <row r="24" spans="1:29" ht="20.25">
      <c r="A24" s="481"/>
      <c r="B24" s="527"/>
      <c r="C24" s="503" t="s">
        <v>3364</v>
      </c>
      <c r="D24" s="506"/>
      <c r="E24" s="503" t="s">
        <v>3364</v>
      </c>
      <c r="F24" s="504"/>
      <c r="G24" s="503" t="s">
        <v>3364</v>
      </c>
      <c r="H24" s="504"/>
      <c r="I24" s="503" t="s">
        <v>3364</v>
      </c>
      <c r="J24" s="504"/>
      <c r="K24" s="480"/>
      <c r="L24" s="1748"/>
      <c r="M24" s="1739"/>
      <c r="N24" s="1739"/>
      <c r="O24" s="1747"/>
      <c r="P24" s="3718"/>
      <c r="Q24" s="1305"/>
      <c r="R24" s="1306"/>
      <c r="S24" s="1307"/>
      <c r="T24" s="1306"/>
      <c r="U24" s="1307"/>
      <c r="V24" s="1306"/>
      <c r="W24" s="1307"/>
      <c r="X24" s="1301"/>
      <c r="Y24" s="3718"/>
      <c r="Z24" s="1308"/>
      <c r="AA24" s="1308">
        <v>1</v>
      </c>
      <c r="AB24" s="1308">
        <v>1</v>
      </c>
      <c r="AC24" s="1308">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1</v>
      </c>
      <c r="L25" s="1748"/>
      <c r="M25" s="1739"/>
      <c r="N25" s="1739"/>
      <c r="O25" s="1747"/>
      <c r="P25" s="3718"/>
      <c r="Q25" s="1305" t="str">
        <f t="shared" ref="Q25:Q39" si="8">B25</f>
        <v>区域土地利用方向</v>
      </c>
      <c r="R25" s="1306" t="s">
        <v>5</v>
      </c>
      <c r="S25" s="1307">
        <f>F25</f>
        <v>100</v>
      </c>
      <c r="T25" s="1306" t="s">
        <v>5</v>
      </c>
      <c r="U25" s="1307">
        <f>H25</f>
        <v>100</v>
      </c>
      <c r="V25" s="1306" t="s">
        <v>5</v>
      </c>
      <c r="W25" s="1307">
        <f>J25</f>
        <v>100</v>
      </c>
      <c r="X25" s="1301"/>
      <c r="Y25" s="3718"/>
      <c r="Z25" s="1308" t="str">
        <f>Q25</f>
        <v>区域土地利用方向</v>
      </c>
      <c r="AA25" s="1308">
        <f t="shared" si="3"/>
        <v>1</v>
      </c>
      <c r="AB25" s="1308">
        <f t="shared" si="4"/>
        <v>1</v>
      </c>
      <c r="AC25" s="1308">
        <f t="shared" si="5"/>
        <v>1</v>
      </c>
    </row>
    <row r="26" spans="1:29" ht="20.25">
      <c r="A26" s="465"/>
      <c r="B26" s="917"/>
      <c r="C26" s="503" t="s">
        <v>3363</v>
      </c>
      <c r="D26" s="506"/>
      <c r="E26" s="503" t="s">
        <v>3363</v>
      </c>
      <c r="F26" s="504"/>
      <c r="G26" s="503" t="s">
        <v>3363</v>
      </c>
      <c r="H26" s="504"/>
      <c r="I26" s="503" t="s">
        <v>3363</v>
      </c>
      <c r="J26" s="504"/>
      <c r="K26" s="480"/>
      <c r="L26" s="1748"/>
      <c r="M26" s="1739"/>
      <c r="N26" s="1739"/>
      <c r="O26" s="1747"/>
      <c r="P26" s="3718"/>
      <c r="Q26" s="1305"/>
      <c r="R26" s="1306"/>
      <c r="S26" s="1307"/>
      <c r="T26" s="1306"/>
      <c r="U26" s="1307"/>
      <c r="V26" s="1306"/>
      <c r="W26" s="1307"/>
      <c r="X26" s="1301"/>
      <c r="Y26" s="3718"/>
      <c r="Z26" s="1308"/>
      <c r="AA26" s="1308"/>
      <c r="AB26" s="1308"/>
      <c r="AC26" s="1308"/>
    </row>
    <row r="27" spans="1:29" ht="57">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98</v>
      </c>
      <c r="I27" s="513"/>
      <c r="J27" s="508">
        <f>SUMIF(99:99,I28,100:100)-SUMIF(99:99,C28,100:100)+100</f>
        <v>98</v>
      </c>
      <c r="K27" s="484">
        <v>2</v>
      </c>
      <c r="L27" s="1748"/>
      <c r="M27" s="1739"/>
      <c r="N27" s="1739"/>
      <c r="O27" s="1747"/>
      <c r="P27" s="3718"/>
      <c r="Q27" s="1305" t="str">
        <f t="shared" si="8"/>
        <v>自然及人文环境状况</v>
      </c>
      <c r="R27" s="1306" t="s">
        <v>5</v>
      </c>
      <c r="S27" s="1307">
        <f>F27</f>
        <v>100</v>
      </c>
      <c r="T27" s="1306" t="s">
        <v>5</v>
      </c>
      <c r="U27" s="1307">
        <f>H27</f>
        <v>98</v>
      </c>
      <c r="V27" s="1306" t="s">
        <v>5</v>
      </c>
      <c r="W27" s="1307">
        <f>J27</f>
        <v>98</v>
      </c>
      <c r="X27" s="1301"/>
      <c r="Y27" s="3718"/>
      <c r="Z27" s="1308" t="str">
        <f>Q27</f>
        <v>自然及人文环境状况</v>
      </c>
      <c r="AA27" s="1308">
        <f t="shared" si="3"/>
        <v>1</v>
      </c>
      <c r="AB27" s="1308">
        <f t="shared" si="4"/>
        <v>1.0204081632653061</v>
      </c>
      <c r="AC27" s="1308">
        <f t="shared" si="5"/>
        <v>1.0204081632653061</v>
      </c>
    </row>
    <row r="28" spans="1:29" ht="20.25">
      <c r="A28" s="465"/>
      <c r="B28" s="515"/>
      <c r="C28" s="503" t="s">
        <v>3363</v>
      </c>
      <c r="D28" s="506"/>
      <c r="E28" s="525" t="s">
        <v>3363</v>
      </c>
      <c r="F28" s="504"/>
      <c r="G28" s="503" t="s">
        <v>3364</v>
      </c>
      <c r="H28" s="504"/>
      <c r="I28" s="525" t="s">
        <v>3364</v>
      </c>
      <c r="J28" s="504"/>
      <c r="K28" s="480"/>
      <c r="L28" s="1748"/>
      <c r="M28" s="1739"/>
      <c r="N28" s="1739"/>
      <c r="O28" s="1747"/>
      <c r="P28" s="3718"/>
      <c r="Q28" s="1305"/>
      <c r="R28" s="1306"/>
      <c r="S28" s="1307"/>
      <c r="T28" s="1306"/>
      <c r="U28" s="1307"/>
      <c r="V28" s="1306"/>
      <c r="W28" s="1307"/>
      <c r="X28" s="1301"/>
      <c r="Y28" s="3718"/>
      <c r="Z28" s="1308"/>
      <c r="AA28" s="1308">
        <v>1</v>
      </c>
      <c r="AB28" s="1308">
        <v>1</v>
      </c>
      <c r="AC28" s="1308">
        <v>1</v>
      </c>
    </row>
    <row r="29" spans="1:29" s="1058" customFormat="1" ht="42.75">
      <c r="A29" s="526"/>
      <c r="B29" s="2049" t="s">
        <v>1831</v>
      </c>
      <c r="C29" s="522" t="str">
        <f>估价对象房地状况!C21</f>
        <v>估价对象所在区域公共配套设施齐备情况</v>
      </c>
      <c r="D29" s="512">
        <v>100</v>
      </c>
      <c r="E29" s="513"/>
      <c r="F29" s="508">
        <f>SUMIF(101:101,E30,102:102)-SUMIF(101:101,C30,102:102)+100</f>
        <v>100</v>
      </c>
      <c r="G29" s="511"/>
      <c r="H29" s="508">
        <f>SUMIF(101:101,G30,102:102)-SUMIF(101:101,C30,102:102)+100</f>
        <v>100</v>
      </c>
      <c r="I29" s="513"/>
      <c r="J29" s="508">
        <f>SUMIF(101:101,I30,102:102)-SUMIF(101:101,C30,102:102)+100</f>
        <v>98</v>
      </c>
      <c r="K29" s="484">
        <v>2</v>
      </c>
      <c r="L29" s="1742"/>
      <c r="M29" s="1739"/>
      <c r="N29" s="1739"/>
      <c r="O29" s="1743"/>
      <c r="P29" s="3718"/>
      <c r="Q29" s="816" t="str">
        <f t="shared" si="8"/>
        <v>公共配套设施</v>
      </c>
      <c r="R29" s="1302" t="s">
        <v>5</v>
      </c>
      <c r="S29" s="1303">
        <f>F29</f>
        <v>100</v>
      </c>
      <c r="T29" s="1302" t="s">
        <v>5</v>
      </c>
      <c r="U29" s="1303">
        <f>H29</f>
        <v>100</v>
      </c>
      <c r="V29" s="1302" t="s">
        <v>5</v>
      </c>
      <c r="W29" s="1303">
        <f>J29</f>
        <v>98</v>
      </c>
      <c r="X29" s="1304"/>
      <c r="Y29" s="3718"/>
      <c r="Z29" s="995" t="str">
        <f>Q29</f>
        <v>公共配套设施</v>
      </c>
      <c r="AA29" s="1308">
        <f>D29/F29</f>
        <v>1</v>
      </c>
      <c r="AB29" s="1308">
        <f>D29/H29</f>
        <v>1</v>
      </c>
      <c r="AC29" s="1308">
        <f>D29/J29</f>
        <v>1.0204081632653061</v>
      </c>
    </row>
    <row r="30" spans="1:29" s="1058" customFormat="1" ht="20.25">
      <c r="A30" s="526"/>
      <c r="B30" s="515"/>
      <c r="C30" s="528" t="s">
        <v>3364</v>
      </c>
      <c r="D30" s="506"/>
      <c r="E30" s="525" t="s">
        <v>3364</v>
      </c>
      <c r="F30" s="504"/>
      <c r="G30" s="503" t="s">
        <v>3364</v>
      </c>
      <c r="H30" s="504"/>
      <c r="I30" s="525" t="s">
        <v>3369</v>
      </c>
      <c r="J30" s="504"/>
      <c r="K30" s="480"/>
      <c r="L30" s="1742"/>
      <c r="M30" s="1739"/>
      <c r="N30" s="1739"/>
      <c r="O30" s="1743"/>
      <c r="P30" s="3718"/>
      <c r="Q30" s="816"/>
      <c r="R30" s="1302"/>
      <c r="S30" s="1303"/>
      <c r="T30" s="1302"/>
      <c r="U30" s="1303"/>
      <c r="V30" s="1302"/>
      <c r="W30" s="1303"/>
      <c r="X30" s="1304"/>
      <c r="Y30" s="3718"/>
      <c r="Z30" s="995"/>
      <c r="AA30" s="1308">
        <v>1</v>
      </c>
      <c r="AB30" s="1308">
        <v>1</v>
      </c>
      <c r="AC30" s="1308">
        <v>1</v>
      </c>
    </row>
    <row r="31" spans="1:29" s="1058" customFormat="1" ht="28.5">
      <c r="A31" s="526"/>
      <c r="B31" s="2049"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2"/>
      <c r="M31" s="1739"/>
      <c r="N31" s="1739"/>
      <c r="O31" s="1743"/>
      <c r="P31" s="3718"/>
      <c r="Q31" s="816" t="str">
        <f>B31</f>
        <v>基础设施水平</v>
      </c>
      <c r="R31" s="1302" t="s">
        <v>5</v>
      </c>
      <c r="S31" s="1303">
        <f>F31</f>
        <v>100</v>
      </c>
      <c r="T31" s="1302" t="s">
        <v>5</v>
      </c>
      <c r="U31" s="1303">
        <f>H31</f>
        <v>100</v>
      </c>
      <c r="V31" s="1302" t="s">
        <v>5</v>
      </c>
      <c r="W31" s="1303">
        <f>J31</f>
        <v>100</v>
      </c>
      <c r="X31" s="1304"/>
      <c r="Y31" s="3718"/>
      <c r="Z31" s="995" t="str">
        <f>Q31</f>
        <v>基础设施水平</v>
      </c>
      <c r="AA31" s="1308">
        <f>D31/F31</f>
        <v>1</v>
      </c>
      <c r="AB31" s="1308">
        <f>D31/H31</f>
        <v>1</v>
      </c>
      <c r="AC31" s="1308">
        <f>D31/J31</f>
        <v>1</v>
      </c>
    </row>
    <row r="32" spans="1:29" s="1058" customFormat="1" ht="21" thickBot="1">
      <c r="A32" s="526"/>
      <c r="B32" s="515"/>
      <c r="C32" s="528" t="s">
        <v>3365</v>
      </c>
      <c r="D32" s="506"/>
      <c r="E32" s="528" t="s">
        <v>3365</v>
      </c>
      <c r="F32" s="504"/>
      <c r="G32" s="528" t="s">
        <v>3365</v>
      </c>
      <c r="H32" s="504"/>
      <c r="I32" s="528" t="s">
        <v>3365</v>
      </c>
      <c r="J32" s="504"/>
      <c r="K32" s="480"/>
      <c r="L32" s="1742"/>
      <c r="M32" s="1739"/>
      <c r="N32" s="1739"/>
      <c r="O32" s="1743"/>
      <c r="P32" s="3718"/>
      <c r="Q32" s="816"/>
      <c r="R32" s="1302"/>
      <c r="S32" s="1303"/>
      <c r="T32" s="1302"/>
      <c r="U32" s="1303"/>
      <c r="V32" s="1302"/>
      <c r="W32" s="1303"/>
      <c r="X32" s="1304"/>
      <c r="Y32" s="3718"/>
      <c r="Z32" s="995"/>
      <c r="AA32" s="1308">
        <v>1</v>
      </c>
      <c r="AB32" s="1308">
        <v>1</v>
      </c>
      <c r="AC32" s="1308">
        <v>1</v>
      </c>
    </row>
    <row r="33" spans="1:29" ht="20.25" hidden="1">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718"/>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18"/>
      <c r="Z33" s="1308" t="str">
        <f t="shared" ref="Z33:Z47" si="12">Q33</f>
        <v>临街状况</v>
      </c>
      <c r="AA33" s="1308">
        <f t="shared" si="3"/>
        <v>1</v>
      </c>
      <c r="AB33" s="1308">
        <f t="shared" si="4"/>
        <v>1</v>
      </c>
      <c r="AC33" s="1308">
        <f t="shared" si="5"/>
        <v>1</v>
      </c>
    </row>
    <row r="34" spans="1:29" ht="27" hidden="1">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718"/>
      <c r="Q34" s="1305" t="str">
        <f t="shared" si="8"/>
        <v>毗邻道路的类型与等级</v>
      </c>
      <c r="R34" s="1306" t="s">
        <v>5</v>
      </c>
      <c r="S34" s="1307">
        <f t="shared" si="9"/>
        <v>100</v>
      </c>
      <c r="T34" s="1306" t="s">
        <v>5</v>
      </c>
      <c r="U34" s="1307">
        <f t="shared" si="10"/>
        <v>100</v>
      </c>
      <c r="V34" s="1306" t="s">
        <v>5</v>
      </c>
      <c r="W34" s="1307">
        <f t="shared" si="11"/>
        <v>100</v>
      </c>
      <c r="X34" s="1301"/>
      <c r="Y34" s="3718"/>
      <c r="Z34" s="1308" t="str">
        <f t="shared" si="12"/>
        <v>毗邻道路的类型与等级</v>
      </c>
      <c r="AA34" s="1308">
        <f t="shared" si="3"/>
        <v>1</v>
      </c>
      <c r="AB34" s="1308">
        <f t="shared" si="4"/>
        <v>1</v>
      </c>
      <c r="AC34" s="1308">
        <f t="shared" si="5"/>
        <v>1</v>
      </c>
    </row>
    <row r="35" spans="1:29" ht="20.25" hidden="1">
      <c r="A35" s="481"/>
      <c r="B35" s="515"/>
      <c r="C35" s="503"/>
      <c r="D35" s="506"/>
      <c r="E35" s="525"/>
      <c r="F35" s="504"/>
      <c r="G35" s="503"/>
      <c r="H35" s="504"/>
      <c r="I35" s="525"/>
      <c r="J35" s="504"/>
      <c r="K35" s="530"/>
      <c r="L35" s="1748"/>
      <c r="M35" s="1739"/>
      <c r="N35" s="1739"/>
      <c r="O35" s="1747"/>
      <c r="P35" s="3718"/>
      <c r="Q35" s="1305"/>
      <c r="R35" s="1306"/>
      <c r="S35" s="1307"/>
      <c r="T35" s="1306"/>
      <c r="U35" s="1307"/>
      <c r="V35" s="1306"/>
      <c r="W35" s="1307"/>
      <c r="X35" s="1301"/>
      <c r="Y35" s="3718"/>
      <c r="Z35" s="1308"/>
      <c r="AA35" s="1308">
        <v>1</v>
      </c>
      <c r="AB35" s="1308">
        <v>1</v>
      </c>
      <c r="AC35" s="1308">
        <v>1</v>
      </c>
    </row>
    <row r="36" spans="1:29" ht="20.25" hidden="1">
      <c r="A36" s="481"/>
      <c r="B36" s="234" t="s">
        <v>498</v>
      </c>
      <c r="C36" s="529" t="s">
        <v>1156</v>
      </c>
      <c r="D36" s="524">
        <v>100</v>
      </c>
      <c r="E36" s="531" t="s">
        <v>1156</v>
      </c>
      <c r="F36" s="489">
        <f>SUMIF(109:109,E36,110:110)-SUMIF(109:109,C36,110:110)+100</f>
        <v>100</v>
      </c>
      <c r="G36" s="529" t="s">
        <v>1156</v>
      </c>
      <c r="H36" s="489">
        <f>SUMIF(109:109,G36,110:110)-SUMIF(109:109,C36,110:110)+100</f>
        <v>100</v>
      </c>
      <c r="I36" s="531" t="s">
        <v>1157</v>
      </c>
      <c r="J36" s="489">
        <f>SUMIF(109:109,I36,110:110)-SUMIF(109:109,C36,110:110)+100</f>
        <v>100</v>
      </c>
      <c r="K36" s="532"/>
      <c r="L36" s="1748"/>
      <c r="M36" s="1739"/>
      <c r="N36" s="1739"/>
      <c r="O36" s="1747"/>
      <c r="P36" s="3718"/>
      <c r="Q36" s="1305" t="str">
        <f t="shared" si="8"/>
        <v>土地级别</v>
      </c>
      <c r="R36" s="1306" t="s">
        <v>5</v>
      </c>
      <c r="S36" s="1307">
        <f t="shared" si="9"/>
        <v>100</v>
      </c>
      <c r="T36" s="1306" t="s">
        <v>5</v>
      </c>
      <c r="U36" s="1307">
        <f t="shared" si="10"/>
        <v>100</v>
      </c>
      <c r="V36" s="1306" t="s">
        <v>5</v>
      </c>
      <c r="W36" s="1307">
        <f t="shared" si="11"/>
        <v>100</v>
      </c>
      <c r="X36" s="1301"/>
      <c r="Y36" s="3718"/>
      <c r="Z36" s="1308" t="str">
        <f t="shared" si="12"/>
        <v>土地级别</v>
      </c>
      <c r="AA36" s="1308">
        <f t="shared" si="3"/>
        <v>1</v>
      </c>
      <c r="AB36" s="1308">
        <f t="shared" si="4"/>
        <v>1</v>
      </c>
      <c r="AC36" s="1308">
        <f t="shared" si="5"/>
        <v>1</v>
      </c>
    </row>
    <row r="37" spans="1:29" ht="20.25" hidden="1">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718"/>
      <c r="Q37" s="1305">
        <f t="shared" si="8"/>
        <v>111</v>
      </c>
      <c r="R37" s="1306" t="s">
        <v>5</v>
      </c>
      <c r="S37" s="1307">
        <f t="shared" si="9"/>
        <v>100</v>
      </c>
      <c r="T37" s="1306" t="s">
        <v>5</v>
      </c>
      <c r="U37" s="1307">
        <f t="shared" si="10"/>
        <v>100</v>
      </c>
      <c r="V37" s="1306" t="s">
        <v>5</v>
      </c>
      <c r="W37" s="1307">
        <f t="shared" si="11"/>
        <v>100</v>
      </c>
      <c r="X37" s="1301"/>
      <c r="Y37" s="3718"/>
      <c r="Z37" s="1308">
        <f t="shared" si="12"/>
        <v>111</v>
      </c>
      <c r="AA37" s="1308">
        <f t="shared" si="3"/>
        <v>1</v>
      </c>
      <c r="AB37" s="1308">
        <f t="shared" si="4"/>
        <v>1</v>
      </c>
      <c r="AC37" s="1308">
        <f t="shared" si="5"/>
        <v>1</v>
      </c>
    </row>
    <row r="38" spans="1:29" ht="20.25" hidden="1">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719" t="s">
        <v>499</v>
      </c>
      <c r="Q38" s="1305">
        <f t="shared" si="8"/>
        <v>111</v>
      </c>
      <c r="R38" s="1306" t="s">
        <v>5</v>
      </c>
      <c r="S38" s="1307">
        <f t="shared" si="9"/>
        <v>100</v>
      </c>
      <c r="T38" s="1306" t="s">
        <v>5</v>
      </c>
      <c r="U38" s="1307">
        <f t="shared" si="10"/>
        <v>100</v>
      </c>
      <c r="V38" s="1306" t="s">
        <v>5</v>
      </c>
      <c r="W38" s="1307">
        <f t="shared" si="11"/>
        <v>100</v>
      </c>
      <c r="X38" s="1301"/>
      <c r="Y38" s="3720" t="s">
        <v>499</v>
      </c>
      <c r="Z38" s="1308">
        <f t="shared" si="12"/>
        <v>111</v>
      </c>
      <c r="AA38" s="1308">
        <f t="shared" si="3"/>
        <v>1</v>
      </c>
      <c r="AB38" s="1308">
        <f t="shared" si="4"/>
        <v>1</v>
      </c>
      <c r="AC38" s="1308">
        <f t="shared" si="5"/>
        <v>1</v>
      </c>
    </row>
    <row r="39" spans="1:29" s="1132" customFormat="1" ht="21" hidden="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720"/>
      <c r="Q39" s="1305">
        <f t="shared" si="8"/>
        <v>111</v>
      </c>
      <c r="R39" s="1309" t="s">
        <v>5</v>
      </c>
      <c r="S39" s="1310">
        <f t="shared" si="9"/>
        <v>100</v>
      </c>
      <c r="T39" s="1309" t="s">
        <v>5</v>
      </c>
      <c r="U39" s="1310">
        <f t="shared" si="10"/>
        <v>100</v>
      </c>
      <c r="V39" s="1309" t="s">
        <v>5</v>
      </c>
      <c r="W39" s="1310">
        <f t="shared" si="11"/>
        <v>100</v>
      </c>
      <c r="X39" s="1311"/>
      <c r="Y39" s="3720"/>
      <c r="Z39" s="1312">
        <f t="shared" si="12"/>
        <v>111</v>
      </c>
      <c r="AA39" s="1308">
        <f t="shared" si="3"/>
        <v>1</v>
      </c>
      <c r="AB39" s="1308">
        <f t="shared" si="4"/>
        <v>1</v>
      </c>
      <c r="AC39" s="1308">
        <f t="shared" si="5"/>
        <v>1</v>
      </c>
    </row>
    <row r="40" spans="1:29" ht="20.25">
      <c r="A40" s="2203" t="s">
        <v>2036</v>
      </c>
      <c r="B40" s="543" t="s">
        <v>501</v>
      </c>
      <c r="C40" s="544">
        <v>12997.77</v>
      </c>
      <c r="D40" s="545">
        <v>100</v>
      </c>
      <c r="E40" s="544">
        <f>土地案例!F6</f>
        <v>25569.01</v>
      </c>
      <c r="F40" s="545">
        <f>LOOKUP(E40,118:118,119:119)-LOOKUP(C40,118:118,119:119)+100</f>
        <v>101</v>
      </c>
      <c r="G40" s="544">
        <f>土地案例!F7</f>
        <v>39059.79</v>
      </c>
      <c r="H40" s="545">
        <f>LOOKUP(G40,118:118,119:119)-LOOKUP(C40,118:118,119:119)+100</f>
        <v>101</v>
      </c>
      <c r="I40" s="546">
        <f>土地案例!F8</f>
        <v>55570.2</v>
      </c>
      <c r="J40" s="545">
        <f>LOOKUP(I40,118:118,119:119)-LOOKUP(C40,118:118,119:119)+100</f>
        <v>102</v>
      </c>
      <c r="K40" s="530"/>
      <c r="L40" s="1748"/>
      <c r="M40" s="1739"/>
      <c r="N40" s="1739"/>
      <c r="O40" s="1747"/>
      <c r="P40" s="3720"/>
      <c r="Q40" s="1305" t="str">
        <f>B40</f>
        <v>宗地面积</v>
      </c>
      <c r="R40" s="1306" t="s">
        <v>5</v>
      </c>
      <c r="S40" s="1307">
        <f t="shared" si="9"/>
        <v>101</v>
      </c>
      <c r="T40" s="1306" t="s">
        <v>5</v>
      </c>
      <c r="U40" s="1307">
        <f t="shared" si="10"/>
        <v>101</v>
      </c>
      <c r="V40" s="1306" t="s">
        <v>5</v>
      </c>
      <c r="W40" s="1307">
        <f t="shared" si="11"/>
        <v>102</v>
      </c>
      <c r="X40" s="1301"/>
      <c r="Y40" s="3720"/>
      <c r="Z40" s="1308" t="str">
        <f t="shared" si="12"/>
        <v>宗地面积</v>
      </c>
      <c r="AA40" s="1308">
        <f t="shared" si="3"/>
        <v>0.99009900990099009</v>
      </c>
      <c r="AB40" s="1308">
        <f t="shared" si="4"/>
        <v>0.99009900990099009</v>
      </c>
      <c r="AC40" s="1308">
        <f t="shared" si="5"/>
        <v>0.98039215686274506</v>
      </c>
    </row>
    <row r="41" spans="1:29" ht="20.25">
      <c r="A41" s="542"/>
      <c r="B41" s="476" t="s">
        <v>502</v>
      </c>
      <c r="C41" s="547" t="s">
        <v>3379</v>
      </c>
      <c r="D41" s="489">
        <v>100</v>
      </c>
      <c r="E41" s="547" t="s">
        <v>3379</v>
      </c>
      <c r="F41" s="489">
        <f>SUMIF(120:120,E41,121:121)-SUMIF(120:120,C41,121:121)+100</f>
        <v>100</v>
      </c>
      <c r="G41" s="547" t="s">
        <v>3379</v>
      </c>
      <c r="H41" s="489">
        <f>SUMIF(120:120,G41,121:121)-SUMIF(120:120,C41,121:121)+100</f>
        <v>100</v>
      </c>
      <c r="I41" s="547" t="s">
        <v>3379</v>
      </c>
      <c r="J41" s="489">
        <f>SUMIF(120:120,I41,121:121)-SUMIF(120:120,C41,121:121)+100</f>
        <v>100</v>
      </c>
      <c r="K41" s="532">
        <v>1</v>
      </c>
      <c r="L41" s="1748"/>
      <c r="M41" s="1739"/>
      <c r="N41" s="1739"/>
      <c r="O41" s="1747"/>
      <c r="P41" s="3720"/>
      <c r="Q41" s="1305" t="str">
        <f t="shared" ref="Q41:Q47" si="13">B41</f>
        <v>宗地形状</v>
      </c>
      <c r="R41" s="1306" t="s">
        <v>5</v>
      </c>
      <c r="S41" s="1307">
        <f t="shared" si="9"/>
        <v>100</v>
      </c>
      <c r="T41" s="1306" t="s">
        <v>5</v>
      </c>
      <c r="U41" s="1307">
        <f t="shared" si="10"/>
        <v>100</v>
      </c>
      <c r="V41" s="1306" t="s">
        <v>5</v>
      </c>
      <c r="W41" s="1307">
        <f t="shared" si="11"/>
        <v>100</v>
      </c>
      <c r="X41" s="1301"/>
      <c r="Y41" s="3720"/>
      <c r="Z41" s="1308" t="str">
        <f t="shared" si="12"/>
        <v>宗地形状</v>
      </c>
      <c r="AA41" s="1308">
        <f t="shared" si="3"/>
        <v>1</v>
      </c>
      <c r="AB41" s="1308">
        <f t="shared" si="4"/>
        <v>1</v>
      </c>
      <c r="AC41" s="1308">
        <f t="shared" si="5"/>
        <v>1</v>
      </c>
    </row>
    <row r="42" spans="1:29" ht="20.25" hidden="1">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720"/>
      <c r="Q42" s="1305" t="str">
        <f t="shared" si="13"/>
        <v>临街宽度及深度</v>
      </c>
      <c r="R42" s="1306" t="s">
        <v>5</v>
      </c>
      <c r="S42" s="1307">
        <f t="shared" si="9"/>
        <v>100</v>
      </c>
      <c r="T42" s="1306" t="s">
        <v>5</v>
      </c>
      <c r="U42" s="1307">
        <f t="shared" si="10"/>
        <v>100</v>
      </c>
      <c r="V42" s="1306" t="s">
        <v>5</v>
      </c>
      <c r="W42" s="1307">
        <f t="shared" si="11"/>
        <v>100</v>
      </c>
      <c r="X42" s="1301"/>
      <c r="Y42" s="3720"/>
      <c r="Z42" s="1308" t="str">
        <f t="shared" si="12"/>
        <v>临街宽度及深度</v>
      </c>
      <c r="AA42" s="1308">
        <f t="shared" si="3"/>
        <v>1</v>
      </c>
      <c r="AB42" s="1308">
        <f t="shared" si="4"/>
        <v>1</v>
      </c>
      <c r="AC42" s="1308">
        <f t="shared" si="5"/>
        <v>1</v>
      </c>
    </row>
    <row r="43" spans="1:29" s="1058" customFormat="1" ht="20.25">
      <c r="A43" s="548"/>
      <c r="B43" s="1553" t="s">
        <v>1776</v>
      </c>
      <c r="C43" s="549" t="s">
        <v>3380</v>
      </c>
      <c r="D43" s="234">
        <v>100</v>
      </c>
      <c r="E43" s="549" t="s">
        <v>3380</v>
      </c>
      <c r="F43" s="489">
        <f>SUMIF(124:124,E43,125:125)-SUMIF(124:124,C43,125:125)+100</f>
        <v>100</v>
      </c>
      <c r="G43" s="549" t="s">
        <v>3381</v>
      </c>
      <c r="H43" s="489">
        <f>SUMIF(124:124,G43,125:125)-SUMIF(124:124,C43,125:125)+100</f>
        <v>99</v>
      </c>
      <c r="I43" s="549" t="s">
        <v>3382</v>
      </c>
      <c r="J43" s="489">
        <f>SUMIF(124:124,I43,125:125)-SUMIF(124:124,C43,125:125)+100</f>
        <v>101</v>
      </c>
      <c r="K43" s="532">
        <v>1</v>
      </c>
      <c r="L43" s="1742"/>
      <c r="M43" s="1739"/>
      <c r="N43" s="1739"/>
      <c r="O43" s="1743"/>
      <c r="P43" s="3720"/>
      <c r="Q43" s="1305" t="str">
        <f t="shared" si="13"/>
        <v>宗地开发程度</v>
      </c>
      <c r="R43" s="1302" t="s">
        <v>5</v>
      </c>
      <c r="S43" s="1303">
        <f t="shared" si="9"/>
        <v>100</v>
      </c>
      <c r="T43" s="1302" t="s">
        <v>5</v>
      </c>
      <c r="U43" s="1303">
        <f t="shared" si="10"/>
        <v>99</v>
      </c>
      <c r="V43" s="1302" t="s">
        <v>5</v>
      </c>
      <c r="W43" s="1303">
        <f t="shared" si="11"/>
        <v>101</v>
      </c>
      <c r="X43" s="1304"/>
      <c r="Y43" s="3720"/>
      <c r="Z43" s="995" t="str">
        <f t="shared" si="12"/>
        <v>宗地开发程度</v>
      </c>
      <c r="AA43" s="995">
        <f t="shared" si="3"/>
        <v>1</v>
      </c>
      <c r="AB43" s="995">
        <f t="shared" si="4"/>
        <v>1.0101010101010102</v>
      </c>
      <c r="AC43" s="995">
        <f t="shared" si="5"/>
        <v>0.99009900990099009</v>
      </c>
    </row>
    <row r="44" spans="1:29" ht="20.25">
      <c r="A44" s="542"/>
      <c r="B44" s="476" t="s">
        <v>504</v>
      </c>
      <c r="C44" s="547" t="s">
        <v>3363</v>
      </c>
      <c r="D44" s="489">
        <v>100</v>
      </c>
      <c r="E44" s="547" t="s">
        <v>3363</v>
      </c>
      <c r="F44" s="489">
        <f>SUMIF(126:126,E44,127:127)-SUMIF(126:126,C44,127:127)+100</f>
        <v>100</v>
      </c>
      <c r="G44" s="547" t="s">
        <v>3363</v>
      </c>
      <c r="H44" s="489">
        <f>SUMIF(126:126,G44,127:127)-SUMIF(126:126,C44,127:127)+100</f>
        <v>100</v>
      </c>
      <c r="I44" s="547" t="s">
        <v>3363</v>
      </c>
      <c r="J44" s="489">
        <f>SUMIF(126:126,I44,127:127)-SUMIF(126:126,C44,127:127)+100</f>
        <v>100</v>
      </c>
      <c r="K44" s="532">
        <v>1</v>
      </c>
      <c r="L44" s="1748"/>
      <c r="M44" s="1739"/>
      <c r="N44" s="1739"/>
      <c r="O44" s="1747"/>
      <c r="P44" s="3720" t="s">
        <v>499</v>
      </c>
      <c r="Q44" s="1305" t="str">
        <f t="shared" si="13"/>
        <v>工程地质条件</v>
      </c>
      <c r="R44" s="1306" t="s">
        <v>5</v>
      </c>
      <c r="S44" s="1307">
        <f t="shared" si="9"/>
        <v>100</v>
      </c>
      <c r="T44" s="1306" t="s">
        <v>5</v>
      </c>
      <c r="U44" s="1307">
        <f t="shared" si="10"/>
        <v>100</v>
      </c>
      <c r="V44" s="1306" t="s">
        <v>5</v>
      </c>
      <c r="W44" s="1307">
        <f t="shared" si="11"/>
        <v>100</v>
      </c>
      <c r="X44" s="1301"/>
      <c r="Y44" s="3720" t="s">
        <v>499</v>
      </c>
      <c r="Z44" s="1308" t="str">
        <f t="shared" si="12"/>
        <v>工程地质条件</v>
      </c>
      <c r="AA44" s="1308">
        <f t="shared" si="3"/>
        <v>1</v>
      </c>
      <c r="AB44" s="1308">
        <f t="shared" si="4"/>
        <v>1</v>
      </c>
      <c r="AC44" s="1308">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720"/>
      <c r="Q45" s="1305">
        <f t="shared" si="13"/>
        <v>111</v>
      </c>
      <c r="R45" s="1306" t="s">
        <v>5</v>
      </c>
      <c r="S45" s="1307">
        <f t="shared" si="9"/>
        <v>100</v>
      </c>
      <c r="T45" s="1306" t="s">
        <v>5</v>
      </c>
      <c r="U45" s="1307">
        <f t="shared" si="10"/>
        <v>100</v>
      </c>
      <c r="V45" s="1306" t="s">
        <v>5</v>
      </c>
      <c r="W45" s="1307">
        <f t="shared" si="11"/>
        <v>100</v>
      </c>
      <c r="X45" s="1301"/>
      <c r="Y45" s="3720"/>
      <c r="Z45" s="1308">
        <f t="shared" si="12"/>
        <v>111</v>
      </c>
      <c r="AA45" s="1308">
        <f t="shared" si="3"/>
        <v>1</v>
      </c>
      <c r="AB45" s="1308">
        <f t="shared" si="4"/>
        <v>1</v>
      </c>
      <c r="AC45" s="1308">
        <f t="shared" si="5"/>
        <v>1</v>
      </c>
    </row>
    <row r="46" spans="1:29" ht="57">
      <c r="A46" s="542"/>
      <c r="B46" s="550">
        <v>111</v>
      </c>
      <c r="C46" s="491"/>
      <c r="D46" s="489">
        <v>100</v>
      </c>
      <c r="E46" s="491" t="s">
        <v>3637</v>
      </c>
      <c r="F46" s="489">
        <f>SUMIF(130:130,E46,131:131)-SUMIF(130:130,C46,131:131)+100</f>
        <v>100</v>
      </c>
      <c r="G46" s="491" t="s">
        <v>3663</v>
      </c>
      <c r="H46" s="489">
        <f>SUMIF(130:130,G46,131:131)-SUMIF(130:130,C46,131:131)+100</f>
        <v>100</v>
      </c>
      <c r="I46" s="490" t="s">
        <v>3383</v>
      </c>
      <c r="J46" s="489">
        <f>SUMIF(130:130,I46,131:131)-SUMIF(130:130,C46,131:131)+100</f>
        <v>100</v>
      </c>
      <c r="K46" s="530"/>
      <c r="L46" s="1748"/>
      <c r="M46" s="1739"/>
      <c r="N46" s="1739"/>
      <c r="O46" s="1747"/>
      <c r="P46" s="3720"/>
      <c r="Q46" s="1305">
        <f t="shared" si="13"/>
        <v>111</v>
      </c>
      <c r="R46" s="1306" t="s">
        <v>5</v>
      </c>
      <c r="S46" s="1307">
        <f t="shared" si="9"/>
        <v>100</v>
      </c>
      <c r="T46" s="1306" t="s">
        <v>5</v>
      </c>
      <c r="U46" s="1307">
        <f t="shared" si="10"/>
        <v>100</v>
      </c>
      <c r="V46" s="1306" t="s">
        <v>5</v>
      </c>
      <c r="W46" s="1307">
        <f t="shared" si="11"/>
        <v>100</v>
      </c>
      <c r="X46" s="1301"/>
      <c r="Y46" s="3720"/>
      <c r="Z46" s="1308">
        <f t="shared" si="12"/>
        <v>111</v>
      </c>
      <c r="AA46" s="1308">
        <f t="shared" si="3"/>
        <v>1</v>
      </c>
      <c r="AB46" s="1308">
        <f t="shared" si="4"/>
        <v>1</v>
      </c>
      <c r="AC46" s="1308">
        <f t="shared" si="5"/>
        <v>1</v>
      </c>
    </row>
    <row r="47" spans="1:29" s="1132" customFormat="1" ht="27.75" thickBot="1">
      <c r="A47" s="551"/>
      <c r="B47" s="550">
        <v>111</v>
      </c>
      <c r="C47" s="552"/>
      <c r="D47" s="553">
        <v>100</v>
      </c>
      <c r="E47" s="3490" t="s">
        <v>3735</v>
      </c>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720"/>
      <c r="Q47" s="1305">
        <f t="shared" si="13"/>
        <v>111</v>
      </c>
      <c r="R47" s="1309" t="s">
        <v>5</v>
      </c>
      <c r="S47" s="1310">
        <f t="shared" si="9"/>
        <v>100</v>
      </c>
      <c r="T47" s="1309" t="s">
        <v>5</v>
      </c>
      <c r="U47" s="1310">
        <f t="shared" si="10"/>
        <v>100</v>
      </c>
      <c r="V47" s="1309" t="s">
        <v>5</v>
      </c>
      <c r="W47" s="1310">
        <f t="shared" si="11"/>
        <v>100</v>
      </c>
      <c r="X47" s="1311"/>
      <c r="Y47" s="3720"/>
      <c r="Z47" s="1312">
        <f t="shared" si="12"/>
        <v>111</v>
      </c>
      <c r="AA47" s="1308">
        <f t="shared" si="3"/>
        <v>1</v>
      </c>
      <c r="AB47" s="1308">
        <f t="shared" si="4"/>
        <v>1</v>
      </c>
      <c r="AC47" s="1308">
        <f t="shared" si="5"/>
        <v>1</v>
      </c>
    </row>
    <row r="48" spans="1:29" ht="20.25">
      <c r="A48" s="555" t="s">
        <v>505</v>
      </c>
      <c r="B48" s="556" t="s">
        <v>3366</v>
      </c>
      <c r="C48" s="557" t="s">
        <v>0</v>
      </c>
      <c r="D48" s="558"/>
      <c r="E48" s="559">
        <f>土地案例!W6</f>
        <v>12711</v>
      </c>
      <c r="F48" s="560"/>
      <c r="G48" s="561">
        <f>土地案例!W7</f>
        <v>10454</v>
      </c>
      <c r="H48" s="562"/>
      <c r="I48" s="3439">
        <f>土地案例!AD755</f>
        <v>12525</v>
      </c>
      <c r="J48" s="562"/>
      <c r="K48" s="1133"/>
      <c r="L48" s="1750"/>
      <c r="M48" s="1739"/>
      <c r="N48" s="1739"/>
      <c r="O48" s="1741"/>
      <c r="P48" s="3684" t="str">
        <f>A48</f>
        <v>成交单价</v>
      </c>
      <c r="Q48" s="3684"/>
      <c r="R48" s="3685">
        <f>E48</f>
        <v>12711</v>
      </c>
      <c r="S48" s="3685"/>
      <c r="T48" s="3685">
        <f>G48</f>
        <v>10454</v>
      </c>
      <c r="U48" s="3685"/>
      <c r="V48" s="3685">
        <f>I48</f>
        <v>12525</v>
      </c>
      <c r="W48" s="3685"/>
      <c r="X48" s="798"/>
      <c r="Y48" s="1313"/>
      <c r="Z48" s="798"/>
      <c r="AA48" s="798"/>
      <c r="AB48" s="798"/>
      <c r="AC48" s="798"/>
    </row>
    <row r="49" spans="1:29" ht="21" thickBot="1">
      <c r="A49" s="563" t="s">
        <v>1974</v>
      </c>
      <c r="B49" s="564"/>
      <c r="C49" s="565">
        <f>R50</f>
        <v>12115</v>
      </c>
      <c r="D49" s="2549" t="s">
        <v>2260</v>
      </c>
      <c r="E49" s="565">
        <f>R49</f>
        <v>12461</v>
      </c>
      <c r="F49" s="2550">
        <v>0.5</v>
      </c>
      <c r="G49" s="566">
        <f>T49</f>
        <v>10356</v>
      </c>
      <c r="H49" s="2550">
        <v>0.25</v>
      </c>
      <c r="I49" s="565">
        <f>V49</f>
        <v>13181</v>
      </c>
      <c r="J49" s="2550">
        <v>0.25</v>
      </c>
      <c r="K49" s="2551">
        <f>F49+H49+J49</f>
        <v>1</v>
      </c>
      <c r="L49" s="1750"/>
      <c r="M49" s="1739"/>
      <c r="N49" s="1739"/>
      <c r="O49" s="1741"/>
      <c r="P49" s="3684" t="str">
        <f>A49</f>
        <v>比较价格（元/平方米）</v>
      </c>
      <c r="Q49" s="3684"/>
      <c r="R49" s="3686">
        <f>ROUND(PRODUCT(R48,AA9:AA47),0)</f>
        <v>12461</v>
      </c>
      <c r="S49" s="3686"/>
      <c r="T49" s="3686">
        <f>ROUND(PRODUCT(T48,AB9:AB47),0)</f>
        <v>10356</v>
      </c>
      <c r="U49" s="3686"/>
      <c r="V49" s="3686">
        <f>ROUND(PRODUCT(V48,AC9:AC47),0)</f>
        <v>13181</v>
      </c>
      <c r="W49" s="3686"/>
      <c r="X49" s="798"/>
      <c r="Y49" s="798"/>
      <c r="Z49" s="798"/>
      <c r="AA49" s="798"/>
      <c r="AB49" s="798"/>
      <c r="AC49" s="798"/>
    </row>
    <row r="50" spans="1:29" ht="21" thickBot="1">
      <c r="A50" s="567" t="s">
        <v>2196</v>
      </c>
      <c r="B50" s="568"/>
      <c r="C50" s="569">
        <f>R50</f>
        <v>12115</v>
      </c>
      <c r="D50" s="569"/>
      <c r="E50" s="569"/>
      <c r="F50" s="569"/>
      <c r="G50" s="569"/>
      <c r="H50" s="569"/>
      <c r="I50" s="569"/>
      <c r="J50" s="569"/>
      <c r="K50" s="1134"/>
      <c r="L50" s="1750"/>
      <c r="M50" s="1739"/>
      <c r="N50" s="1739"/>
      <c r="O50" s="1741"/>
      <c r="P50" s="3721" t="str">
        <f>A50</f>
        <v>估价对象XX用房的比较价格（楼面单价，元/平方米）</v>
      </c>
      <c r="Q50" s="3722"/>
      <c r="R50" s="3683">
        <f>ROUND(IF(D49="简单平均",AVERAGE(R49:W49),R49*F49+T49*H49+V49*J49),0)</f>
        <v>12115</v>
      </c>
      <c r="S50" s="3683"/>
      <c r="T50" s="3683"/>
      <c r="U50" s="3683"/>
      <c r="V50" s="3683"/>
      <c r="W50" s="3683"/>
      <c r="X50" s="798"/>
      <c r="Y50" s="798"/>
      <c r="Z50" s="798"/>
      <c r="AA50" s="798"/>
      <c r="AB50" s="798"/>
      <c r="AC50" s="798"/>
    </row>
    <row r="51" spans="1:29" ht="20.25">
      <c r="A51" s="2720"/>
      <c r="B51" s="3425" t="s">
        <v>3384</v>
      </c>
      <c r="C51" s="2720">
        <v>12002</v>
      </c>
      <c r="D51" s="2720"/>
      <c r="E51" s="3425"/>
      <c r="F51" s="2720"/>
      <c r="G51" s="2722"/>
      <c r="H51" s="2720"/>
      <c r="I51" s="3425" t="s">
        <v>3618</v>
      </c>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0" t="s">
        <v>506</v>
      </c>
      <c r="D53" s="571"/>
      <c r="E53" s="572">
        <f>IF(E48&lt;E49,E49/E48-1,E48/E49-1)</f>
        <v>2.0062595297327679E-2</v>
      </c>
      <c r="F53" s="573" t="str">
        <f>IF(OR(E53&gt;=0.3,E53&lt;=-0.3),"超过30%","")</f>
        <v/>
      </c>
      <c r="G53" s="572">
        <f>IF(G48&lt;G49,G49/G48-1,G48/G49-1)</f>
        <v>9.4631131711084837E-3</v>
      </c>
      <c r="H53" s="573" t="str">
        <f>IF(OR(G53&gt;=0.3,G53&lt;=-0.3),"超过30%","")</f>
        <v/>
      </c>
      <c r="I53" s="572">
        <f>IF(I48&lt;I49,I49/I48-1,I48/I49-1)</f>
        <v>5.2375249500997922E-2</v>
      </c>
      <c r="J53" s="573" t="str">
        <f>IF(OR(I53&gt;=0.3,I53&lt;=-0.3),"超过30%","")</f>
        <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0" t="s">
        <v>507</v>
      </c>
      <c r="D54" s="574"/>
      <c r="E54" s="572">
        <f>IF(E49&lt;G49,G49/E49-1,E49/G49-1)</f>
        <v>0.20326380842023939</v>
      </c>
      <c r="F54" s="573" t="str">
        <f>IF(OR(E54&gt;=0.2,E54&lt;=-0.2),"超过20%","")</f>
        <v>超过20%</v>
      </c>
      <c r="G54" s="572">
        <f>IF(G49&lt;I49,I49/G49-1,G49/I49-1)</f>
        <v>0.27278872151409805</v>
      </c>
      <c r="H54" s="573" t="str">
        <f>IF(OR(G54&gt;=0.2,G54&lt;=-0.2),"超过20%","")</f>
        <v>超过20%</v>
      </c>
      <c r="I54" s="572">
        <f>IF(I49&lt;E49,E49/I49-1,I49/E49-1)</f>
        <v>5.7780274456303626E-2</v>
      </c>
      <c r="J54" s="573" t="str">
        <f>IF(OR(I54&gt;=0.2,I54&lt;=-0.2),"超过20%","")</f>
        <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0" t="s">
        <v>508</v>
      </c>
      <c r="D55" s="574"/>
      <c r="E55" s="572">
        <f>IF(E48&lt;G48,G48/E48-1,E48/G48-1)</f>
        <v>0.21589822077673615</v>
      </c>
      <c r="F55" s="573" t="str">
        <f>IF(OR(E55&gt;=0.3,E55&lt;=-0.3),"超过30%","")</f>
        <v/>
      </c>
      <c r="G55" s="572">
        <f>IF(G48&lt;I48,I48/G48-1,G48/I48-1)</f>
        <v>0.19810598813851166</v>
      </c>
      <c r="H55" s="573" t="str">
        <f>IF(OR(G55&gt;=0.3,G55&lt;=-0.3),"超过30%","")</f>
        <v/>
      </c>
      <c r="I55" s="572">
        <f>IF(I48&lt;E48,E48/I48-1,I48/E48-1)</f>
        <v>1.4850299401197642E-2</v>
      </c>
      <c r="J55" s="573" t="str">
        <f>IF(OR(I55&gt;=0.3,I55&lt;=-0.3),"超过30%","")</f>
        <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299" t="s">
        <v>1253</v>
      </c>
      <c r="D57" s="1820" t="s">
        <v>1650</v>
      </c>
      <c r="E57" s="577" t="s">
        <v>511</v>
      </c>
      <c r="F57" s="578" t="s">
        <v>512</v>
      </c>
      <c r="G57" s="3710" t="s">
        <v>1639</v>
      </c>
      <c r="H57" s="3711"/>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79" t="s">
        <v>513</v>
      </c>
      <c r="B58" s="580">
        <f>C50</f>
        <v>12115</v>
      </c>
      <c r="C58" s="581">
        <v>1</v>
      </c>
      <c r="D58" s="1821">
        <v>1</v>
      </c>
      <c r="E58" s="581">
        <f>'数据-汇总表'!E8+'数据-汇总表'!E9</f>
        <v>20615.91</v>
      </c>
      <c r="F58" s="582">
        <f t="shared" ref="F58:F66" si="14">ROUND(B58*E58/10000,0)</f>
        <v>24976</v>
      </c>
      <c r="G58" s="3712"/>
      <c r="H58" s="3713"/>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514</v>
      </c>
      <c r="B59" s="584">
        <f>ROUND($C$50*C59*D59,0)</f>
        <v>1514</v>
      </c>
      <c r="C59" s="347">
        <f t="shared" ref="C59:C66" si="15">IF($C$57="北京市系数",I59,J59)</f>
        <v>0.5</v>
      </c>
      <c r="D59" s="1822">
        <v>0.25</v>
      </c>
      <c r="E59" s="585">
        <v>0</v>
      </c>
      <c r="F59" s="582">
        <f t="shared" si="14"/>
        <v>0</v>
      </c>
      <c r="G59" s="3027" t="s">
        <v>1640</v>
      </c>
      <c r="H59" s="1606" t="str">
        <f>项目基本情况!B43</f>
        <v>九级</v>
      </c>
      <c r="I59" s="1297">
        <f>SUMIF(修正!$A$57:$A$68,H59,修正!B57:B68)</f>
        <v>0.5</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515</v>
      </c>
      <c r="B60" s="584">
        <f t="shared" ref="B60:B66" si="16">ROUND($C$50*C60*D60,0)</f>
        <v>606</v>
      </c>
      <c r="C60" s="347">
        <f t="shared" si="15"/>
        <v>0.2</v>
      </c>
      <c r="D60" s="1822">
        <v>0.25</v>
      </c>
      <c r="E60" s="585">
        <v>0</v>
      </c>
      <c r="F60" s="582">
        <f t="shared" si="14"/>
        <v>0</v>
      </c>
      <c r="G60" s="3028"/>
      <c r="H60" s="1606" t="str">
        <f>项目基本情况!B43</f>
        <v>九级</v>
      </c>
      <c r="I60" s="1297">
        <f>SUMIF(修正!$A$57:$A$68,H60,修正!C57:C68)</f>
        <v>0.2</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3" t="s">
        <v>516</v>
      </c>
      <c r="B61" s="584">
        <f t="shared" si="16"/>
        <v>606</v>
      </c>
      <c r="C61" s="347">
        <f t="shared" si="15"/>
        <v>0.2</v>
      </c>
      <c r="D61" s="1822">
        <v>0.25</v>
      </c>
      <c r="E61" s="585">
        <v>0</v>
      </c>
      <c r="F61" s="582">
        <f t="shared" si="14"/>
        <v>0</v>
      </c>
      <c r="G61" s="3028"/>
      <c r="H61" s="1606" t="str">
        <f>项目基本情况!B43</f>
        <v>九级</v>
      </c>
      <c r="I61" s="1297">
        <f>SUMIF(修正!$A$57:$A$68,H61,修正!D57:D68)</f>
        <v>0.2</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1685</v>
      </c>
      <c r="B62" s="584">
        <f t="shared" si="16"/>
        <v>606</v>
      </c>
      <c r="C62" s="347">
        <f t="shared" si="15"/>
        <v>0.2</v>
      </c>
      <c r="D62" s="1822">
        <v>0.25</v>
      </c>
      <c r="E62" s="587">
        <f>'数据-汇总表'!E11</f>
        <v>104.29</v>
      </c>
      <c r="F62" s="582">
        <f t="shared" si="14"/>
        <v>6</v>
      </c>
      <c r="G62" s="1603" t="s">
        <v>1641</v>
      </c>
      <c r="H62" s="1606" t="str">
        <f>项目基本情况!C43</f>
        <v>九级</v>
      </c>
      <c r="I62" s="1297">
        <f>SUMIF(修正!$A$57:$A$68,H62,修正!E57:E68)</f>
        <v>0.2</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3" t="s">
        <v>517</v>
      </c>
      <c r="B63" s="584">
        <f t="shared" si="16"/>
        <v>606</v>
      </c>
      <c r="C63" s="347">
        <f t="shared" si="15"/>
        <v>0.2</v>
      </c>
      <c r="D63" s="1822">
        <v>0.25</v>
      </c>
      <c r="E63" s="587">
        <f>'数据-汇总表'!E12</f>
        <v>98.29</v>
      </c>
      <c r="F63" s="582">
        <f t="shared" si="14"/>
        <v>6</v>
      </c>
      <c r="G63" s="1604" t="s">
        <v>851</v>
      </c>
      <c r="H63" s="1602" t="str">
        <f>IF(G63="商业",项目基本情况!B43,IF(G63="办公",项目基本情况!C43,IF(G63="住宅",项目基本情况!D43,项目基本情况!E43)))</f>
        <v>九级</v>
      </c>
      <c r="I63" s="1297">
        <f>SUMIF(修正!$A$57:$A$68,H63,修正!F57:F68)</f>
        <v>0.2</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3" t="s">
        <v>518</v>
      </c>
      <c r="B64" s="584">
        <f t="shared" si="16"/>
        <v>303</v>
      </c>
      <c r="C64" s="347">
        <f t="shared" si="15"/>
        <v>0.1</v>
      </c>
      <c r="D64" s="1822">
        <v>0.25</v>
      </c>
      <c r="E64" s="587">
        <f>'数据-汇总表'!E13</f>
        <v>5075.8500000000004</v>
      </c>
      <c r="F64" s="582">
        <f t="shared" si="14"/>
        <v>154</v>
      </c>
      <c r="G64" s="1604" t="s">
        <v>851</v>
      </c>
      <c r="H64" s="1602" t="str">
        <f>IF(G64="商业",项目基本情况!B43,IF(G64="办公",项目基本情况!C43,IF(G64="住宅",项目基本情况!D43,项目基本情况!E43)))</f>
        <v>九级</v>
      </c>
      <c r="I64" s="1297">
        <f>SUMIF(修正!$A$57:$A$68,H64,修正!G57:G68)</f>
        <v>0.1</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3" t="s">
        <v>519</v>
      </c>
      <c r="B65" s="584">
        <f t="shared" si="16"/>
        <v>303</v>
      </c>
      <c r="C65" s="347">
        <f t="shared" si="15"/>
        <v>0.1</v>
      </c>
      <c r="D65" s="1822">
        <v>0.25</v>
      </c>
      <c r="E65" s="587">
        <f>'数据-汇总表'!E14</f>
        <v>0</v>
      </c>
      <c r="F65" s="582">
        <f t="shared" si="14"/>
        <v>0</v>
      </c>
      <c r="G65" s="1603" t="s">
        <v>1640</v>
      </c>
      <c r="H65" s="1606" t="str">
        <f>项目基本情况!B43</f>
        <v>九级</v>
      </c>
      <c r="I65" s="1297">
        <f>SUMIF(修正!$A$57:$A$68,H65,修正!G57:G68)</f>
        <v>0.1</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3" t="s">
        <v>520</v>
      </c>
      <c r="B66" s="584">
        <f t="shared" si="16"/>
        <v>303</v>
      </c>
      <c r="C66" s="347">
        <f t="shared" si="15"/>
        <v>0.1</v>
      </c>
      <c r="D66" s="1822">
        <v>0.25</v>
      </c>
      <c r="E66" s="587">
        <f>'数据-汇总表'!E15</f>
        <v>0</v>
      </c>
      <c r="F66" s="582">
        <f t="shared" si="14"/>
        <v>0</v>
      </c>
      <c r="G66" s="1605" t="s">
        <v>1641</v>
      </c>
      <c r="H66" s="1607" t="str">
        <f>项目基本情况!C43</f>
        <v>九级</v>
      </c>
      <c r="I66" s="1297">
        <f>SUMIF(修正!$A$57:$A$68,H66,修正!G57:G68)</f>
        <v>0.1</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8" t="s">
        <v>521</v>
      </c>
      <c r="B67" s="589" t="s">
        <v>11</v>
      </c>
      <c r="C67" s="589" t="s">
        <v>12</v>
      </c>
      <c r="D67" s="589" t="s">
        <v>1651</v>
      </c>
      <c r="E67" s="589">
        <f>IF(B48="楼面地价",SUM(E58:E66),'数据-汇总表'!D3)</f>
        <v>25894.340000000004</v>
      </c>
      <c r="F67" s="590">
        <f>IF(B48="楼面地价",SUM(F58:F66),ROUND(C50*E67/10000,0))</f>
        <v>25142</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2024-11-1</v>
      </c>
      <c r="D69" s="2110">
        <f>EDATE(C69,-3)</f>
        <v>45505</v>
      </c>
      <c r="E69" s="2110">
        <f t="shared" ref="E69:N69" si="17">EDATE(D69,-3)</f>
        <v>45413</v>
      </c>
      <c r="F69" s="2110">
        <f t="shared" si="17"/>
        <v>45323</v>
      </c>
      <c r="G69" s="2110">
        <f t="shared" si="17"/>
        <v>45231</v>
      </c>
      <c r="H69" s="2110">
        <f t="shared" si="17"/>
        <v>45139</v>
      </c>
      <c r="I69" s="2110">
        <f t="shared" si="17"/>
        <v>45047</v>
      </c>
      <c r="J69" s="2110">
        <f t="shared" si="17"/>
        <v>44958</v>
      </c>
      <c r="K69" s="2110">
        <f t="shared" si="17"/>
        <v>44866</v>
      </c>
      <c r="L69" s="2110">
        <f t="shared" si="17"/>
        <v>44774</v>
      </c>
      <c r="M69" s="2110">
        <f t="shared" si="17"/>
        <v>44682</v>
      </c>
      <c r="N69" s="2110">
        <f t="shared" si="17"/>
        <v>44593</v>
      </c>
      <c r="O69" s="1741"/>
      <c r="P69" s="1741"/>
      <c r="Q69" s="1741"/>
      <c r="R69" s="1741"/>
      <c r="S69" s="1741"/>
      <c r="T69" s="1741"/>
      <c r="U69" s="1741"/>
      <c r="V69" s="1741"/>
      <c r="W69" s="1741"/>
      <c r="X69" s="1741"/>
      <c r="Y69" s="1741"/>
      <c r="Z69" s="1741"/>
      <c r="AA69" s="1741"/>
      <c r="AB69" s="1741"/>
      <c r="AC69" s="1741"/>
    </row>
    <row r="70" spans="1:29" ht="21.75" thickBot="1">
      <c r="A70" s="1316" t="s">
        <v>522</v>
      </c>
      <c r="B70" s="798"/>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1815</v>
      </c>
      <c r="B71" s="2042"/>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3"/>
      <c r="P71" s="1764"/>
      <c r="Q71" s="1764"/>
      <c r="R71" s="1764"/>
      <c r="S71" s="1764"/>
      <c r="T71" s="1764"/>
      <c r="U71" s="1764"/>
      <c r="V71" s="1764"/>
      <c r="W71" s="1764"/>
      <c r="X71" s="1764"/>
      <c r="Y71" s="1764"/>
      <c r="Z71" s="1764"/>
      <c r="AA71" s="1764"/>
      <c r="AB71" s="1764"/>
      <c r="AC71" s="1764"/>
    </row>
    <row r="72" spans="1:29" s="1058" customFormat="1" ht="27" customHeight="1">
      <c r="A72" s="2116" t="s">
        <v>851</v>
      </c>
      <c r="B72" s="447" t="str">
        <f>"北京市平均增长率"&amp;TEXT(SUMIF(基准地价!N25:N29,A72,基准地价!P25:P29),"0.00%")</f>
        <v>北京市平均增长率0.00%</v>
      </c>
      <c r="C72" s="816">
        <v>100</v>
      </c>
      <c r="D72" s="78">
        <v>100</v>
      </c>
      <c r="E72" s="78">
        <v>100</v>
      </c>
      <c r="F72" s="78">
        <v>100</v>
      </c>
      <c r="G72" s="78">
        <v>100</v>
      </c>
      <c r="H72" s="78">
        <v>100</v>
      </c>
      <c r="I72" s="78">
        <v>100</v>
      </c>
      <c r="J72" s="78">
        <v>100</v>
      </c>
      <c r="K72" s="78">
        <v>100</v>
      </c>
      <c r="L72" s="78">
        <v>100</v>
      </c>
      <c r="M72" s="78">
        <v>100</v>
      </c>
      <c r="N72" s="78">
        <v>100</v>
      </c>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1928</v>
      </c>
      <c r="B73" s="2115"/>
      <c r="C73" s="2106">
        <v>0</v>
      </c>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2" t="s">
        <v>480</v>
      </c>
      <c r="B74" s="593"/>
      <c r="C74" s="603" t="s">
        <v>524</v>
      </c>
      <c r="D74" s="79"/>
      <c r="E74" s="79"/>
      <c r="F74" s="79"/>
      <c r="G74" s="79"/>
      <c r="H74" s="79"/>
      <c r="I74" s="79"/>
      <c r="J74" s="79"/>
      <c r="K74" s="79"/>
      <c r="L74" s="604"/>
      <c r="M74" s="605"/>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3420" t="s">
        <v>3367</v>
      </c>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v>100</v>
      </c>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0（含）-0.5</v>
      </c>
      <c r="D80" s="623" t="str">
        <f t="shared" ref="D80:L80" si="19">D81&amp;"（含）"&amp;"-"&amp;E81</f>
        <v>0.5（含）-1</v>
      </c>
      <c r="E80" s="623" t="str">
        <f t="shared" si="19"/>
        <v>1（含）-1.5</v>
      </c>
      <c r="F80" s="623" t="str">
        <f t="shared" si="19"/>
        <v>1.5（含）-2</v>
      </c>
      <c r="G80" s="623" t="str">
        <f t="shared" si="19"/>
        <v>2（含）-2.5</v>
      </c>
      <c r="H80" s="623" t="str">
        <f t="shared" si="19"/>
        <v>2.5（含）-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v>0</v>
      </c>
      <c r="D81" s="490">
        <v>0.5</v>
      </c>
      <c r="E81" s="490">
        <v>1</v>
      </c>
      <c r="F81" s="490">
        <v>1.5</v>
      </c>
      <c r="G81" s="490">
        <v>2</v>
      </c>
      <c r="H81" s="490">
        <v>2.5</v>
      </c>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8"/>
      <c r="B83" s="614" t="str">
        <f>B14</f>
        <v>配建</v>
      </c>
      <c r="C83" s="3424" t="s">
        <v>3617</v>
      </c>
      <c r="D83" s="1165" t="s">
        <v>3737</v>
      </c>
      <c r="E83" s="1166"/>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8"/>
      <c r="B84" s="619"/>
      <c r="C84" s="633">
        <v>100</v>
      </c>
      <c r="D84" s="612">
        <v>99</v>
      </c>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8"/>
      <c r="B85" s="614">
        <f>B15</f>
        <v>0</v>
      </c>
      <c r="C85" s="3424" t="s">
        <v>3617</v>
      </c>
      <c r="D85" s="629">
        <v>32000</v>
      </c>
      <c r="E85" s="629">
        <v>30000</v>
      </c>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8"/>
      <c r="B86" s="619"/>
      <c r="C86" s="633">
        <v>100</v>
      </c>
      <c r="D86" s="633">
        <v>99</v>
      </c>
      <c r="E86" s="633">
        <v>98</v>
      </c>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8"/>
      <c r="B87" s="622">
        <f>B16</f>
        <v>111</v>
      </c>
      <c r="C87" s="3421"/>
      <c r="D87" s="3421"/>
      <c r="E87" s="3421"/>
      <c r="F87" s="79"/>
      <c r="G87" s="79"/>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2"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2" t="s">
        <v>527</v>
      </c>
      <c r="D89" s="142" t="s">
        <v>528</v>
      </c>
      <c r="E89" s="142" t="s">
        <v>529</v>
      </c>
      <c r="F89" s="142" t="s">
        <v>530</v>
      </c>
      <c r="G89" s="142"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98</v>
      </c>
      <c r="E90" s="620">
        <f>D90-$K17</f>
        <v>96</v>
      </c>
      <c r="F90" s="620">
        <f>E90-$K17</f>
        <v>94</v>
      </c>
      <c r="G90" s="620">
        <f>F90-$K17</f>
        <v>92</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98</v>
      </c>
      <c r="E96" s="620">
        <f>D96-$K23</f>
        <v>96</v>
      </c>
      <c r="F96" s="620">
        <f>E96-$K23</f>
        <v>94</v>
      </c>
      <c r="G96" s="620">
        <f>F96-$K23</f>
        <v>92</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5"/>
      <c r="B98" s="619"/>
      <c r="C98" s="651">
        <v>100</v>
      </c>
      <c r="D98" s="620">
        <f>C98-$K25</f>
        <v>99</v>
      </c>
      <c r="E98" s="620">
        <f>D98-$K25</f>
        <v>98</v>
      </c>
      <c r="F98" s="620">
        <f>E98-$K25</f>
        <v>97</v>
      </c>
      <c r="G98" s="620">
        <f>F98-$K25</f>
        <v>96</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5"/>
      <c r="B99" s="614" t="s">
        <v>536</v>
      </c>
      <c r="C99" s="142" t="s">
        <v>527</v>
      </c>
      <c r="D99" s="142" t="s">
        <v>528</v>
      </c>
      <c r="E99" s="142" t="s">
        <v>529</v>
      </c>
      <c r="F99" s="142" t="s">
        <v>530</v>
      </c>
      <c r="G99" s="142"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8"/>
      <c r="B101" s="1554" t="s">
        <v>1831</v>
      </c>
      <c r="C101" s="142" t="s">
        <v>527</v>
      </c>
      <c r="D101" s="142" t="s">
        <v>528</v>
      </c>
      <c r="E101" s="142" t="s">
        <v>529</v>
      </c>
      <c r="F101" s="142" t="s">
        <v>530</v>
      </c>
      <c r="G101" s="142"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22"/>
      <c r="C104" s="620">
        <v>100</v>
      </c>
      <c r="D104" s="620">
        <f>C104-$K31</f>
        <v>99</v>
      </c>
      <c r="E104" s="620">
        <f>D104-$K31</f>
        <v>98</v>
      </c>
      <c r="F104" s="620">
        <f>E104-$K31</f>
        <v>97</v>
      </c>
      <c r="G104" s="620">
        <f>F104-$K31</f>
        <v>96</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3423" t="s">
        <v>3370</v>
      </c>
      <c r="D109" s="3423" t="s">
        <v>3371</v>
      </c>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79"/>
      <c r="D113" s="79"/>
      <c r="E113" s="79"/>
      <c r="F113" s="79"/>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1"/>
      <c r="B115" s="667">
        <f>B39</f>
        <v>111</v>
      </c>
      <c r="C115" s="78"/>
      <c r="D115" s="78"/>
      <c r="E115" s="78"/>
      <c r="F115" s="78"/>
      <c r="G115" s="78"/>
      <c r="H115" s="78"/>
      <c r="I115" s="78"/>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v>
      </c>
      <c r="G117" s="644" t="str">
        <f t="shared" si="24"/>
        <v>(含)-</v>
      </c>
      <c r="H117" s="644" t="str">
        <f t="shared" si="24"/>
        <v>(含)-</v>
      </c>
      <c r="I117" s="644" t="str">
        <f t="shared" si="24"/>
        <v>(含)-</v>
      </c>
      <c r="J117" s="2347" t="str">
        <f t="shared" si="24"/>
        <v>(含)-</v>
      </c>
      <c r="K117" s="2347" t="str">
        <f t="shared" si="24"/>
        <v>(含)-</v>
      </c>
      <c r="L117" s="2348" t="str">
        <f t="shared" si="24"/>
        <v>(含)-</v>
      </c>
      <c r="M117" s="144"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8">
        <v>0</v>
      </c>
      <c r="D118" s="78">
        <v>20000</v>
      </c>
      <c r="E118" s="78">
        <v>40000</v>
      </c>
      <c r="F118" s="78">
        <v>60000</v>
      </c>
      <c r="G118" s="78"/>
      <c r="H118" s="78"/>
      <c r="I118" s="78"/>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v>100</v>
      </c>
      <c r="D119" s="641">
        <v>101</v>
      </c>
      <c r="E119" s="665">
        <v>102</v>
      </c>
      <c r="F119" s="665">
        <v>103</v>
      </c>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3423" t="s">
        <v>3372</v>
      </c>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99</v>
      </c>
      <c r="E121" s="620">
        <f t="shared" si="25"/>
        <v>98</v>
      </c>
      <c r="F121" s="620">
        <f t="shared" si="25"/>
        <v>97</v>
      </c>
      <c r="G121" s="620">
        <f t="shared" si="25"/>
        <v>96</v>
      </c>
      <c r="H121" s="620">
        <f t="shared" si="25"/>
        <v>95</v>
      </c>
      <c r="I121" s="620">
        <f t="shared" si="25"/>
        <v>94</v>
      </c>
      <c r="J121" s="620">
        <f t="shared" si="25"/>
        <v>93</v>
      </c>
      <c r="K121" s="620">
        <f t="shared" si="25"/>
        <v>92</v>
      </c>
      <c r="L121" s="620">
        <f t="shared" si="25"/>
        <v>91</v>
      </c>
      <c r="M121" s="621">
        <f t="shared" si="25"/>
        <v>90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1"/>
      <c r="B124" s="1554" t="s">
        <v>1777</v>
      </c>
      <c r="C124" s="1165" t="s">
        <v>3373</v>
      </c>
      <c r="D124" s="1165" t="s">
        <v>3374</v>
      </c>
      <c r="E124" s="1165" t="s">
        <v>3375</v>
      </c>
      <c r="F124" s="1165" t="s">
        <v>3376</v>
      </c>
      <c r="G124" s="1165" t="s">
        <v>3377</v>
      </c>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3424" t="s">
        <v>3378</v>
      </c>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99</v>
      </c>
      <c r="E127" s="620">
        <f t="shared" si="28"/>
        <v>98</v>
      </c>
      <c r="F127" s="620">
        <f t="shared" si="28"/>
        <v>97</v>
      </c>
      <c r="G127" s="620">
        <f t="shared" si="28"/>
        <v>96</v>
      </c>
      <c r="H127" s="620">
        <f t="shared" si="28"/>
        <v>95</v>
      </c>
      <c r="I127" s="620">
        <f t="shared" si="28"/>
        <v>94</v>
      </c>
      <c r="J127" s="620">
        <f t="shared" si="28"/>
        <v>93</v>
      </c>
      <c r="K127" s="620">
        <f t="shared" si="28"/>
        <v>92</v>
      </c>
      <c r="L127" s="620">
        <f t="shared" si="28"/>
        <v>91</v>
      </c>
      <c r="M127" s="621">
        <f t="shared" si="28"/>
        <v>90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79"/>
      <c r="D130" s="79"/>
      <c r="E130" s="79"/>
      <c r="F130" s="79"/>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1"/>
      <c r="B132" s="614">
        <f>B47</f>
        <v>111</v>
      </c>
      <c r="C132" s="79"/>
      <c r="D132" s="79"/>
      <c r="E132" s="79"/>
      <c r="F132" s="79"/>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14 H9:H14 J9:J14 F16:F47 H16:H47 J16: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59"/>
  <sheetViews>
    <sheetView topLeftCell="A740" workbookViewId="0">
      <selection activeCell="W156" sqref="W156"/>
    </sheetView>
  </sheetViews>
  <sheetFormatPr defaultRowHeight="12"/>
  <cols>
    <col min="1" max="1" width="20" style="3432" customWidth="1"/>
    <col min="2" max="2" width="20" style="3432" hidden="1" customWidth="1"/>
    <col min="3" max="3" width="5.625" style="3432" customWidth="1"/>
    <col min="4" max="4" width="20" style="3432" hidden="1" customWidth="1"/>
    <col min="5" max="5" width="11.125" style="3432" customWidth="1"/>
    <col min="6" max="6" width="9.125" style="3432" customWidth="1"/>
    <col min="7" max="7" width="10.5" style="3432" customWidth="1"/>
    <col min="8" max="8" width="8.625" style="3432" customWidth="1"/>
    <col min="9" max="9" width="10.125" style="3432" customWidth="1"/>
    <col min="10" max="10" width="8.375" style="3432" customWidth="1"/>
    <col min="11" max="11" width="10.375" style="3432" customWidth="1"/>
    <col min="12" max="12" width="7.75" style="3432" hidden="1" customWidth="1"/>
    <col min="13" max="15" width="20" style="3432" hidden="1" customWidth="1"/>
    <col min="16" max="16" width="10.75" style="3432" customWidth="1"/>
    <col min="17" max="18" width="20" style="3432" hidden="1" customWidth="1"/>
    <col min="19" max="19" width="9.25" style="3432" customWidth="1"/>
    <col min="20" max="20" width="8.125" style="3432" customWidth="1"/>
    <col min="21" max="21" width="9.875" style="3432" customWidth="1"/>
    <col min="22" max="22" width="8.375" style="3432" customWidth="1"/>
    <col min="23" max="23" width="10" style="3432" customWidth="1"/>
    <col min="24" max="24" width="20" style="3432" hidden="1" customWidth="1"/>
    <col min="25" max="25" width="6.625" style="3432" customWidth="1"/>
    <col min="26" max="26" width="20" style="3432" hidden="1" customWidth="1"/>
    <col min="27" max="27" width="10.625" style="3432" customWidth="1"/>
    <col min="28" max="28" width="20" style="3432" hidden="1" customWidth="1"/>
    <col min="29" max="29" width="2" style="3432" hidden="1" customWidth="1"/>
    <col min="30" max="30" width="20" style="3432" customWidth="1"/>
    <col min="31" max="31" width="16.25" style="3432" customWidth="1"/>
    <col min="32" max="32" width="20" style="3432" customWidth="1"/>
    <col min="33" max="16384" width="9" style="3432"/>
  </cols>
  <sheetData>
    <row r="1" spans="1:31" s="3435" customFormat="1" ht="53.25" customHeight="1">
      <c r="A1" s="3435" t="s">
        <v>3433</v>
      </c>
      <c r="B1" s="3435" t="s">
        <v>3434</v>
      </c>
      <c r="C1" s="3435" t="s">
        <v>3435</v>
      </c>
      <c r="D1" s="3435" t="s">
        <v>3436</v>
      </c>
      <c r="E1" s="3435" t="s">
        <v>3437</v>
      </c>
      <c r="F1" s="3434" t="s">
        <v>3438</v>
      </c>
      <c r="G1" s="3435" t="s">
        <v>3439</v>
      </c>
      <c r="H1" s="3435" t="s">
        <v>3440</v>
      </c>
      <c r="I1" s="3435" t="s">
        <v>3441</v>
      </c>
      <c r="J1" s="3435" t="s">
        <v>3442</v>
      </c>
      <c r="K1" s="3435" t="s">
        <v>1550</v>
      </c>
      <c r="L1" s="3435" t="s">
        <v>3443</v>
      </c>
      <c r="M1" s="3435" t="s">
        <v>3444</v>
      </c>
      <c r="N1" s="3435" t="s">
        <v>3445</v>
      </c>
      <c r="O1" s="3435" t="s">
        <v>3446</v>
      </c>
      <c r="P1" s="3435" t="s">
        <v>3447</v>
      </c>
      <c r="Q1" s="3435" t="s">
        <v>3448</v>
      </c>
      <c r="R1" s="3435" t="s">
        <v>3449</v>
      </c>
      <c r="S1" s="3435" t="s">
        <v>3450</v>
      </c>
      <c r="T1" s="3435" t="s">
        <v>3451</v>
      </c>
      <c r="U1" s="3435" t="s">
        <v>3452</v>
      </c>
      <c r="V1" s="3435" t="s">
        <v>3453</v>
      </c>
      <c r="W1" s="3435" t="s">
        <v>3454</v>
      </c>
      <c r="X1" s="3435" t="s">
        <v>3455</v>
      </c>
      <c r="Y1" s="3435" t="s">
        <v>3456</v>
      </c>
      <c r="Z1" s="3435" t="s">
        <v>3457</v>
      </c>
      <c r="AA1" s="3435" t="s">
        <v>3458</v>
      </c>
      <c r="AB1" s="3435" t="s">
        <v>3459</v>
      </c>
      <c r="AC1" s="3435" t="s">
        <v>3460</v>
      </c>
      <c r="AD1" s="3435" t="s">
        <v>3461</v>
      </c>
      <c r="AE1" s="3435" t="s">
        <v>3462</v>
      </c>
    </row>
    <row r="2" spans="1:31" s="3433" customFormat="1">
      <c r="A2" s="3433" t="s">
        <v>3463</v>
      </c>
      <c r="B2" s="3433" t="s">
        <v>1465</v>
      </c>
      <c r="C2" s="3433" t="s">
        <v>3464</v>
      </c>
      <c r="D2" s="3433" t="s">
        <v>3465</v>
      </c>
      <c r="E2" s="3433" t="s">
        <v>3466</v>
      </c>
      <c r="F2" s="3433">
        <v>12997.77</v>
      </c>
      <c r="G2" s="3433">
        <v>20796.439999999999</v>
      </c>
      <c r="H2" s="3433" t="s">
        <v>3467</v>
      </c>
      <c r="I2" s="3433" t="s">
        <v>3468</v>
      </c>
      <c r="J2" s="3433" t="s">
        <v>3469</v>
      </c>
      <c r="K2" s="3433" t="s">
        <v>3470</v>
      </c>
      <c r="L2" s="3433" t="s">
        <v>3471</v>
      </c>
      <c r="M2" s="3433" t="s">
        <v>3472</v>
      </c>
      <c r="N2" s="3433" t="s">
        <v>3471</v>
      </c>
      <c r="O2" s="3433" t="s">
        <v>3473</v>
      </c>
      <c r="P2" s="3433" t="s">
        <v>3474</v>
      </c>
      <c r="Q2" s="3433" t="s">
        <v>3475</v>
      </c>
      <c r="R2" s="3433" t="s">
        <v>3476</v>
      </c>
      <c r="S2" s="3433" t="s">
        <v>3477</v>
      </c>
      <c r="T2" s="3433">
        <v>24600</v>
      </c>
      <c r="U2" s="3433">
        <v>18926.32</v>
      </c>
      <c r="V2" s="3433">
        <v>1261.75</v>
      </c>
      <c r="W2" s="3433">
        <v>11829</v>
      </c>
      <c r="X2" s="3433" t="s">
        <v>3471</v>
      </c>
      <c r="Y2" s="3433">
        <v>0</v>
      </c>
      <c r="Z2" s="3433">
        <v>28290</v>
      </c>
      <c r="AA2" s="3433" t="s">
        <v>3471</v>
      </c>
      <c r="AB2" s="3433" t="s">
        <v>3471</v>
      </c>
      <c r="AC2" s="3433" t="s">
        <v>3471</v>
      </c>
      <c r="AD2" s="3433" t="s">
        <v>3478</v>
      </c>
      <c r="AE2" s="3433" t="s">
        <v>3471</v>
      </c>
    </row>
    <row r="3" spans="1:31" hidden="1">
      <c r="A3" s="3432" t="s">
        <v>3479</v>
      </c>
      <c r="B3" s="3432" t="s">
        <v>1465</v>
      </c>
      <c r="C3" s="3432" t="s">
        <v>3480</v>
      </c>
      <c r="D3" s="3432" t="s">
        <v>3481</v>
      </c>
      <c r="E3" s="3432" t="s">
        <v>3482</v>
      </c>
      <c r="F3" s="3432">
        <v>134040.01999999999</v>
      </c>
      <c r="G3" s="3432">
        <v>149100</v>
      </c>
      <c r="H3" s="3432" t="s">
        <v>3483</v>
      </c>
      <c r="I3" s="3432" t="s">
        <v>3484</v>
      </c>
      <c r="J3" s="3432" t="s">
        <v>3485</v>
      </c>
      <c r="K3" s="3432" t="s">
        <v>3486</v>
      </c>
      <c r="L3" s="3432" t="s">
        <v>3471</v>
      </c>
      <c r="M3" s="3432" t="s">
        <v>3472</v>
      </c>
      <c r="N3" s="3432" t="s">
        <v>3471</v>
      </c>
      <c r="O3" s="3432" t="s">
        <v>3473</v>
      </c>
      <c r="P3" s="3432" t="s">
        <v>3487</v>
      </c>
      <c r="Q3" s="3432" t="s">
        <v>3475</v>
      </c>
      <c r="R3" s="3432" t="s">
        <v>3488</v>
      </c>
      <c r="S3" s="3432" t="s">
        <v>3489</v>
      </c>
      <c r="T3" s="3432">
        <v>205100</v>
      </c>
      <c r="U3" s="3432">
        <v>15301.4</v>
      </c>
      <c r="V3" s="3432">
        <v>1020.09</v>
      </c>
      <c r="W3" s="3432">
        <v>13756</v>
      </c>
      <c r="X3" s="3432" t="s">
        <v>3471</v>
      </c>
      <c r="Y3" s="3432">
        <v>0</v>
      </c>
      <c r="Z3" s="3432">
        <v>215355</v>
      </c>
      <c r="AA3" s="3432">
        <v>44000</v>
      </c>
      <c r="AB3" s="3432">
        <v>44000</v>
      </c>
      <c r="AC3" s="3432">
        <v>12053</v>
      </c>
      <c r="AD3" s="3432" t="s">
        <v>3478</v>
      </c>
      <c r="AE3" s="3432" t="s">
        <v>3471</v>
      </c>
    </row>
    <row r="4" spans="1:31" hidden="1">
      <c r="A4" s="3432" t="s">
        <v>3490</v>
      </c>
      <c r="B4" s="3432" t="s">
        <v>1465</v>
      </c>
      <c r="C4" s="3432" t="s">
        <v>3480</v>
      </c>
      <c r="D4" s="3432" t="s">
        <v>3481</v>
      </c>
      <c r="E4" s="3432" t="s">
        <v>3491</v>
      </c>
      <c r="F4" s="3432">
        <v>133625.32999999999</v>
      </c>
      <c r="G4" s="3432">
        <v>146200</v>
      </c>
      <c r="H4" s="3432" t="s">
        <v>3467</v>
      </c>
      <c r="I4" s="3432" t="s">
        <v>3492</v>
      </c>
      <c r="J4" s="3432" t="s">
        <v>3493</v>
      </c>
      <c r="K4" s="3432" t="s">
        <v>3494</v>
      </c>
      <c r="L4" s="3432" t="s">
        <v>3471</v>
      </c>
      <c r="M4" s="3432" t="s">
        <v>3472</v>
      </c>
      <c r="N4" s="3432" t="s">
        <v>3471</v>
      </c>
      <c r="O4" s="3432" t="s">
        <v>3471</v>
      </c>
      <c r="P4" s="3432" t="s">
        <v>3495</v>
      </c>
      <c r="Q4" s="3432" t="s">
        <v>3475</v>
      </c>
      <c r="R4" s="3432" t="s">
        <v>3476</v>
      </c>
      <c r="S4" s="3432" t="s">
        <v>3496</v>
      </c>
      <c r="T4" s="3432">
        <v>241000</v>
      </c>
      <c r="U4" s="3432">
        <v>18035.5</v>
      </c>
      <c r="V4" s="3432">
        <v>1202.3699999999999</v>
      </c>
      <c r="W4" s="3432">
        <v>16484</v>
      </c>
      <c r="X4" s="3432" t="s">
        <v>3471</v>
      </c>
      <c r="Y4" s="3432">
        <v>0</v>
      </c>
      <c r="Z4" s="3432">
        <v>253050</v>
      </c>
      <c r="AA4" s="3432">
        <v>42000</v>
      </c>
      <c r="AB4" s="3432">
        <v>42000</v>
      </c>
      <c r="AC4" s="3432" t="s">
        <v>3471</v>
      </c>
      <c r="AD4" s="3432" t="s">
        <v>3497</v>
      </c>
      <c r="AE4" s="3432" t="s">
        <v>3498</v>
      </c>
    </row>
    <row r="5" spans="1:31" hidden="1">
      <c r="A5" s="3432" t="s">
        <v>3499</v>
      </c>
      <c r="B5" s="3432" t="s">
        <v>1465</v>
      </c>
      <c r="C5" s="3432" t="s">
        <v>3500</v>
      </c>
      <c r="D5" s="3432" t="s">
        <v>3501</v>
      </c>
      <c r="E5" s="3432" t="s">
        <v>3502</v>
      </c>
      <c r="F5" s="3432">
        <v>30880.23</v>
      </c>
      <c r="G5" s="3432">
        <v>55584.41</v>
      </c>
      <c r="H5" s="3432" t="s">
        <v>3467</v>
      </c>
      <c r="I5" s="3432" t="s">
        <v>3503</v>
      </c>
      <c r="J5" s="3432" t="s">
        <v>3469</v>
      </c>
      <c r="K5" s="3432" t="s">
        <v>3504</v>
      </c>
      <c r="L5" s="3432" t="s">
        <v>3471</v>
      </c>
      <c r="M5" s="3432" t="s">
        <v>3472</v>
      </c>
      <c r="N5" s="3432" t="s">
        <v>3471</v>
      </c>
      <c r="O5" s="3432" t="s">
        <v>3471</v>
      </c>
      <c r="P5" s="3432" t="s">
        <v>3505</v>
      </c>
      <c r="Q5" s="3432" t="s">
        <v>3475</v>
      </c>
      <c r="R5" s="3432" t="s">
        <v>3488</v>
      </c>
      <c r="S5" s="3432" t="s">
        <v>3506</v>
      </c>
      <c r="T5" s="3432">
        <v>49000</v>
      </c>
      <c r="U5" s="3432">
        <v>15867.75</v>
      </c>
      <c r="V5" s="3432">
        <v>1057.8499999999999</v>
      </c>
      <c r="W5" s="3432">
        <v>8815</v>
      </c>
      <c r="X5" s="3432" t="s">
        <v>3471</v>
      </c>
      <c r="Y5" s="3432">
        <v>0</v>
      </c>
      <c r="Z5" s="3432">
        <v>56350</v>
      </c>
      <c r="AA5" s="3432">
        <v>31000</v>
      </c>
      <c r="AB5" s="3432">
        <v>31000</v>
      </c>
      <c r="AC5" s="3432">
        <v>22184</v>
      </c>
      <c r="AD5" s="3432" t="s">
        <v>3478</v>
      </c>
      <c r="AE5" s="3432" t="s">
        <v>3507</v>
      </c>
    </row>
    <row r="6" spans="1:31" s="3436" customFormat="1">
      <c r="A6" s="3436" t="s">
        <v>3508</v>
      </c>
      <c r="B6" s="3436" t="s">
        <v>1465</v>
      </c>
      <c r="C6" s="3436" t="s">
        <v>3464</v>
      </c>
      <c r="D6" s="3436" t="s">
        <v>3465</v>
      </c>
      <c r="E6" s="3436" t="s">
        <v>3590</v>
      </c>
      <c r="F6" s="3436">
        <v>25569.01</v>
      </c>
      <c r="G6" s="3436">
        <v>40910.42</v>
      </c>
      <c r="H6" s="3436" t="s">
        <v>3467</v>
      </c>
      <c r="I6" s="3436" t="s">
        <v>3503</v>
      </c>
      <c r="J6" s="3436" t="s">
        <v>3469</v>
      </c>
      <c r="K6" s="3436" t="s">
        <v>3470</v>
      </c>
      <c r="L6" s="3436" t="s">
        <v>3471</v>
      </c>
      <c r="M6" s="3436" t="s">
        <v>3472</v>
      </c>
      <c r="N6" s="3436" t="s">
        <v>3471</v>
      </c>
      <c r="O6" s="3436" t="s">
        <v>3509</v>
      </c>
      <c r="P6" s="3436" t="s">
        <v>3510</v>
      </c>
      <c r="Q6" s="3436" t="s">
        <v>3475</v>
      </c>
      <c r="R6" s="3436" t="s">
        <v>3476</v>
      </c>
      <c r="S6" s="3436" t="s">
        <v>3477</v>
      </c>
      <c r="T6" s="3436">
        <v>52000</v>
      </c>
      <c r="U6" s="3436">
        <v>20337.12</v>
      </c>
      <c r="V6" s="3436">
        <v>1355.81</v>
      </c>
      <c r="W6" s="3436">
        <v>12711</v>
      </c>
      <c r="X6" s="3436" t="s">
        <v>3471</v>
      </c>
      <c r="Y6" s="3436">
        <v>0</v>
      </c>
      <c r="Z6" s="3436">
        <v>59800</v>
      </c>
      <c r="AA6" s="3436">
        <v>30000</v>
      </c>
      <c r="AB6" s="3436">
        <v>30000</v>
      </c>
      <c r="AC6" s="3436">
        <v>17289</v>
      </c>
      <c r="AD6" s="3436" t="s">
        <v>3478</v>
      </c>
      <c r="AE6" s="3436" t="s">
        <v>3610</v>
      </c>
    </row>
    <row r="7" spans="1:31" s="3436" customFormat="1">
      <c r="A7" s="3436" t="s">
        <v>3511</v>
      </c>
      <c r="B7" s="3436" t="s">
        <v>1465</v>
      </c>
      <c r="C7" s="3436" t="s">
        <v>3512</v>
      </c>
      <c r="D7" s="3436" t="s">
        <v>3513</v>
      </c>
      <c r="E7" s="3436" t="s">
        <v>3591</v>
      </c>
      <c r="F7" s="3436">
        <v>39059.79</v>
      </c>
      <c r="G7" s="3436">
        <v>46871.74</v>
      </c>
      <c r="H7" s="3436" t="s">
        <v>3467</v>
      </c>
      <c r="I7" s="3436" t="s">
        <v>3503</v>
      </c>
      <c r="J7" s="3436" t="s">
        <v>3469</v>
      </c>
      <c r="K7" s="3436" t="s">
        <v>3514</v>
      </c>
      <c r="L7" s="3436" t="s">
        <v>3471</v>
      </c>
      <c r="M7" s="3436" t="s">
        <v>3472</v>
      </c>
      <c r="N7" s="3436" t="s">
        <v>3471</v>
      </c>
      <c r="O7" s="3436" t="s">
        <v>3473</v>
      </c>
      <c r="P7" s="3436" t="s">
        <v>3515</v>
      </c>
      <c r="Q7" s="3436" t="s">
        <v>3475</v>
      </c>
      <c r="R7" s="3436" t="s">
        <v>3476</v>
      </c>
      <c r="S7" s="3436" t="s">
        <v>3516</v>
      </c>
      <c r="T7" s="3436">
        <v>49000</v>
      </c>
      <c r="U7" s="3436">
        <v>12544.87</v>
      </c>
      <c r="V7" s="3436">
        <v>836.32</v>
      </c>
      <c r="W7" s="3436">
        <v>10454</v>
      </c>
      <c r="X7" s="3436" t="s">
        <v>3471</v>
      </c>
      <c r="Y7" s="3436">
        <v>0</v>
      </c>
      <c r="Z7" s="3436">
        <v>56350</v>
      </c>
      <c r="AA7" s="3436">
        <v>32000</v>
      </c>
      <c r="AB7" s="3436">
        <v>32000</v>
      </c>
      <c r="AC7" s="3436">
        <v>21545</v>
      </c>
      <c r="AD7" s="3436" t="s">
        <v>3497</v>
      </c>
      <c r="AE7" s="3436" t="s">
        <v>3612</v>
      </c>
    </row>
    <row r="8" spans="1:31" s="3436" customFormat="1">
      <c r="A8" s="3436" t="s">
        <v>3517</v>
      </c>
      <c r="B8" s="3436" t="s">
        <v>1465</v>
      </c>
      <c r="C8" s="3436" t="s">
        <v>3500</v>
      </c>
      <c r="D8" s="3436" t="s">
        <v>3518</v>
      </c>
      <c r="E8" s="3436" t="s">
        <v>3592</v>
      </c>
      <c r="F8" s="3436">
        <v>55570.2</v>
      </c>
      <c r="G8" s="3436">
        <v>122254.44</v>
      </c>
      <c r="H8" s="3436" t="s">
        <v>3467</v>
      </c>
      <c r="I8" s="3436" t="s">
        <v>3468</v>
      </c>
      <c r="J8" s="3436" t="s">
        <v>3519</v>
      </c>
      <c r="K8" s="3436" t="s">
        <v>3520</v>
      </c>
      <c r="L8" s="3436" t="s">
        <v>3471</v>
      </c>
      <c r="M8" s="3436" t="s">
        <v>3472</v>
      </c>
      <c r="N8" s="3436" t="s">
        <v>3521</v>
      </c>
      <c r="O8" s="3436" t="s">
        <v>3473</v>
      </c>
      <c r="P8" s="3436" t="s">
        <v>3522</v>
      </c>
      <c r="Q8" s="3436" t="s">
        <v>3475</v>
      </c>
      <c r="R8" s="3436" t="s">
        <v>3476</v>
      </c>
      <c r="S8" s="3436" t="s">
        <v>3523</v>
      </c>
      <c r="T8" s="3436">
        <v>152000</v>
      </c>
      <c r="U8" s="3436">
        <v>27352.79</v>
      </c>
      <c r="V8" s="3436">
        <v>1823.52</v>
      </c>
      <c r="W8" s="3436">
        <v>12433</v>
      </c>
      <c r="X8" s="3436" t="s">
        <v>3471</v>
      </c>
      <c r="Y8" s="3436">
        <v>0</v>
      </c>
      <c r="Z8" s="3436">
        <v>174800</v>
      </c>
      <c r="AA8" s="3436">
        <v>30000</v>
      </c>
      <c r="AB8" s="3436">
        <v>30000</v>
      </c>
      <c r="AC8" s="3436">
        <v>17474</v>
      </c>
      <c r="AD8" s="3436" t="s">
        <v>3497</v>
      </c>
      <c r="AE8" s="3436" t="s">
        <v>3614</v>
      </c>
    </row>
    <row r="9" spans="1:31" hidden="1">
      <c r="A9" s="3432" t="s">
        <v>3524</v>
      </c>
      <c r="B9" s="3432" t="s">
        <v>1465</v>
      </c>
      <c r="C9" s="3432" t="s">
        <v>3500</v>
      </c>
      <c r="D9" s="3432" t="s">
        <v>3501</v>
      </c>
      <c r="E9" s="3432" t="s">
        <v>3525</v>
      </c>
      <c r="F9" s="3432">
        <v>9953.99</v>
      </c>
      <c r="G9" s="3432">
        <v>19907.98</v>
      </c>
      <c r="H9" s="3432" t="s">
        <v>3467</v>
      </c>
      <c r="I9" s="3432" t="s">
        <v>3468</v>
      </c>
      <c r="J9" s="3432" t="s">
        <v>3519</v>
      </c>
      <c r="K9" s="3432" t="s">
        <v>3526</v>
      </c>
      <c r="L9" s="3432" t="s">
        <v>3471</v>
      </c>
      <c r="M9" s="3432" t="s">
        <v>3472</v>
      </c>
      <c r="N9" s="3432" t="s">
        <v>3521</v>
      </c>
      <c r="O9" s="3432" t="s">
        <v>3473</v>
      </c>
      <c r="P9" s="3432" t="s">
        <v>3522</v>
      </c>
      <c r="Q9" s="3432" t="s">
        <v>3475</v>
      </c>
      <c r="R9" s="3432" t="s">
        <v>3476</v>
      </c>
      <c r="S9" s="3432" t="s">
        <v>3527</v>
      </c>
      <c r="T9" s="3432">
        <v>18000</v>
      </c>
      <c r="U9" s="3432">
        <v>18083.2</v>
      </c>
      <c r="V9" s="3432">
        <v>1205.55</v>
      </c>
      <c r="W9" s="3432">
        <v>9042</v>
      </c>
      <c r="X9" s="3432" t="s">
        <v>3471</v>
      </c>
      <c r="Y9" s="3432">
        <v>0</v>
      </c>
      <c r="Z9" s="3432">
        <v>20700</v>
      </c>
      <c r="AA9" s="3432">
        <v>31000</v>
      </c>
      <c r="AB9" s="3432">
        <v>31000</v>
      </c>
      <c r="AC9" s="3432">
        <v>21958</v>
      </c>
      <c r="AD9" s="3432" t="s">
        <v>3478</v>
      </c>
      <c r="AE9" s="3432" t="s">
        <v>3528</v>
      </c>
    </row>
    <row r="10" spans="1:31" hidden="1">
      <c r="A10" s="3432" t="s">
        <v>3529</v>
      </c>
      <c r="B10" s="3432" t="s">
        <v>1465</v>
      </c>
      <c r="C10" s="3432" t="s">
        <v>3512</v>
      </c>
      <c r="D10" s="3432" t="s">
        <v>3530</v>
      </c>
      <c r="E10" s="3432" t="s">
        <v>3531</v>
      </c>
      <c r="F10" s="3432">
        <v>31793.74</v>
      </c>
      <c r="G10" s="3432">
        <v>76581.429999999993</v>
      </c>
      <c r="H10" s="3432" t="s">
        <v>3483</v>
      </c>
      <c r="I10" s="3432" t="s">
        <v>3532</v>
      </c>
      <c r="J10" s="3432" t="s">
        <v>3493</v>
      </c>
      <c r="K10" s="3432" t="s">
        <v>3533</v>
      </c>
      <c r="L10" s="3432">
        <v>7.52</v>
      </c>
      <c r="M10" s="3432" t="s">
        <v>3472</v>
      </c>
      <c r="N10" s="3432" t="s">
        <v>3534</v>
      </c>
      <c r="O10" s="3432" t="s">
        <v>3535</v>
      </c>
      <c r="P10" s="3432" t="s">
        <v>3536</v>
      </c>
      <c r="Q10" s="3432" t="s">
        <v>3475</v>
      </c>
      <c r="R10" s="3432" t="s">
        <v>3476</v>
      </c>
      <c r="S10" s="3432" t="s">
        <v>3537</v>
      </c>
      <c r="T10" s="3432">
        <v>80000</v>
      </c>
      <c r="U10" s="3432">
        <v>25162.18</v>
      </c>
      <c r="V10" s="3432">
        <v>1677.48</v>
      </c>
      <c r="W10" s="3432">
        <v>10446</v>
      </c>
      <c r="X10" s="3432" t="s">
        <v>3471</v>
      </c>
      <c r="Y10" s="3432">
        <v>0</v>
      </c>
      <c r="Z10" s="3432">
        <v>92000</v>
      </c>
      <c r="AA10" s="3432">
        <v>32000</v>
      </c>
      <c r="AB10" s="3432">
        <v>32000</v>
      </c>
      <c r="AC10" s="3432">
        <v>20517</v>
      </c>
      <c r="AD10" s="3432" t="s">
        <v>3538</v>
      </c>
      <c r="AE10" s="3432" t="s">
        <v>3539</v>
      </c>
    </row>
    <row r="11" spans="1:31" hidden="1">
      <c r="A11" s="3432" t="s">
        <v>3540</v>
      </c>
      <c r="B11" s="3432" t="s">
        <v>1465</v>
      </c>
      <c r="C11" s="3432" t="s">
        <v>3480</v>
      </c>
      <c r="D11" s="3432" t="s">
        <v>3481</v>
      </c>
      <c r="E11" s="3432" t="s">
        <v>3541</v>
      </c>
      <c r="F11" s="3432">
        <v>81740.06</v>
      </c>
      <c r="G11" s="3432">
        <v>112700</v>
      </c>
      <c r="H11" s="3432" t="s">
        <v>3483</v>
      </c>
      <c r="I11" s="3432" t="s">
        <v>3542</v>
      </c>
      <c r="J11" s="3432" t="s">
        <v>3543</v>
      </c>
      <c r="K11" s="3432" t="s">
        <v>3544</v>
      </c>
      <c r="L11" s="3432" t="s">
        <v>3471</v>
      </c>
      <c r="M11" s="3432" t="s">
        <v>3472</v>
      </c>
      <c r="N11" s="3432" t="s">
        <v>3545</v>
      </c>
      <c r="O11" s="3432" t="s">
        <v>3535</v>
      </c>
      <c r="P11" s="3432" t="s">
        <v>3546</v>
      </c>
      <c r="Q11" s="3432" t="s">
        <v>3475</v>
      </c>
      <c r="R11" s="3432" t="s">
        <v>3547</v>
      </c>
      <c r="S11" s="3432" t="s">
        <v>3548</v>
      </c>
      <c r="T11" s="3432">
        <v>121000</v>
      </c>
      <c r="U11" s="3432">
        <v>14803.02</v>
      </c>
      <c r="V11" s="3432">
        <v>986.87</v>
      </c>
      <c r="W11" s="3432">
        <v>10736</v>
      </c>
      <c r="X11" s="3432" t="s">
        <v>3471</v>
      </c>
      <c r="Y11" s="3432">
        <v>0</v>
      </c>
      <c r="Z11" s="3432">
        <v>139150</v>
      </c>
      <c r="AA11" s="3432">
        <v>37000</v>
      </c>
      <c r="AB11" s="3432">
        <v>37000</v>
      </c>
      <c r="AC11" s="3432">
        <v>-3658</v>
      </c>
      <c r="AD11" s="3432" t="s">
        <v>3497</v>
      </c>
      <c r="AE11" s="3432" t="s">
        <v>3471</v>
      </c>
    </row>
    <row r="12" spans="1:31" hidden="1">
      <c r="A12" s="3432" t="s">
        <v>3549</v>
      </c>
      <c r="B12" s="3432" t="s">
        <v>1465</v>
      </c>
      <c r="C12" s="3432" t="s">
        <v>3464</v>
      </c>
      <c r="D12" s="3432" t="s">
        <v>3465</v>
      </c>
      <c r="E12" s="3432" t="s">
        <v>3550</v>
      </c>
      <c r="F12" s="3432">
        <v>13180.14</v>
      </c>
      <c r="G12" s="3432">
        <v>23720</v>
      </c>
      <c r="H12" s="3432" t="s">
        <v>3467</v>
      </c>
      <c r="I12" s="3432" t="s">
        <v>3468</v>
      </c>
      <c r="J12" s="3432" t="s">
        <v>3551</v>
      </c>
      <c r="K12" s="3432" t="s">
        <v>3504</v>
      </c>
      <c r="L12" s="3432" t="s">
        <v>3471</v>
      </c>
      <c r="M12" s="3432" t="s">
        <v>3472</v>
      </c>
      <c r="N12" s="3432" t="s">
        <v>3552</v>
      </c>
      <c r="O12" s="3432" t="s">
        <v>3535</v>
      </c>
      <c r="P12" s="3432" t="s">
        <v>3553</v>
      </c>
      <c r="Q12" s="3432" t="s">
        <v>3475</v>
      </c>
      <c r="R12" s="3432" t="s">
        <v>3476</v>
      </c>
      <c r="S12" s="3432" t="s">
        <v>3554</v>
      </c>
      <c r="T12" s="3432">
        <v>39000</v>
      </c>
      <c r="U12" s="3432">
        <v>29589.97</v>
      </c>
      <c r="V12" s="3432">
        <v>1972.66</v>
      </c>
      <c r="W12" s="3432">
        <v>16442</v>
      </c>
      <c r="X12" s="3432" t="s">
        <v>3471</v>
      </c>
      <c r="Y12" s="3432">
        <v>0</v>
      </c>
      <c r="Z12" s="3432">
        <v>44850</v>
      </c>
      <c r="AA12" s="3432">
        <v>35000</v>
      </c>
      <c r="AB12" s="3432">
        <v>35000</v>
      </c>
      <c r="AC12" s="3432">
        <v>18558</v>
      </c>
      <c r="AD12" s="3432" t="s">
        <v>3538</v>
      </c>
      <c r="AE12" s="3432" t="s">
        <v>3555</v>
      </c>
    </row>
    <row r="13" spans="1:31" hidden="1">
      <c r="A13" s="3432" t="s">
        <v>3556</v>
      </c>
      <c r="B13" s="3432" t="s">
        <v>1465</v>
      </c>
      <c r="C13" s="3432" t="s">
        <v>3500</v>
      </c>
      <c r="D13" s="3432" t="s">
        <v>3501</v>
      </c>
      <c r="E13" s="3432" t="s">
        <v>3557</v>
      </c>
      <c r="F13" s="3432">
        <v>103325.51</v>
      </c>
      <c r="G13" s="3432">
        <v>200222.03</v>
      </c>
      <c r="H13" s="3432" t="s">
        <v>3467</v>
      </c>
      <c r="I13" s="3432" t="s">
        <v>3468</v>
      </c>
      <c r="J13" s="3432" t="s">
        <v>3558</v>
      </c>
      <c r="K13" s="3432" t="s">
        <v>3526</v>
      </c>
      <c r="L13" s="3432" t="s">
        <v>3471</v>
      </c>
      <c r="M13" s="3432" t="s">
        <v>3472</v>
      </c>
      <c r="N13" s="3432" t="s">
        <v>3552</v>
      </c>
      <c r="O13" s="3432" t="s">
        <v>3535</v>
      </c>
      <c r="P13" s="3432" t="s">
        <v>3553</v>
      </c>
      <c r="Q13" s="3432" t="s">
        <v>3475</v>
      </c>
      <c r="R13" s="3432" t="s">
        <v>3476</v>
      </c>
      <c r="S13" s="3432" t="s">
        <v>3559</v>
      </c>
      <c r="T13" s="3432">
        <v>207000</v>
      </c>
      <c r="U13" s="3432">
        <v>20033.77</v>
      </c>
      <c r="V13" s="3432">
        <v>1335.58</v>
      </c>
      <c r="W13" s="3432">
        <v>10339</v>
      </c>
      <c r="X13" s="3432" t="s">
        <v>3471</v>
      </c>
      <c r="Y13" s="3432">
        <v>0</v>
      </c>
      <c r="Z13" s="3432">
        <v>238050</v>
      </c>
      <c r="AA13" s="3432">
        <v>30000</v>
      </c>
      <c r="AB13" s="3432">
        <v>30000</v>
      </c>
      <c r="AC13" s="3432">
        <v>19661</v>
      </c>
      <c r="AD13" s="3432" t="s">
        <v>3478</v>
      </c>
      <c r="AE13" s="3432" t="s">
        <v>3560</v>
      </c>
    </row>
    <row r="14" spans="1:31" hidden="1">
      <c r="A14" s="3432" t="s">
        <v>3561</v>
      </c>
      <c r="B14" s="3432" t="s">
        <v>1465</v>
      </c>
      <c r="C14" s="3432" t="s">
        <v>3512</v>
      </c>
      <c r="D14" s="3432" t="s">
        <v>3562</v>
      </c>
      <c r="E14" s="3432" t="s">
        <v>3563</v>
      </c>
      <c r="F14" s="3432">
        <v>30675.919999999998</v>
      </c>
      <c r="G14" s="3432">
        <v>76689.8</v>
      </c>
      <c r="H14" s="3432" t="s">
        <v>3467</v>
      </c>
      <c r="I14" s="3432" t="s">
        <v>3564</v>
      </c>
      <c r="J14" s="3432" t="s">
        <v>3469</v>
      </c>
      <c r="K14" s="3432" t="s">
        <v>3565</v>
      </c>
      <c r="L14" s="3432" t="s">
        <v>3471</v>
      </c>
      <c r="M14" s="3432" t="s">
        <v>3566</v>
      </c>
      <c r="N14" s="3432" t="s">
        <v>3567</v>
      </c>
      <c r="O14" s="3432" t="s">
        <v>3568</v>
      </c>
      <c r="P14" s="3432" t="s">
        <v>3569</v>
      </c>
      <c r="Q14" s="3432" t="s">
        <v>3475</v>
      </c>
      <c r="R14" s="3432" t="s">
        <v>3476</v>
      </c>
      <c r="S14" s="3432" t="s">
        <v>3570</v>
      </c>
      <c r="T14" s="3432">
        <v>34710</v>
      </c>
      <c r="U14" s="3432">
        <v>11315.06</v>
      </c>
      <c r="V14" s="3432">
        <v>754.34</v>
      </c>
      <c r="W14" s="3432">
        <v>4526</v>
      </c>
      <c r="X14" s="3432" t="s">
        <v>3471</v>
      </c>
      <c r="Y14" s="3432">
        <v>0</v>
      </c>
      <c r="Z14" s="3432" t="s">
        <v>3471</v>
      </c>
      <c r="AA14" s="3432">
        <v>16500</v>
      </c>
      <c r="AB14" s="3432">
        <v>16500</v>
      </c>
      <c r="AC14" s="3432">
        <v>11973</v>
      </c>
      <c r="AD14" s="3432" t="s">
        <v>3497</v>
      </c>
      <c r="AE14" s="3432" t="s">
        <v>3571</v>
      </c>
    </row>
    <row r="15" spans="1:31" hidden="1">
      <c r="A15" s="3432" t="s">
        <v>3572</v>
      </c>
      <c r="B15" s="3432" t="s">
        <v>1465</v>
      </c>
      <c r="C15" s="3432" t="s">
        <v>3500</v>
      </c>
      <c r="D15" s="3432" t="s">
        <v>3573</v>
      </c>
      <c r="E15" s="3432" t="s">
        <v>3574</v>
      </c>
      <c r="F15" s="3432">
        <v>58351.58</v>
      </c>
      <c r="G15" s="3432">
        <v>116703</v>
      </c>
      <c r="H15" s="3432" t="s">
        <v>3467</v>
      </c>
      <c r="I15" s="3432" t="s">
        <v>3468</v>
      </c>
      <c r="J15" s="3432" t="s">
        <v>3575</v>
      </c>
      <c r="K15" s="3432" t="s">
        <v>3576</v>
      </c>
      <c r="L15" s="3432" t="s">
        <v>3471</v>
      </c>
      <c r="M15" s="3432" t="s">
        <v>3472</v>
      </c>
      <c r="N15" s="3432" t="s">
        <v>3577</v>
      </c>
      <c r="O15" s="3432" t="s">
        <v>3578</v>
      </c>
      <c r="P15" s="3432" t="s">
        <v>3579</v>
      </c>
      <c r="Q15" s="3432" t="s">
        <v>3475</v>
      </c>
      <c r="R15" s="3432" t="s">
        <v>3476</v>
      </c>
      <c r="S15" s="3432" t="s">
        <v>3580</v>
      </c>
      <c r="T15" s="3432">
        <v>173800</v>
      </c>
      <c r="U15" s="3432">
        <v>29784.959999999999</v>
      </c>
      <c r="V15" s="3432">
        <v>1985.66</v>
      </c>
      <c r="W15" s="3432">
        <v>14893</v>
      </c>
      <c r="X15" s="3432" t="s">
        <v>3471</v>
      </c>
      <c r="Y15" s="3432">
        <v>14.95</v>
      </c>
      <c r="Z15" s="3432">
        <v>173800</v>
      </c>
      <c r="AA15" s="3432" t="s">
        <v>3471</v>
      </c>
      <c r="AB15" s="3432" t="s">
        <v>3471</v>
      </c>
      <c r="AC15" s="3432" t="s">
        <v>3471</v>
      </c>
      <c r="AD15" s="3432" t="s">
        <v>3478</v>
      </c>
      <c r="AE15" s="3432" t="s">
        <v>3581</v>
      </c>
    </row>
    <row r="16" spans="1:31" hidden="1">
      <c r="A16" s="3432" t="s">
        <v>3582</v>
      </c>
      <c r="B16" s="3432" t="s">
        <v>1465</v>
      </c>
      <c r="C16" s="3432" t="s">
        <v>3480</v>
      </c>
      <c r="D16" s="3432" t="s">
        <v>3583</v>
      </c>
      <c r="E16" s="3432" t="s">
        <v>3584</v>
      </c>
      <c r="F16" s="3432">
        <v>115536.75</v>
      </c>
      <c r="G16" s="3432">
        <v>211725</v>
      </c>
      <c r="H16" s="3432" t="s">
        <v>3483</v>
      </c>
      <c r="I16" s="3432" t="s">
        <v>3585</v>
      </c>
      <c r="J16" s="3432" t="s">
        <v>3575</v>
      </c>
      <c r="K16" s="3432" t="s">
        <v>3586</v>
      </c>
      <c r="L16" s="3432" t="s">
        <v>3471</v>
      </c>
      <c r="M16" s="3432" t="s">
        <v>3472</v>
      </c>
      <c r="N16" s="3432" t="s">
        <v>3577</v>
      </c>
      <c r="O16" s="3432" t="s">
        <v>3473</v>
      </c>
      <c r="P16" s="3432" t="s">
        <v>3587</v>
      </c>
      <c r="Q16" s="3432" t="s">
        <v>3475</v>
      </c>
      <c r="R16" s="3432" t="s">
        <v>3547</v>
      </c>
      <c r="S16" s="3432" t="s">
        <v>3588</v>
      </c>
      <c r="T16" s="3432">
        <v>457000</v>
      </c>
      <c r="U16" s="3432">
        <v>39554.51</v>
      </c>
      <c r="V16" s="3432">
        <v>2636.97</v>
      </c>
      <c r="W16" s="3432">
        <v>21585</v>
      </c>
      <c r="X16" s="3432" t="s">
        <v>3471</v>
      </c>
      <c r="Y16" s="3432">
        <v>0</v>
      </c>
      <c r="Z16" s="3432">
        <v>502700</v>
      </c>
      <c r="AA16" s="3432" t="s">
        <v>3471</v>
      </c>
      <c r="AB16" s="3432" t="s">
        <v>3471</v>
      </c>
      <c r="AC16" s="3432" t="s">
        <v>3471</v>
      </c>
      <c r="AD16" s="3432" t="s">
        <v>3478</v>
      </c>
      <c r="AE16" s="3432" t="s">
        <v>3589</v>
      </c>
    </row>
    <row r="19" spans="1:1" ht="13.5">
      <c r="A19" s="3443" t="s">
        <v>3619</v>
      </c>
    </row>
    <row r="116" spans="27:30">
      <c r="AA116" s="3432" t="s">
        <v>3609</v>
      </c>
    </row>
    <row r="118" spans="27:30">
      <c r="AA118" s="3432" t="s">
        <v>3597</v>
      </c>
      <c r="AD118" s="3432">
        <v>20496.439999999999</v>
      </c>
    </row>
    <row r="119" spans="27:30">
      <c r="AA119" s="3432" t="s">
        <v>3604</v>
      </c>
      <c r="AD119" s="3432">
        <v>300</v>
      </c>
    </row>
    <row r="120" spans="27:30">
      <c r="AA120" s="3432" t="s">
        <v>3601</v>
      </c>
      <c r="AD120" s="3432">
        <f>AD118+AD119</f>
        <v>20796.439999999999</v>
      </c>
    </row>
    <row r="123" spans="27:30">
      <c r="AA123" s="3432" t="s">
        <v>3598</v>
      </c>
      <c r="AD123" s="3432">
        <v>24600</v>
      </c>
    </row>
    <row r="124" spans="27:30">
      <c r="AA124" s="3432" t="s">
        <v>3605</v>
      </c>
      <c r="AD124" s="3432">
        <f>ROUND(AD123*10000/AD118,0)</f>
        <v>12002</v>
      </c>
    </row>
    <row r="126" spans="27:30">
      <c r="AA126" s="3432" t="s">
        <v>3606</v>
      </c>
      <c r="AD126" s="3432">
        <f>5000*AD119/10000</f>
        <v>150</v>
      </c>
    </row>
    <row r="127" spans="27:30">
      <c r="AA127" s="3432" t="s">
        <v>3607</v>
      </c>
      <c r="AD127" s="3432">
        <f>AD123+AD126</f>
        <v>24750</v>
      </c>
    </row>
    <row r="128" spans="27:30">
      <c r="AA128" s="3432" t="s">
        <v>3608</v>
      </c>
      <c r="AD128" s="3438">
        <f>AD127/AD123/100</f>
        <v>1.0060975609756098E-2</v>
      </c>
    </row>
    <row r="747" spans="23:30">
      <c r="AA747" s="3432" t="s">
        <v>3597</v>
      </c>
      <c r="AD747" s="3432">
        <v>121354.44</v>
      </c>
    </row>
    <row r="748" spans="23:30">
      <c r="AA748" s="3432" t="s">
        <v>3593</v>
      </c>
      <c r="AD748" s="3432">
        <v>900</v>
      </c>
    </row>
    <row r="749" spans="23:30">
      <c r="AA749" s="3432" t="s">
        <v>3594</v>
      </c>
      <c r="AD749" s="3432">
        <v>1770</v>
      </c>
    </row>
    <row r="750" spans="23:30">
      <c r="W750" s="3432" t="s">
        <v>3595</v>
      </c>
      <c r="AD750" s="3432">
        <f>SUM(AD747:AD749)</f>
        <v>124024.44</v>
      </c>
    </row>
    <row r="751" spans="23:30" ht="36">
      <c r="W751" s="3432">
        <v>122254.44</v>
      </c>
      <c r="AA751" s="3435" t="s">
        <v>3596</v>
      </c>
      <c r="AD751" s="3432">
        <f>AD747+AD748</f>
        <v>122254.44</v>
      </c>
    </row>
    <row r="753" spans="23:30">
      <c r="W753" s="3432">
        <f>AD750-W751</f>
        <v>1770</v>
      </c>
    </row>
    <row r="754" spans="23:30">
      <c r="AA754" s="3432" t="s">
        <v>3598</v>
      </c>
      <c r="AD754" s="3432">
        <v>152000</v>
      </c>
    </row>
    <row r="755" spans="23:30">
      <c r="AA755" s="3432" t="s">
        <v>3599</v>
      </c>
      <c r="AD755" s="3437">
        <f>ROUND(AD754*10000/AD747,0)</f>
        <v>12525</v>
      </c>
    </row>
    <row r="757" spans="23:30">
      <c r="AA757" s="3432" t="s">
        <v>3600</v>
      </c>
      <c r="AD757" s="3432">
        <f>5000*(AD748+AD749)/10000</f>
        <v>1335</v>
      </c>
    </row>
    <row r="758" spans="23:30" ht="24">
      <c r="AA758" s="3435" t="s">
        <v>3602</v>
      </c>
      <c r="AD758" s="3432">
        <f>AD754+AD757</f>
        <v>153335</v>
      </c>
    </row>
    <row r="759" spans="23:30">
      <c r="AA759" s="3432" t="s">
        <v>3603</v>
      </c>
      <c r="AD759" s="3438">
        <f>AD758/AD754/100</f>
        <v>1.008782894736842E-2</v>
      </c>
    </row>
  </sheetData>
  <phoneticPr fontId="224" type="noConversion"/>
  <hyperlinks>
    <hyperlink ref="A19"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R9" sqref="R9"/>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8.75" style="1722"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1">
        <f>MATCH(B1,'数据-取费表'!A6:A16,0)+5</f>
        <v>10</v>
      </c>
      <c r="L1" s="236"/>
      <c r="M1" s="236"/>
      <c r="N1" s="236"/>
      <c r="O1" s="236"/>
      <c r="P1" s="236"/>
      <c r="Q1" s="236"/>
      <c r="R1" s="236"/>
      <c r="S1" s="236"/>
      <c r="T1" s="236"/>
      <c r="U1" s="236"/>
      <c r="V1" s="236"/>
      <c r="W1" s="236"/>
      <c r="X1" s="236"/>
      <c r="Y1" s="236"/>
      <c r="Z1" s="236"/>
    </row>
    <row r="2" spans="1:31" s="1653" customFormat="1" ht="18" customHeight="1">
      <c r="A2" s="1708" t="s">
        <v>427</v>
      </c>
      <c r="B2" s="1712">
        <f ca="1">C36</f>
        <v>24773</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8632</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19059</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1271</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3" t="s">
        <v>1371</v>
      </c>
      <c r="B6" s="2134"/>
      <c r="C6" s="2135">
        <f ca="1">SUM(C10:K10)</f>
        <v>59570</v>
      </c>
      <c r="D6" s="2134"/>
      <c r="E6" s="2134"/>
      <c r="F6" s="2134"/>
      <c r="G6" s="2134"/>
      <c r="H6" s="2134"/>
      <c r="I6" s="2134"/>
      <c r="J6" s="2134"/>
      <c r="K6" s="2136"/>
      <c r="L6" s="2704"/>
      <c r="M6" s="2704"/>
      <c r="N6" s="3453" t="s">
        <v>3714</v>
      </c>
      <c r="O6" s="3458" t="s">
        <v>3725</v>
      </c>
      <c r="P6" s="3458" t="s">
        <v>3726</v>
      </c>
      <c r="Q6" s="2704"/>
      <c r="R6" s="2704"/>
      <c r="S6" s="2704"/>
      <c r="T6" s="2704"/>
      <c r="U6" s="2704"/>
      <c r="V6" s="2704"/>
      <c r="W6" s="2704"/>
      <c r="X6" s="2704"/>
      <c r="Y6" s="2704"/>
      <c r="Z6" s="2704"/>
    </row>
    <row r="7" spans="1:31" s="1720" customFormat="1" ht="25.5">
      <c r="A7" s="2137" t="s">
        <v>430</v>
      </c>
      <c r="B7" s="2138" t="s">
        <v>431</v>
      </c>
      <c r="C7" s="405" t="s">
        <v>3334</v>
      </c>
      <c r="D7" s="405" t="s">
        <v>3709</v>
      </c>
      <c r="E7" s="405" t="s">
        <v>3711</v>
      </c>
      <c r="F7" s="405" t="s">
        <v>3332</v>
      </c>
      <c r="G7" s="405"/>
      <c r="H7" s="405"/>
      <c r="I7" s="405"/>
      <c r="J7" s="405"/>
      <c r="K7" s="406"/>
      <c r="M7" s="3459" t="s">
        <v>3715</v>
      </c>
      <c r="N7" s="3460">
        <v>215</v>
      </c>
      <c r="AA7" s="1719"/>
      <c r="AB7" s="1719"/>
      <c r="AC7" s="1719"/>
      <c r="AD7" s="1719"/>
      <c r="AE7" s="1719"/>
    </row>
    <row r="8" spans="1:31" s="1722" customFormat="1" ht="13.5" customHeight="1">
      <c r="A8" s="737" t="s">
        <v>1374</v>
      </c>
      <c r="B8" s="240" t="s">
        <v>432</v>
      </c>
      <c r="C8" s="2139">
        <f>'不动产比较法-住宅'!B3</f>
        <v>28219</v>
      </c>
      <c r="D8" s="2139">
        <f>'不动产比较法-车位'!B3</f>
        <v>4630</v>
      </c>
      <c r="E8" s="3482">
        <f ca="1">不动产收益法!B3</f>
        <v>1981</v>
      </c>
      <c r="F8" s="2139"/>
      <c r="G8" s="2139"/>
      <c r="H8" s="2139"/>
      <c r="I8" s="2139"/>
      <c r="J8" s="2139"/>
      <c r="K8" s="2140"/>
      <c r="M8" s="3453" t="s">
        <v>3680</v>
      </c>
      <c r="N8" s="1722">
        <f>工规面积指标!J30</f>
        <v>154</v>
      </c>
      <c r="AA8" s="1721"/>
      <c r="AB8" s="1721"/>
      <c r="AC8" s="1721"/>
      <c r="AD8" s="1721"/>
      <c r="AE8" s="1721"/>
    </row>
    <row r="9" spans="1:31" s="1722" customFormat="1" ht="13.5" customHeight="1">
      <c r="A9" s="737" t="s">
        <v>1375</v>
      </c>
      <c r="B9" s="240" t="s">
        <v>433</v>
      </c>
      <c r="C9" s="410">
        <f>SUMIF('数据-汇总表'!$C19:$C33,'剩余法-待开发'!C7,'数据-汇总表'!$E19:$E33)</f>
        <v>20493.689999999999</v>
      </c>
      <c r="D9" s="410">
        <f>SUMIF('数据-汇总表'!$C19:$C33,'剩余法-待开发'!D7,'数据-汇总表'!$E19:$E33)</f>
        <v>2768.65</v>
      </c>
      <c r="E9" s="410">
        <f>SUMIF('数据-汇总表'!$C19:$C33,'剩余法-待开发'!E7,'数据-汇总表'!$E19:$E33)</f>
        <v>2307.2000000000003</v>
      </c>
      <c r="F9" s="410">
        <f>SUMIF('数据-汇总表'!$C19:$C33,'剩余法-待开发'!F7,'数据-汇总表'!$E19:$E33)</f>
        <v>98.29</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M9" s="3453" t="s">
        <v>3713</v>
      </c>
      <c r="N9" s="1722">
        <f>工规面积指标!J34</f>
        <v>84</v>
      </c>
      <c r="O9" s="1722">
        <f>工规面积指标!M34</f>
        <v>32.96</v>
      </c>
      <c r="P9" s="1722">
        <f>D8*O9</f>
        <v>152604.80000000002</v>
      </c>
      <c r="AA9" s="1721"/>
      <c r="AB9" s="1721"/>
      <c r="AC9" s="1721"/>
      <c r="AD9" s="1721"/>
      <c r="AE9" s="1721"/>
    </row>
    <row r="10" spans="1:31" s="1722" customFormat="1" ht="13.5" customHeight="1" thickBot="1">
      <c r="A10" s="2141" t="s">
        <v>1376</v>
      </c>
      <c r="B10" s="2127" t="s">
        <v>434</v>
      </c>
      <c r="C10" s="2314">
        <f>'不动产比较法-住宅'!B2</f>
        <v>57831</v>
      </c>
      <c r="D10" s="2314">
        <f>'不动产比较法-车位'!B2</f>
        <v>1282</v>
      </c>
      <c r="E10" s="2314">
        <f ca="1">不动产收益法!B2</f>
        <v>457</v>
      </c>
      <c r="F10" s="2142"/>
      <c r="G10" s="2142"/>
      <c r="H10" s="2142"/>
      <c r="I10" s="2142"/>
      <c r="J10" s="2142"/>
      <c r="K10" s="2143"/>
      <c r="M10" s="3453" t="s">
        <v>3731</v>
      </c>
      <c r="N10" s="1722">
        <f>工规面积指标!J35</f>
        <v>70</v>
      </c>
      <c r="O10" s="1722">
        <f>工规面积指标!M35</f>
        <v>32.96</v>
      </c>
      <c r="P10" s="1722">
        <f ca="1">E8*O10</f>
        <v>65293.760000000002</v>
      </c>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1722" t="s">
        <v>3734</v>
      </c>
      <c r="N11" s="2704">
        <f>N10*2</f>
        <v>140</v>
      </c>
      <c r="O11" s="2704">
        <f>O10/2</f>
        <v>16.48</v>
      </c>
      <c r="P11" s="2704">
        <f ca="1">E8*O11</f>
        <v>32646.880000000001</v>
      </c>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8">
        <f ca="1">IF(B1="",'数据-取费表'!P16,INDIRECT("'数据-取费表'!p"&amp;$K$1)+INDIRECT("'数据-取费表'!t"&amp;$K$1))</f>
        <v>15617</v>
      </c>
      <c r="D13" s="2149"/>
      <c r="E13" s="338"/>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8">
        <f ca="1">ROUND(C13*F14,0)</f>
        <v>781</v>
      </c>
      <c r="D14" s="2149"/>
      <c r="E14" s="338"/>
      <c r="F14" s="2153">
        <f>'数据-取费表'!B33</f>
        <v>0.05</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8">
        <f ca="1">ROUND(IF(B1="",SUMIF('数据-取费表'!C:C,"住宅",'数据-取费表'!P:P)*F15,IF(INDIRECT("'数据-取费表'!c"&amp;$K$1)="住宅",INDIRECT("'数据-取费表'!P"&amp;$K$1)*F15,0)),0)</f>
        <v>984</v>
      </c>
      <c r="D15" s="2149"/>
      <c r="E15" s="338"/>
      <c r="F15" s="2153">
        <f>'数据-取费表'!B34</f>
        <v>0.08</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8">
        <f ca="1">ROUND(D16*E16/10000,0)</f>
        <v>574</v>
      </c>
      <c r="D16" s="2149">
        <f ca="1">IF(B1="",'数据-汇总表'!E3,INDIRECT("'数据-取费表'!K"&amp;$K$1)+INDIRECT("'数据-取费表'!S"&amp;$K$1))</f>
        <v>28699.425200000001</v>
      </c>
      <c r="E16" s="48">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312</v>
      </c>
      <c r="D17" s="443"/>
      <c r="E17" s="2152"/>
      <c r="F17" s="2153">
        <f>'数据-取费表'!B36</f>
        <v>0.02</v>
      </c>
      <c r="G17" s="240" t="s">
        <v>446</v>
      </c>
      <c r="H17" s="1059"/>
      <c r="I17" s="1059"/>
      <c r="J17" s="1059"/>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18268</v>
      </c>
      <c r="D18" s="2157"/>
      <c r="E18" s="436"/>
      <c r="F18" s="436"/>
      <c r="G18" s="1040" t="s">
        <v>1781</v>
      </c>
      <c r="H18" s="1041"/>
      <c r="I18" s="1041"/>
      <c r="J18" s="1041"/>
      <c r="K18" s="129"/>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143</v>
      </c>
      <c r="D19" s="2158">
        <f ca="1">D16</f>
        <v>28699.425200000001</v>
      </c>
      <c r="E19" s="1630">
        <f>'数据-取费表'!B32</f>
        <v>50</v>
      </c>
      <c r="F19" s="436"/>
      <c r="G19" s="2121" t="s">
        <v>449</v>
      </c>
      <c r="H19" s="2122"/>
      <c r="I19" s="1041"/>
      <c r="J19" s="1041"/>
      <c r="K19" s="129"/>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328</v>
      </c>
      <c r="D20" s="2158"/>
      <c r="E20" s="1630"/>
      <c r="F20" s="2159"/>
      <c r="G20" s="2343"/>
      <c r="H20" s="2119"/>
      <c r="I20" s="2120" t="s">
        <v>1932</v>
      </c>
      <c r="J20" s="1041"/>
      <c r="K20" s="129"/>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8">
        <f ca="1">ROUND(D21*E21/10000,0)</f>
        <v>205</v>
      </c>
      <c r="D21" s="2149">
        <f ca="1">IF(B1="",'数据-汇总表'!E5,IF(INDIRECT("'数据-取费表'!c"&amp;$K$1)="住宅",INDIRECT("'数据-取费表'!k"&amp;$K$1),0))</f>
        <v>20493.689999999999</v>
      </c>
      <c r="E21" s="48">
        <f>'数据-取费表'!B27</f>
        <v>100</v>
      </c>
      <c r="F21" s="2151"/>
      <c r="G21" s="21"/>
      <c r="H21" s="46"/>
      <c r="I21" s="46"/>
      <c r="J21" s="46"/>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8">
        <f ca="1">ROUND(D22*E22/10000,0)</f>
        <v>123</v>
      </c>
      <c r="D22" s="2149">
        <f ca="1">IF(B1="",'数据-汇总表'!E6,IF(INDIRECT("'数据-取费表'!c"&amp;$K$1)="住宅",INDIRECT("'数据-取费表'!s"&amp;$K$1),INDIRECT("'数据-取费表'!k"&amp;$K$1)+INDIRECT("'数据-取费表'!s"&amp;$K$1)))</f>
        <v>8205.7352000000028</v>
      </c>
      <c r="E22" s="48">
        <f>'数据-取费表'!B28</f>
        <v>150</v>
      </c>
      <c r="F22" s="2151"/>
      <c r="G22" s="21"/>
      <c r="H22" s="46"/>
      <c r="I22" s="46"/>
      <c r="J22" s="46"/>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2108</v>
      </c>
      <c r="C23" s="2156">
        <f ca="1">ROUND((C18+C19+C20)*F23,0)</f>
        <v>375</v>
      </c>
      <c r="D23" s="436"/>
      <c r="E23" s="436"/>
      <c r="F23" s="2160">
        <f>'数据-取费表'!B37</f>
        <v>0.02</v>
      </c>
      <c r="G23" s="2121" t="s">
        <v>1782</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2111</v>
      </c>
      <c r="C24" s="2156">
        <f ca="1">ROUND(C6*F24,0)</f>
        <v>1191</v>
      </c>
      <c r="D24" s="443"/>
      <c r="E24" s="441"/>
      <c r="F24" s="2160">
        <f>'数据-取费表'!B38</f>
        <v>0.02</v>
      </c>
      <c r="G24" s="2126" t="s">
        <v>459</v>
      </c>
      <c r="H24" s="1059"/>
      <c r="I24" s="1059"/>
      <c r="J24" s="1059"/>
      <c r="K24" s="257"/>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2109</v>
      </c>
      <c r="C25" s="435">
        <f>ROUND(F25/(1+'数据-取费表'!C42),4)</f>
        <v>2.9000000000000001E-2</v>
      </c>
      <c r="D25" s="430" t="s">
        <v>2104</v>
      </c>
      <c r="E25" s="437"/>
      <c r="F25" s="2160">
        <f>IF(项目基本情况!B8="出让",0,'数据-取费表'!B48+'数据-取费表'!B49)</f>
        <v>3.0499999999999999E-2</v>
      </c>
      <c r="G25" s="2125" t="s">
        <v>1647</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2110</v>
      </c>
      <c r="C26" s="2161">
        <f ca="1">C28</f>
        <v>790</v>
      </c>
      <c r="D26" s="435">
        <f ca="1">C27</f>
        <v>8.1600000000000006E-2</v>
      </c>
      <c r="E26" s="437" t="s">
        <v>455</v>
      </c>
      <c r="F26" s="439">
        <f ca="1">'数据-取费表'!B40</f>
        <v>3.1E-2</v>
      </c>
      <c r="G26" s="2044" t="str">
        <f>IF('数据-取费表'!B22&lt;=1,"单利计息。","复利计息。")&amp;"后续开发成本、管理费用及销售费用产生的利息。"</f>
        <v>复利计息。后续开发成本、管理费用及销售费用产生的利息。</v>
      </c>
      <c r="H26" s="1041"/>
      <c r="I26" s="1041"/>
      <c r="J26" s="1041"/>
      <c r="K26" s="129"/>
      <c r="L26" s="2706"/>
      <c r="M26" s="2706"/>
      <c r="N26" s="2706"/>
      <c r="O26" s="2706"/>
      <c r="P26" s="2706"/>
      <c r="Q26" s="2706"/>
      <c r="R26" s="2706"/>
      <c r="S26" s="2706"/>
      <c r="T26" s="2706"/>
      <c r="U26" s="2706"/>
      <c r="V26" s="2706"/>
      <c r="W26" s="2706"/>
      <c r="X26" s="2706"/>
      <c r="Y26" s="2706"/>
      <c r="Z26" s="2706"/>
    </row>
    <row r="27" spans="1:26" s="1727" customFormat="1" ht="13.5" customHeight="1">
      <c r="A27" s="737" t="s">
        <v>1385</v>
      </c>
      <c r="B27" s="2162" t="s">
        <v>456</v>
      </c>
      <c r="C27" s="2163">
        <f ca="1">ROUND(IF('数据-取费表'!B22&lt;=1,(1+C25)*F26*'数据-取费表'!B24,(1+C25)*(POWER((1+F26),'数据-取费表'!B24)-1)),4)</f>
        <v>8.1600000000000006E-2</v>
      </c>
      <c r="D27" s="440"/>
      <c r="E27" s="441"/>
      <c r="F27" s="442"/>
      <c r="G27" s="2044" t="str">
        <f>IF('数据-取费表'!B22&lt;=1,"（1+取得税费率/(1+5%)）×年利率×建设期","（1+取得税费率）/(1+5%)×((1+年利率)^建设期-1)")</f>
        <v>（1+取得税费率）/(1+5%)×((1+年利率)^建设期-1)</v>
      </c>
      <c r="H27" s="1059"/>
      <c r="I27" s="1059"/>
      <c r="J27" s="1059"/>
      <c r="K27" s="257"/>
      <c r="L27" s="2708"/>
      <c r="M27" s="2708"/>
      <c r="N27" s="2708"/>
      <c r="O27" s="2708"/>
      <c r="P27" s="2708"/>
      <c r="Q27" s="2708"/>
      <c r="R27" s="2708"/>
      <c r="S27" s="2708"/>
      <c r="T27" s="2708"/>
      <c r="U27" s="2708"/>
      <c r="V27" s="2708"/>
      <c r="W27" s="2708"/>
      <c r="X27" s="2708"/>
      <c r="Y27" s="2708"/>
      <c r="Z27" s="2708"/>
    </row>
    <row r="28" spans="1:26" s="1727" customFormat="1" ht="13.5" customHeight="1">
      <c r="A28" s="737" t="s">
        <v>1386</v>
      </c>
      <c r="B28" s="2162" t="s">
        <v>2112</v>
      </c>
      <c r="C28" s="2164">
        <f ca="1">ROUND(IF('数据-取费表'!B22&lt;=1,(C18+C19+C20+C23+C24)*F26*'数据-取费表'!B24/2,(C18+C19+C20+C23+C24)*(POWER((1+F26),'数据-取费表'!B24/2)-1)),0)</f>
        <v>790</v>
      </c>
      <c r="D28" s="440"/>
      <c r="E28" s="441"/>
      <c r="F28" s="442"/>
      <c r="G28" s="2044" t="str">
        <f>IF('数据-取费表'!B22&lt;=1,"（1）-（4）项×年利率×建设期÷2","（1）-（4）项×((1+年利率)^(建设期÷2)-1)")</f>
        <v>（1）-（4）项×((1+年利率)^(建设期÷2)-1)</v>
      </c>
      <c r="H28" s="1059"/>
      <c r="I28" s="1059"/>
      <c r="J28" s="1059"/>
      <c r="K28" s="257"/>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 ca="1">ROUND(C6*F29/(1+'数据-取费表'!C42),0)</f>
        <v>3177</v>
      </c>
      <c r="D29" s="436"/>
      <c r="E29" s="436"/>
      <c r="F29" s="2320">
        <f>'数据-取费表'!B41</f>
        <v>5.6000000000000001E-2</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24272</v>
      </c>
      <c r="D30" s="445">
        <f ca="1">C32</f>
        <v>0.1106</v>
      </c>
      <c r="E30" s="437" t="s">
        <v>455</v>
      </c>
      <c r="F30" s="439"/>
      <c r="G30" s="2125" t="s">
        <v>2228</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7" t="s">
        <v>1385</v>
      </c>
      <c r="B31" s="2162"/>
      <c r="C31" s="418">
        <f ca="1">C18+C19+C20+C23+C24+C26+C29</f>
        <v>24272</v>
      </c>
      <c r="D31" s="440"/>
      <c r="E31" s="441"/>
      <c r="F31" s="442"/>
      <c r="G31" s="240"/>
      <c r="H31" s="1059"/>
      <c r="I31" s="1059"/>
      <c r="J31" s="1059"/>
      <c r="K31" s="257"/>
      <c r="L31" s="2708"/>
      <c r="M31" s="2708"/>
      <c r="N31" s="2708"/>
      <c r="O31" s="2708"/>
      <c r="P31" s="2708"/>
      <c r="Q31" s="2708"/>
      <c r="R31" s="2708"/>
      <c r="S31" s="2708"/>
      <c r="T31" s="2708"/>
      <c r="U31" s="2708"/>
      <c r="V31" s="2708"/>
      <c r="W31" s="2708"/>
      <c r="X31" s="2708"/>
      <c r="Y31" s="2708"/>
      <c r="Z31" s="2708"/>
    </row>
    <row r="32" spans="1:26" s="1727" customFormat="1" ht="13.5" customHeight="1">
      <c r="A32" s="737" t="s">
        <v>1386</v>
      </c>
      <c r="B32" s="2162"/>
      <c r="C32" s="48">
        <f ca="1">ROUND(C25+D26,4)</f>
        <v>0.1106</v>
      </c>
      <c r="D32" s="440"/>
      <c r="E32" s="441"/>
      <c r="F32" s="442"/>
      <c r="G32" s="240"/>
      <c r="H32" s="1059"/>
      <c r="I32" s="1059"/>
      <c r="J32" s="1059"/>
      <c r="K32" s="257"/>
      <c r="L32" s="2708"/>
      <c r="M32" s="2708"/>
      <c r="N32" s="2708"/>
      <c r="O32" s="2708"/>
      <c r="P32" s="2708"/>
      <c r="Q32" s="2708"/>
      <c r="R32" s="2708"/>
      <c r="S32" s="2708"/>
      <c r="T32" s="2708"/>
      <c r="U32" s="2708"/>
      <c r="V32" s="2708"/>
      <c r="W32" s="2708"/>
      <c r="X32" s="2708"/>
      <c r="Y32" s="2708"/>
      <c r="Z32" s="2708"/>
    </row>
    <row r="33" spans="1:26" s="1729" customFormat="1" ht="13.5" customHeight="1">
      <c r="A33" s="2317" t="s">
        <v>2107</v>
      </c>
      <c r="B33" s="2315" t="s">
        <v>2105</v>
      </c>
      <c r="C33" s="446">
        <f ca="1">C35</f>
        <v>3452</v>
      </c>
      <c r="D33" s="435">
        <f ca="1">C34</f>
        <v>0.1749</v>
      </c>
      <c r="E33" s="437" t="s">
        <v>455</v>
      </c>
      <c r="F33" s="447">
        <f ca="1">IF(B1="",'数据-取费表'!Q16,INDIRECT("'数据-取费表'!q"&amp;$K$1))</f>
        <v>0.17</v>
      </c>
      <c r="G33" s="1040"/>
      <c r="H33" s="1041"/>
      <c r="I33" s="1041"/>
      <c r="J33" s="1041"/>
      <c r="K33" s="129"/>
      <c r="L33" s="2710"/>
      <c r="M33" s="2710"/>
      <c r="N33" s="2710"/>
      <c r="O33" s="2710"/>
      <c r="P33" s="2710"/>
      <c r="Q33" s="2710"/>
      <c r="R33" s="2710"/>
      <c r="S33" s="2710"/>
      <c r="T33" s="2710"/>
      <c r="U33" s="2710"/>
      <c r="V33" s="2710"/>
      <c r="W33" s="2710"/>
      <c r="X33" s="2710"/>
      <c r="Y33" s="2710"/>
      <c r="Z33" s="2710"/>
    </row>
    <row r="34" spans="1:26" s="1730" customFormat="1" ht="13.5" customHeight="1">
      <c r="A34" s="344" t="s">
        <v>1385</v>
      </c>
      <c r="B34" s="2167" t="s">
        <v>461</v>
      </c>
      <c r="C34" s="440">
        <f ca="1">ROUND((1+C25)*F33,4)</f>
        <v>0.1749</v>
      </c>
      <c r="D34" s="440"/>
      <c r="E34" s="441"/>
      <c r="F34" s="448"/>
      <c r="G34" s="240" t="s">
        <v>1648</v>
      </c>
      <c r="H34" s="1059"/>
      <c r="I34" s="1059"/>
      <c r="J34" s="1059"/>
      <c r="K34" s="257"/>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2113</v>
      </c>
      <c r="C35" s="1349">
        <f ca="1">ROUND((C18+C19+C20+C23+C24)*F33,0)</f>
        <v>3452</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1" t="s">
        <v>1373</v>
      </c>
      <c r="B36" s="2131"/>
      <c r="C36" s="2169">
        <f ca="1">ROUND((C6-C30-C33)/(1+D30+D33),0)</f>
        <v>24773</v>
      </c>
      <c r="D36" s="2131"/>
      <c r="E36" s="2131"/>
      <c r="F36" s="2131"/>
      <c r="G36" s="2130" t="s">
        <v>2114</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8"/>
      <c r="C1" s="1711"/>
      <c r="D1" s="1711"/>
      <c r="E1" s="1711"/>
      <c r="F1" s="1711"/>
      <c r="G1" s="1711"/>
      <c r="H1" s="1711"/>
      <c r="I1" s="1711"/>
      <c r="J1" s="1711"/>
      <c r="K1" s="391">
        <f>MATCH(B1,'数据-取费表'!A6:A16,0)+5</f>
        <v>10</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69"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1933</v>
      </c>
      <c r="B6" s="402"/>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3" t="s">
        <v>430</v>
      </c>
      <c r="B7" s="404" t="s">
        <v>431</v>
      </c>
      <c r="C7" s="2814"/>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3" t="s">
        <v>430</v>
      </c>
      <c r="B12" s="412" t="s">
        <v>431</v>
      </c>
      <c r="C12" s="413" t="s">
        <v>435</v>
      </c>
      <c r="D12" s="414" t="s">
        <v>436</v>
      </c>
      <c r="E12" s="414" t="s">
        <v>437</v>
      </c>
      <c r="F12" s="414" t="s">
        <v>438</v>
      </c>
      <c r="G12" s="412"/>
      <c r="H12" s="415"/>
      <c r="I12" s="415"/>
      <c r="J12" s="415"/>
      <c r="K12" s="416"/>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7" t="s">
        <v>439</v>
      </c>
      <c r="C13" s="418">
        <f ca="1">IF(B1="",'数据-取费表'!M16,INDIRECT("'数据-取费表'!M"&amp;$K$1)+INDIRECT("'数据-取费表'!t"&amp;$K$1))</f>
        <v>15617</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7" t="s">
        <v>440</v>
      </c>
      <c r="C14" s="48">
        <f ca="1">ROUND(C13*F14,0)</f>
        <v>781</v>
      </c>
      <c r="D14" s="419"/>
      <c r="E14" s="338"/>
      <c r="F14" s="424">
        <f>'数据-取费表'!B33</f>
        <v>0.05</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7" t="s">
        <v>442</v>
      </c>
      <c r="C15" s="48">
        <f ca="1">ROUND(IF(B1="",SUMIF('数据-取费表'!C:C,"住宅",'数据-取费表'!M:M)*F15,IF(INDIRECT("'数据-取费表'!c"&amp;$K$1)="住宅",INDIRECT("'数据-取费表'!M"&amp;$K$1)*F15,0)),0)</f>
        <v>984</v>
      </c>
      <c r="D15" s="419"/>
      <c r="E15" s="338"/>
      <c r="F15" s="424">
        <f>'数据-取费表'!B34</f>
        <v>0.08</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7" t="s">
        <v>444</v>
      </c>
      <c r="C16" s="48">
        <f ca="1">ROUND(D16*E16/10000,0)</f>
        <v>574</v>
      </c>
      <c r="D16" s="419">
        <f ca="1">IF(B1="",'数据-汇总表'!E3,INDIRECT("'数据-取费表'!K"&amp;$K$1)+INDIRECT("'数据-取费表'!S"&amp;$K$1))</f>
        <v>28699.425200000001</v>
      </c>
      <c r="E16" s="48">
        <f>'数据-取费表'!B35</f>
        <v>200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7" t="s">
        <v>445</v>
      </c>
      <c r="C17" s="422">
        <f ca="1">ROUND(C13*F17,0)</f>
        <v>312</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7" t="s">
        <v>447</v>
      </c>
      <c r="C18" s="428">
        <f ca="1">SUM(C13:C17)</f>
        <v>18268</v>
      </c>
      <c r="D18" s="429"/>
      <c r="E18" s="430"/>
      <c r="F18" s="430"/>
      <c r="G18" s="1128" t="s">
        <v>1783</v>
      </c>
      <c r="H18" s="415"/>
      <c r="I18" s="415"/>
      <c r="J18" s="415"/>
      <c r="K18" s="416"/>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7" t="s">
        <v>453</v>
      </c>
      <c r="C19" s="428">
        <f ca="1">ROUND(C18*F19,0)</f>
        <v>365</v>
      </c>
      <c r="D19" s="429"/>
      <c r="E19" s="430"/>
      <c r="F19" s="434">
        <f>'数据-取费表'!B37</f>
        <v>0.02</v>
      </c>
      <c r="G19" s="412" t="s">
        <v>463</v>
      </c>
      <c r="H19" s="415"/>
      <c r="I19" s="415"/>
      <c r="J19" s="415"/>
      <c r="K19" s="416"/>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29" t="s">
        <v>454</v>
      </c>
      <c r="C20" s="438">
        <f ca="1">ROUND(IF('数据-取费表'!B22&lt;=1,(C18+C19)*F20*'数据-取费表'!B20/2,(C18+C19)*(POWER((1+F20),'数据-取费表'!B20/2)-1)),0)</f>
        <v>725</v>
      </c>
      <c r="D20" s="430">
        <f ca="1">ROUND(((1+F20)^'数据-取费表'!B20)-1,4)</f>
        <v>7.9299999999999995E-2</v>
      </c>
      <c r="E20" s="430"/>
      <c r="F20" s="439">
        <f ca="1">'数据-取费表'!B40</f>
        <v>3.1E-2</v>
      </c>
      <c r="G20" s="1128" t="str">
        <f>IF('数据-取费表'!B22&lt;=1,"单利计息。","复利计息。")&amp;"建造成本、管理费用产生的利息 / 地价及税费产生的利息。"</f>
        <v>复利计息。建造成本、管理费用产生的利息 / 地价及税费产生的利息。</v>
      </c>
      <c r="H20" s="415"/>
      <c r="I20" s="415"/>
      <c r="J20" s="415"/>
      <c r="K20" s="416"/>
      <c r="L20" s="2715" t="s">
        <v>1800</v>
      </c>
      <c r="M20" s="2716"/>
      <c r="N20" s="2716"/>
      <c r="O20" s="2716"/>
      <c r="P20" s="2716"/>
      <c r="Q20" s="2709"/>
      <c r="R20" s="2709"/>
      <c r="S20" s="2709"/>
      <c r="T20" s="2709"/>
      <c r="U20" s="2709"/>
      <c r="V20" s="2709"/>
      <c r="W20" s="2709"/>
      <c r="X20" s="2709"/>
      <c r="Y20" s="2709"/>
      <c r="Z20" s="2709"/>
    </row>
    <row r="21" spans="1:26" s="1727" customFormat="1" ht="13.5" customHeight="1">
      <c r="A21" s="1355" t="s">
        <v>2295</v>
      </c>
      <c r="B21" s="2315" t="s">
        <v>2106</v>
      </c>
      <c r="C21" s="446">
        <f ca="1">ROUND((C18+C19)*F21,0)</f>
        <v>3168</v>
      </c>
      <c r="D21" s="2786"/>
      <c r="E21" s="430"/>
      <c r="F21" s="447">
        <f ca="1">IF(B1="",'数据-取费表'!Q16,INDIRECT("'数据-取费表'!q"&amp;$K$1))</f>
        <v>0.17</v>
      </c>
      <c r="G21" s="412"/>
      <c r="H21" s="415"/>
      <c r="I21" s="415"/>
      <c r="J21" s="415"/>
      <c r="K21" s="416"/>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4" t="s">
        <v>464</v>
      </c>
      <c r="C22" s="449"/>
      <c r="D22" s="449"/>
      <c r="E22" s="450"/>
      <c r="F22" s="2788">
        <f ca="1">IF(B1="",'数据-取费表'!N16,INDIRECT("'数据-取费表'!N"&amp;$K$1))</f>
        <v>0</v>
      </c>
      <c r="G22" s="412"/>
      <c r="H22" s="415"/>
      <c r="I22" s="415"/>
      <c r="J22" s="415"/>
      <c r="K22" s="416"/>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2296</v>
      </c>
      <c r="C23" s="2791">
        <f ca="1">ROUND((C18+C19+C20+C21)*F22,0)</f>
        <v>0</v>
      </c>
      <c r="D23" s="2792"/>
      <c r="E23" s="2793"/>
      <c r="F23" s="451"/>
      <c r="G23" s="404"/>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723" t="s">
        <v>1394</v>
      </c>
      <c r="B24" s="3724"/>
      <c r="C24" s="2796">
        <f>ROUND(C6*F24/(1+'数据-取费表'!B42),0)</f>
        <v>0</v>
      </c>
      <c r="D24" s="2797"/>
      <c r="E24" s="2798"/>
      <c r="F24" s="2799">
        <f>'数据-取费表'!B41</f>
        <v>5.6000000000000001E-2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723" t="s">
        <v>2293</v>
      </c>
      <c r="B25" s="3724"/>
      <c r="C25" s="2796">
        <f>ROUND(C6*F25,0)</f>
        <v>0</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723" t="s">
        <v>2294</v>
      </c>
      <c r="B26" s="3724"/>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25" t="s">
        <v>2292</v>
      </c>
      <c r="B27" s="3726"/>
      <c r="C27" s="2804">
        <f ca="1">(C6-C23-C24-C25)/((1+F26)*(1+D20+F21))</f>
        <v>0</v>
      </c>
      <c r="D27" s="2805"/>
      <c r="E27" s="2805"/>
      <c r="F27" s="2805"/>
      <c r="G27" s="2806" t="s">
        <v>2229</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465</v>
      </c>
      <c r="B1" s="453"/>
      <c r="C1" s="454" t="s">
        <v>545</v>
      </c>
      <c r="D1" s="455" t="s">
        <v>467</v>
      </c>
      <c r="E1" s="673"/>
      <c r="F1" s="674"/>
      <c r="G1" s="673"/>
      <c r="H1" s="673"/>
      <c r="I1" s="673"/>
      <c r="J1" s="673"/>
      <c r="K1" s="675"/>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427</v>
      </c>
      <c r="B2" s="458" t="e">
        <f>F62</f>
        <v>#DIV/0!</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0" t="e">
        <f>ROUND(B2*10000/'数据-汇总表'!E3,0)</f>
        <v>#DIV/0!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1" t="s">
        <v>469</v>
      </c>
      <c r="B4" s="396" t="e">
        <f>IF(B43="单位面积地价",C45,ROUND(B2*10000/'数据-汇总表'!D3,0))</f>
        <v>#DIV/0!</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8"/>
      <c r="B5" s="399" t="e">
        <f>ROUND(B2/('数据-汇总表'!D3/666.67),0)</f>
        <v>#DIV/0!</v>
      </c>
      <c r="C5" s="400"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2" t="s">
        <v>470</v>
      </c>
      <c r="B6" s="463"/>
      <c r="C6" s="3690" t="s">
        <v>471</v>
      </c>
      <c r="D6" s="3691"/>
      <c r="E6" s="3729" t="s">
        <v>472</v>
      </c>
      <c r="F6" s="3730"/>
      <c r="G6" s="3690" t="s">
        <v>473</v>
      </c>
      <c r="H6" s="3691"/>
      <c r="I6" s="3690" t="s">
        <v>474</v>
      </c>
      <c r="J6" s="3691"/>
      <c r="K6" s="464" t="s">
        <v>475</v>
      </c>
      <c r="L6" s="1740"/>
      <c r="M6" s="1741"/>
      <c r="N6" s="1741"/>
      <c r="O6" s="1741"/>
      <c r="P6" s="3692" t="s">
        <v>476</v>
      </c>
      <c r="Q6" s="3693"/>
      <c r="R6" s="3698" t="s">
        <v>472</v>
      </c>
      <c r="S6" s="3699"/>
      <c r="T6" s="3698" t="s">
        <v>473</v>
      </c>
      <c r="U6" s="3699"/>
      <c r="V6" s="3685" t="s">
        <v>474</v>
      </c>
      <c r="W6" s="3685"/>
      <c r="X6" s="1301"/>
      <c r="Y6" s="3698" t="s">
        <v>476</v>
      </c>
      <c r="Z6" s="3699"/>
      <c r="AA6" s="3687" t="s">
        <v>472</v>
      </c>
      <c r="AB6" s="3688" t="s">
        <v>473</v>
      </c>
      <c r="AC6" s="3687" t="s">
        <v>474</v>
      </c>
    </row>
    <row r="7" spans="1:29" ht="15">
      <c r="A7" s="465"/>
      <c r="B7" s="466"/>
      <c r="C7" s="3706" t="s">
        <v>2190</v>
      </c>
      <c r="D7" s="3707"/>
      <c r="E7" s="3731" t="s">
        <v>2191</v>
      </c>
      <c r="F7" s="3732"/>
      <c r="G7" s="3706" t="s">
        <v>2192</v>
      </c>
      <c r="H7" s="3707"/>
      <c r="I7" s="3706" t="s">
        <v>2193</v>
      </c>
      <c r="J7" s="3707"/>
      <c r="K7" s="464"/>
      <c r="L7" s="1740"/>
      <c r="M7" s="1741"/>
      <c r="N7" s="1741"/>
      <c r="O7" s="1741"/>
      <c r="P7" s="3694"/>
      <c r="Q7" s="3695"/>
      <c r="R7" s="3700"/>
      <c r="S7" s="3701"/>
      <c r="T7" s="3700"/>
      <c r="U7" s="3701"/>
      <c r="V7" s="3685"/>
      <c r="W7" s="3685"/>
      <c r="X7" s="1301"/>
      <c r="Y7" s="3700"/>
      <c r="Z7" s="3701"/>
      <c r="AA7" s="3688"/>
      <c r="AB7" s="3688"/>
      <c r="AC7" s="3688"/>
    </row>
    <row r="8" spans="1:29" ht="15.75" thickBot="1">
      <c r="A8" s="467"/>
      <c r="B8" s="468"/>
      <c r="C8" s="3704" t="s">
        <v>2194</v>
      </c>
      <c r="D8" s="3705"/>
      <c r="E8" s="3727" t="s">
        <v>2194</v>
      </c>
      <c r="F8" s="3728"/>
      <c r="G8" s="3704" t="s">
        <v>2194</v>
      </c>
      <c r="H8" s="3705"/>
      <c r="I8" s="3704" t="s">
        <v>2194</v>
      </c>
      <c r="J8" s="3705"/>
      <c r="K8" s="464" t="s">
        <v>477</v>
      </c>
      <c r="L8" s="1740"/>
      <c r="M8" s="1741"/>
      <c r="N8" s="1741"/>
      <c r="O8" s="1741"/>
      <c r="P8" s="3696"/>
      <c r="Q8" s="3697"/>
      <c r="R8" s="3700"/>
      <c r="S8" s="3701"/>
      <c r="T8" s="3702"/>
      <c r="U8" s="3703"/>
      <c r="V8" s="3685"/>
      <c r="W8" s="3685"/>
      <c r="X8" s="1301"/>
      <c r="Y8" s="3702"/>
      <c r="Z8" s="3703"/>
      <c r="AA8" s="3689"/>
      <c r="AB8" s="3689"/>
      <c r="AC8" s="3689"/>
    </row>
    <row r="9" spans="1:29" s="1058" customFormat="1" ht="15.75" thickBot="1">
      <c r="A9" s="2208"/>
      <c r="B9" s="2215" t="s">
        <v>478</v>
      </c>
      <c r="C9" s="469">
        <f>'数据-取费表'!B2</f>
        <v>45615</v>
      </c>
      <c r="D9" s="470">
        <v>100</v>
      </c>
      <c r="E9" s="471"/>
      <c r="F9" s="472">
        <f>SUMIF(66:66,YEAR(E9)&amp;"-"&amp;INT((MONTH(E9)+2)/3),67:67)</f>
        <v>0</v>
      </c>
      <c r="G9" s="473"/>
      <c r="H9" s="470">
        <f>SUMIF(66:66,YEAR(G9)&amp;"-"&amp;INT((MONTH(G9)+2)/3),67:67)</f>
        <v>0</v>
      </c>
      <c r="I9" s="473"/>
      <c r="J9" s="470">
        <f>SUMIF(66:66,YEAR(I9)&amp;"-"&amp;INT((MONTH(I9)+2)/3),67:67)</f>
        <v>0</v>
      </c>
      <c r="K9" s="87"/>
      <c r="L9" s="1742"/>
      <c r="M9" s="1639"/>
      <c r="N9" s="1639"/>
      <c r="O9" s="1639"/>
      <c r="P9" s="3714" t="s">
        <v>479</v>
      </c>
      <c r="Q9" s="3716"/>
      <c r="R9" s="1302" t="s">
        <v>5</v>
      </c>
      <c r="S9" s="1303">
        <f t="shared" ref="S9:S17" si="0">F9</f>
        <v>0</v>
      </c>
      <c r="T9" s="1302" t="s">
        <v>5</v>
      </c>
      <c r="U9" s="1303">
        <f t="shared" ref="U9:U17" si="1">H9</f>
        <v>0</v>
      </c>
      <c r="V9" s="1302" t="s">
        <v>5</v>
      </c>
      <c r="W9" s="1303">
        <f t="shared" ref="W9:W17" si="2">J9</f>
        <v>0</v>
      </c>
      <c r="X9" s="1304"/>
      <c r="Y9" s="3714" t="s">
        <v>479</v>
      </c>
      <c r="Z9" s="3715"/>
      <c r="AA9" s="995" t="e">
        <f>D9/F9</f>
        <v>#DIV/0!</v>
      </c>
      <c r="AB9" s="995" t="e">
        <f>D9/H9</f>
        <v>#DIV/0!</v>
      </c>
      <c r="AC9" s="995" t="e">
        <f>D9/J9</f>
        <v>#DIV/0!</v>
      </c>
    </row>
    <row r="10" spans="1:29" s="1058" customFormat="1" ht="15.75" thickBot="1">
      <c r="A10" s="2209"/>
      <c r="B10" s="2216"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2"/>
      <c r="M10" s="1639"/>
      <c r="N10" s="1639"/>
      <c r="O10" s="1639"/>
      <c r="P10" s="3714" t="s">
        <v>482</v>
      </c>
      <c r="Q10" s="3715"/>
      <c r="R10" s="1302" t="s">
        <v>5</v>
      </c>
      <c r="S10" s="1303">
        <f t="shared" si="0"/>
        <v>0</v>
      </c>
      <c r="T10" s="1302" t="s">
        <v>5</v>
      </c>
      <c r="U10" s="1303">
        <f t="shared" si="1"/>
        <v>0</v>
      </c>
      <c r="V10" s="1302" t="s">
        <v>5</v>
      </c>
      <c r="W10" s="1303">
        <f t="shared" si="2"/>
        <v>0</v>
      </c>
      <c r="X10" s="1304"/>
      <c r="Y10" s="3714" t="s">
        <v>482</v>
      </c>
      <c r="Z10" s="3715"/>
      <c r="AA10" s="995" t="e">
        <f t="shared" ref="AA10:AA42" si="3">D10/F10</f>
        <v>#DIV/0!</v>
      </c>
      <c r="AB10" s="995" t="e">
        <f t="shared" ref="AB10:AB42" si="4">D10/H10</f>
        <v>#DIV/0!</v>
      </c>
      <c r="AC10" s="995" t="e">
        <f t="shared" ref="AC10:AC42" si="5">D10/J10</f>
        <v>#DIV/0!</v>
      </c>
    </row>
    <row r="11" spans="1:29" s="1058" customFormat="1" ht="15">
      <c r="A11" s="2210"/>
      <c r="B11" s="2217" t="s">
        <v>2037</v>
      </c>
      <c r="C11" s="475"/>
      <c r="D11" s="153">
        <v>100</v>
      </c>
      <c r="E11" s="475"/>
      <c r="F11" s="153">
        <f>SUMIF(71:71,E11,72:72)-SUMIF(71:71,C11,72:72)+100</f>
        <v>100</v>
      </c>
      <c r="G11" s="475"/>
      <c r="H11" s="153">
        <f>SUMIF(71:71,G11,72:72)-SUMIF(71:71,C11,72:72)+100</f>
        <v>100</v>
      </c>
      <c r="I11" s="475"/>
      <c r="J11" s="153">
        <f>SUMIF(71:71,I11,72:72)-SUMIF(71:71,C11,72:72)+100</f>
        <v>100</v>
      </c>
      <c r="K11" s="87"/>
      <c r="L11" s="1742"/>
      <c r="M11" s="1639"/>
      <c r="N11" s="1639"/>
      <c r="O11" s="1743"/>
      <c r="P11" s="3684" t="s">
        <v>484</v>
      </c>
      <c r="Q11" s="816" t="str">
        <f t="shared" ref="Q11:Q17" si="6">B11</f>
        <v>用途</v>
      </c>
      <c r="R11" s="1302" t="s">
        <v>5</v>
      </c>
      <c r="S11" s="1303">
        <f t="shared" si="0"/>
        <v>100</v>
      </c>
      <c r="T11" s="1302" t="s">
        <v>5</v>
      </c>
      <c r="U11" s="1303">
        <f t="shared" si="1"/>
        <v>100</v>
      </c>
      <c r="V11" s="1302" t="s">
        <v>5</v>
      </c>
      <c r="W11" s="1303">
        <f t="shared" si="2"/>
        <v>100</v>
      </c>
      <c r="X11" s="1304"/>
      <c r="Y11" s="3632" t="s">
        <v>485</v>
      </c>
      <c r="Z11" s="995" t="str">
        <f t="shared" ref="Z11:Z17" si="7">Q11</f>
        <v>用途</v>
      </c>
      <c r="AA11" s="995">
        <f t="shared" si="3"/>
        <v>1</v>
      </c>
      <c r="AB11" s="995">
        <f t="shared" si="4"/>
        <v>1</v>
      </c>
      <c r="AC11" s="995">
        <f t="shared" si="5"/>
        <v>1</v>
      </c>
    </row>
    <row r="12" spans="1:29" s="1131" customFormat="1" ht="27">
      <c r="A12" s="2211"/>
      <c r="B12" s="2216" t="s">
        <v>2038</v>
      </c>
      <c r="C12" s="477"/>
      <c r="D12" s="234">
        <v>100</v>
      </c>
      <c r="E12" s="477"/>
      <c r="F12" s="234">
        <f>ROUND(100/'数据-取费表'!G16,0)</f>
        <v>100</v>
      </c>
      <c r="G12" s="477"/>
      <c r="H12" s="234">
        <f>ROUND(100/'数据-取费表'!G16,0)</f>
        <v>100</v>
      </c>
      <c r="I12" s="477"/>
      <c r="J12" s="234">
        <f>ROUND(100/'数据-取费表'!G16,0)</f>
        <v>100</v>
      </c>
      <c r="K12" s="480"/>
      <c r="L12" s="1744"/>
      <c r="M12" s="1777"/>
      <c r="N12" s="1777"/>
      <c r="O12" s="1745"/>
      <c r="P12" s="3684"/>
      <c r="Q12" s="816" t="str">
        <f t="shared" si="6"/>
        <v>土地使用年限（年）</v>
      </c>
      <c r="R12" s="1302" t="s">
        <v>5</v>
      </c>
      <c r="S12" s="1303">
        <f t="shared" si="0"/>
        <v>100</v>
      </c>
      <c r="T12" s="1302" t="s">
        <v>5</v>
      </c>
      <c r="U12" s="1303">
        <f t="shared" si="1"/>
        <v>100</v>
      </c>
      <c r="V12" s="1302" t="s">
        <v>5</v>
      </c>
      <c r="W12" s="1303">
        <f t="shared" si="2"/>
        <v>100</v>
      </c>
      <c r="X12" s="1304"/>
      <c r="Y12" s="3632"/>
      <c r="Z12" s="995" t="str">
        <f t="shared" si="7"/>
        <v>土地使用年限（年）</v>
      </c>
      <c r="AA12" s="995">
        <f t="shared" si="3"/>
        <v>1</v>
      </c>
      <c r="AB12" s="995">
        <f t="shared" si="4"/>
        <v>1</v>
      </c>
      <c r="AC12" s="995">
        <f t="shared" si="5"/>
        <v>1</v>
      </c>
    </row>
    <row r="13" spans="1:29" ht="15">
      <c r="A13" s="2212"/>
      <c r="B13" s="2216" t="s">
        <v>2039</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6"/>
      <c r="M13" s="1741"/>
      <c r="N13" s="1741"/>
      <c r="O13" s="1747"/>
      <c r="P13" s="3684"/>
      <c r="Q13" s="816" t="str">
        <f t="shared" si="6"/>
        <v>容积率</v>
      </c>
      <c r="R13" s="1302" t="s">
        <v>5</v>
      </c>
      <c r="S13" s="1303" t="e">
        <f t="shared" si="0"/>
        <v>#N/A</v>
      </c>
      <c r="T13" s="1302" t="s">
        <v>5</v>
      </c>
      <c r="U13" s="1303" t="e">
        <f t="shared" si="1"/>
        <v>#N/A</v>
      </c>
      <c r="V13" s="1302" t="s">
        <v>5</v>
      </c>
      <c r="W13" s="1303" t="e">
        <f t="shared" si="2"/>
        <v>#N/A</v>
      </c>
      <c r="X13" s="1304"/>
      <c r="Y13" s="3632"/>
      <c r="Z13" s="995" t="str">
        <f t="shared" si="7"/>
        <v>容积率</v>
      </c>
      <c r="AA13" s="995" t="e">
        <f t="shared" si="3"/>
        <v>#N/A</v>
      </c>
      <c r="AB13" s="995" t="e">
        <f t="shared" si="4"/>
        <v>#N/A</v>
      </c>
      <c r="AC13" s="995" t="e">
        <f t="shared" si="5"/>
        <v>#N/A</v>
      </c>
    </row>
    <row r="14" spans="1:29" s="1058" customFormat="1" ht="15">
      <c r="A14" s="2213"/>
      <c r="B14" s="2219">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684"/>
      <c r="Q14" s="816">
        <f t="shared" si="6"/>
        <v>111</v>
      </c>
      <c r="R14" s="1302" t="s">
        <v>5</v>
      </c>
      <c r="S14" s="1303">
        <f t="shared" si="0"/>
        <v>100</v>
      </c>
      <c r="T14" s="1302" t="s">
        <v>5</v>
      </c>
      <c r="U14" s="1303">
        <f t="shared" si="1"/>
        <v>100</v>
      </c>
      <c r="V14" s="1302" t="s">
        <v>5</v>
      </c>
      <c r="W14" s="1303">
        <f t="shared" si="2"/>
        <v>100</v>
      </c>
      <c r="X14" s="1304"/>
      <c r="Y14" s="3632"/>
      <c r="Z14" s="995">
        <f t="shared" si="7"/>
        <v>111</v>
      </c>
      <c r="AA14" s="995">
        <f>D14/F14</f>
        <v>1</v>
      </c>
      <c r="AB14" s="995">
        <f>D14/H14</f>
        <v>1</v>
      </c>
      <c r="AC14" s="995">
        <f>D14/J14</f>
        <v>1</v>
      </c>
    </row>
    <row r="15" spans="1:29" ht="15">
      <c r="A15" s="2213"/>
      <c r="B15" s="2219">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684"/>
      <c r="Q15" s="816">
        <f t="shared" si="6"/>
        <v>111</v>
      </c>
      <c r="R15" s="1302" t="s">
        <v>5</v>
      </c>
      <c r="S15" s="1303">
        <f t="shared" si="0"/>
        <v>100</v>
      </c>
      <c r="T15" s="1302" t="s">
        <v>5</v>
      </c>
      <c r="U15" s="1303">
        <f t="shared" si="1"/>
        <v>100</v>
      </c>
      <c r="V15" s="1302" t="s">
        <v>5</v>
      </c>
      <c r="W15" s="1303">
        <f t="shared" si="2"/>
        <v>100</v>
      </c>
      <c r="X15" s="1304"/>
      <c r="Y15" s="3632"/>
      <c r="Z15" s="995">
        <f t="shared" si="7"/>
        <v>111</v>
      </c>
      <c r="AA15" s="995">
        <f t="shared" si="3"/>
        <v>1</v>
      </c>
      <c r="AB15" s="995">
        <f t="shared" si="4"/>
        <v>1</v>
      </c>
      <c r="AC15" s="995">
        <f t="shared" si="5"/>
        <v>1</v>
      </c>
    </row>
    <row r="16" spans="1:29" ht="15.75" thickBot="1">
      <c r="A16" s="2214"/>
      <c r="B16" s="2220">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684"/>
      <c r="Q16" s="816">
        <f t="shared" si="6"/>
        <v>111</v>
      </c>
      <c r="R16" s="1302" t="s">
        <v>5</v>
      </c>
      <c r="S16" s="1303">
        <f t="shared" si="0"/>
        <v>100</v>
      </c>
      <c r="T16" s="1302" t="s">
        <v>5</v>
      </c>
      <c r="U16" s="1303">
        <f t="shared" si="1"/>
        <v>100</v>
      </c>
      <c r="V16" s="1302" t="s">
        <v>5</v>
      </c>
      <c r="W16" s="1303">
        <f t="shared" si="2"/>
        <v>100</v>
      </c>
      <c r="X16" s="1304"/>
      <c r="Y16" s="3632"/>
      <c r="Z16" s="995">
        <f t="shared" si="7"/>
        <v>111</v>
      </c>
      <c r="AA16" s="995">
        <f t="shared" si="3"/>
        <v>1</v>
      </c>
      <c r="AB16" s="995">
        <f t="shared" si="4"/>
        <v>1</v>
      </c>
      <c r="AC16" s="995">
        <f t="shared" si="5"/>
        <v>1</v>
      </c>
    </row>
    <row r="17" spans="1:29" ht="57">
      <c r="A17" s="2206" t="s">
        <v>2035</v>
      </c>
      <c r="B17" s="149" t="s">
        <v>546</v>
      </c>
      <c r="C17" s="841"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8"/>
      <c r="M17" s="1741"/>
      <c r="N17" s="1741"/>
      <c r="O17" s="1747"/>
      <c r="P17" s="3717" t="s">
        <v>489</v>
      </c>
      <c r="Q17" s="1305" t="str">
        <f t="shared" si="6"/>
        <v>产业集聚程度</v>
      </c>
      <c r="R17" s="1306" t="s">
        <v>5</v>
      </c>
      <c r="S17" s="1307">
        <f t="shared" si="0"/>
        <v>100</v>
      </c>
      <c r="T17" s="1306" t="s">
        <v>5</v>
      </c>
      <c r="U17" s="1307">
        <f t="shared" si="1"/>
        <v>100</v>
      </c>
      <c r="V17" s="1306" t="s">
        <v>5</v>
      </c>
      <c r="W17" s="1307">
        <f t="shared" si="2"/>
        <v>100</v>
      </c>
      <c r="X17" s="1301"/>
      <c r="Y17" s="3717" t="s">
        <v>489</v>
      </c>
      <c r="Z17" s="1308" t="str">
        <f t="shared" si="7"/>
        <v>产业集聚程度</v>
      </c>
      <c r="AA17" s="1308">
        <f t="shared" si="3"/>
        <v>1</v>
      </c>
      <c r="AB17" s="1308">
        <f t="shared" si="4"/>
        <v>1</v>
      </c>
      <c r="AC17" s="1308">
        <f t="shared" si="5"/>
        <v>1</v>
      </c>
    </row>
    <row r="18" spans="1:29" ht="15">
      <c r="A18" s="481"/>
      <c r="B18" s="798"/>
      <c r="C18" s="525"/>
      <c r="D18" s="504"/>
      <c r="E18" s="503"/>
      <c r="F18" s="504"/>
      <c r="G18" s="503"/>
      <c r="H18" s="508"/>
      <c r="I18" s="503"/>
      <c r="J18" s="504"/>
      <c r="K18" s="480"/>
      <c r="L18" s="1748"/>
      <c r="M18" s="1741"/>
      <c r="N18" s="1741"/>
      <c r="O18" s="1747"/>
      <c r="P18" s="3718"/>
      <c r="Q18" s="1305"/>
      <c r="R18" s="1306"/>
      <c r="S18" s="1307"/>
      <c r="T18" s="1306"/>
      <c r="U18" s="1307"/>
      <c r="V18" s="1306"/>
      <c r="W18" s="1307"/>
      <c r="X18" s="1301"/>
      <c r="Y18" s="3718"/>
      <c r="Z18" s="1308"/>
      <c r="AA18" s="1308">
        <v>1</v>
      </c>
      <c r="AB18" s="1308">
        <v>1</v>
      </c>
      <c r="AC18" s="1308">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8"/>
      <c r="M19" s="1741"/>
      <c r="N19" s="1741"/>
      <c r="O19" s="1747"/>
      <c r="P19" s="3718"/>
      <c r="Q19" s="1305" t="str">
        <f>B19</f>
        <v>交通便捷度</v>
      </c>
      <c r="R19" s="1306" t="s">
        <v>5</v>
      </c>
      <c r="S19" s="1307">
        <f>F19</f>
        <v>100</v>
      </c>
      <c r="T19" s="1306" t="s">
        <v>5</v>
      </c>
      <c r="U19" s="1307">
        <f>H19</f>
        <v>100</v>
      </c>
      <c r="V19" s="1306" t="s">
        <v>5</v>
      </c>
      <c r="W19" s="1307">
        <f>J19</f>
        <v>100</v>
      </c>
      <c r="X19" s="1301"/>
      <c r="Y19" s="3718"/>
      <c r="Z19" s="1308" t="str">
        <f>Q19</f>
        <v>交通便捷度</v>
      </c>
      <c r="AA19" s="1308">
        <f t="shared" si="3"/>
        <v>1</v>
      </c>
      <c r="AB19" s="1308">
        <f t="shared" si="4"/>
        <v>1</v>
      </c>
      <c r="AC19" s="1308">
        <f t="shared" si="5"/>
        <v>1</v>
      </c>
    </row>
    <row r="20" spans="1:29" ht="15">
      <c r="A20" s="481"/>
      <c r="B20" s="842"/>
      <c r="C20" s="525"/>
      <c r="D20" s="504"/>
      <c r="E20" s="505"/>
      <c r="F20" s="504"/>
      <c r="G20" s="505"/>
      <c r="H20" s="504"/>
      <c r="I20" s="507"/>
      <c r="J20" s="504"/>
      <c r="K20" s="480"/>
      <c r="L20" s="1748"/>
      <c r="M20" s="1741"/>
      <c r="N20" s="1741"/>
      <c r="O20" s="1747"/>
      <c r="P20" s="3718"/>
      <c r="Q20" s="1305"/>
      <c r="R20" s="1306"/>
      <c r="S20" s="1307"/>
      <c r="T20" s="1306"/>
      <c r="U20" s="1307"/>
      <c r="V20" s="1306"/>
      <c r="W20" s="1307"/>
      <c r="X20" s="1301"/>
      <c r="Y20" s="3718"/>
      <c r="Z20" s="1308"/>
      <c r="AA20" s="1308">
        <v>1</v>
      </c>
      <c r="AB20" s="1308">
        <v>1</v>
      </c>
      <c r="AC20" s="1308">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8"/>
      <c r="L21" s="1748"/>
      <c r="M21" s="1741"/>
      <c r="N21" s="1741"/>
      <c r="O21" s="1747"/>
      <c r="P21" s="3718"/>
      <c r="Q21" s="1305" t="str">
        <f t="shared" ref="Q21:Q35" si="8">B21</f>
        <v>区域土地利用方向</v>
      </c>
      <c r="R21" s="1306" t="s">
        <v>5</v>
      </c>
      <c r="S21" s="1307">
        <f>F21</f>
        <v>100</v>
      </c>
      <c r="T21" s="1306" t="s">
        <v>5</v>
      </c>
      <c r="U21" s="1307">
        <f>H21</f>
        <v>100</v>
      </c>
      <c r="V21" s="1306" t="s">
        <v>5</v>
      </c>
      <c r="W21" s="1307">
        <f>J21</f>
        <v>100</v>
      </c>
      <c r="X21" s="1301"/>
      <c r="Y21" s="3718"/>
      <c r="Z21" s="1308" t="str">
        <f>Q21</f>
        <v>区域土地利用方向</v>
      </c>
      <c r="AA21" s="1308">
        <f t="shared" si="3"/>
        <v>1</v>
      </c>
      <c r="AB21" s="1308">
        <f t="shared" si="4"/>
        <v>1</v>
      </c>
      <c r="AC21" s="1308">
        <f t="shared" si="5"/>
        <v>1</v>
      </c>
    </row>
    <row r="22" spans="1:29" ht="15">
      <c r="A22" s="465"/>
      <c r="B22" s="543"/>
      <c r="C22" s="525"/>
      <c r="D22" s="504"/>
      <c r="E22" s="505"/>
      <c r="F22" s="506"/>
      <c r="G22" s="507"/>
      <c r="H22" s="506"/>
      <c r="I22" s="507"/>
      <c r="J22" s="506"/>
      <c r="K22" s="1140"/>
      <c r="L22" s="1748"/>
      <c r="M22" s="1741"/>
      <c r="N22" s="1741"/>
      <c r="O22" s="1747"/>
      <c r="P22" s="3718"/>
      <c r="Q22" s="1305"/>
      <c r="R22" s="1306"/>
      <c r="S22" s="1307"/>
      <c r="T22" s="1306"/>
      <c r="U22" s="1307"/>
      <c r="V22" s="1306"/>
      <c r="W22" s="1307"/>
      <c r="X22" s="1301"/>
      <c r="Y22" s="3718"/>
      <c r="Z22" s="1308"/>
      <c r="AA22" s="1308"/>
      <c r="AB22" s="1308"/>
      <c r="AC22" s="1308"/>
    </row>
    <row r="23" spans="1:29" ht="71.25">
      <c r="A23" s="465"/>
      <c r="B23" s="842"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8"/>
      <c r="M23" s="1741"/>
      <c r="N23" s="1741"/>
      <c r="O23" s="1747"/>
      <c r="P23" s="3718"/>
      <c r="Q23" s="1305" t="str">
        <f t="shared" si="8"/>
        <v>环境状况</v>
      </c>
      <c r="R23" s="1306" t="s">
        <v>5</v>
      </c>
      <c r="S23" s="1307">
        <f>F23</f>
        <v>100</v>
      </c>
      <c r="T23" s="1306" t="s">
        <v>5</v>
      </c>
      <c r="U23" s="1307">
        <f>H23</f>
        <v>100</v>
      </c>
      <c r="V23" s="1306" t="s">
        <v>5</v>
      </c>
      <c r="W23" s="1307">
        <f>J23</f>
        <v>100</v>
      </c>
      <c r="X23" s="1301"/>
      <c r="Y23" s="3718"/>
      <c r="Z23" s="1308" t="str">
        <f>Q23</f>
        <v>环境状况</v>
      </c>
      <c r="AA23" s="1308">
        <f t="shared" si="3"/>
        <v>1</v>
      </c>
      <c r="AB23" s="1308">
        <f t="shared" si="4"/>
        <v>1</v>
      </c>
      <c r="AC23" s="1308">
        <f t="shared" si="5"/>
        <v>1</v>
      </c>
    </row>
    <row r="24" spans="1:29" ht="15">
      <c r="A24" s="465"/>
      <c r="B24" s="543"/>
      <c r="C24" s="525"/>
      <c r="D24" s="504"/>
      <c r="E24" s="503"/>
      <c r="F24" s="504"/>
      <c r="G24" s="503"/>
      <c r="H24" s="504"/>
      <c r="I24" s="525"/>
      <c r="J24" s="504"/>
      <c r="K24" s="480"/>
      <c r="L24" s="1748"/>
      <c r="M24" s="1741"/>
      <c r="N24" s="1741"/>
      <c r="O24" s="1747"/>
      <c r="P24" s="3718"/>
      <c r="Q24" s="1305"/>
      <c r="R24" s="1306"/>
      <c r="S24" s="1307"/>
      <c r="T24" s="1306"/>
      <c r="U24" s="1307"/>
      <c r="V24" s="1306"/>
      <c r="W24" s="1307"/>
      <c r="X24" s="1301"/>
      <c r="Y24" s="3718"/>
      <c r="Z24" s="1308"/>
      <c r="AA24" s="1308">
        <v>1</v>
      </c>
      <c r="AB24" s="1308">
        <v>1</v>
      </c>
      <c r="AC24" s="1308">
        <v>1</v>
      </c>
    </row>
    <row r="25" spans="1:29" s="1058" customFormat="1" ht="42.75">
      <c r="A25" s="526"/>
      <c r="B25" s="2051"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2"/>
      <c r="M25" s="1639"/>
      <c r="N25" s="1639"/>
      <c r="O25" s="1743"/>
      <c r="P25" s="3718"/>
      <c r="Q25" s="816" t="str">
        <f t="shared" si="8"/>
        <v>公共配套设施</v>
      </c>
      <c r="R25" s="1302" t="s">
        <v>5</v>
      </c>
      <c r="S25" s="1303">
        <f>F25</f>
        <v>100</v>
      </c>
      <c r="T25" s="1302" t="s">
        <v>5</v>
      </c>
      <c r="U25" s="1303">
        <f>H25</f>
        <v>100</v>
      </c>
      <c r="V25" s="1302" t="s">
        <v>5</v>
      </c>
      <c r="W25" s="1303">
        <f>J25</f>
        <v>100</v>
      </c>
      <c r="X25" s="1304"/>
      <c r="Y25" s="3718"/>
      <c r="Z25" s="995" t="str">
        <f>Q25</f>
        <v>公共配套设施</v>
      </c>
      <c r="AA25" s="1308">
        <f>D25/F25</f>
        <v>1</v>
      </c>
      <c r="AB25" s="1308">
        <f>D25/H25</f>
        <v>1</v>
      </c>
      <c r="AC25" s="1308">
        <f>D25/J25</f>
        <v>1</v>
      </c>
    </row>
    <row r="26" spans="1:29" s="1058" customFormat="1" ht="15">
      <c r="A26" s="526"/>
      <c r="B26" s="543"/>
      <c r="C26" s="2050"/>
      <c r="D26" s="504"/>
      <c r="E26" s="503"/>
      <c r="F26" s="504"/>
      <c r="G26" s="503"/>
      <c r="H26" s="504"/>
      <c r="I26" s="525"/>
      <c r="J26" s="504"/>
      <c r="K26" s="480"/>
      <c r="L26" s="1742"/>
      <c r="M26" s="1639"/>
      <c r="N26" s="1639"/>
      <c r="O26" s="1743"/>
      <c r="P26" s="3718"/>
      <c r="Q26" s="816"/>
      <c r="R26" s="1302"/>
      <c r="S26" s="1303"/>
      <c r="T26" s="1302"/>
      <c r="U26" s="1303"/>
      <c r="V26" s="1302"/>
      <c r="W26" s="1303"/>
      <c r="X26" s="1304"/>
      <c r="Y26" s="3718"/>
      <c r="Z26" s="995"/>
      <c r="AA26" s="995">
        <v>1</v>
      </c>
      <c r="AB26" s="995">
        <v>1</v>
      </c>
      <c r="AC26" s="995">
        <v>1</v>
      </c>
    </row>
    <row r="27" spans="1:29" s="1058" customFormat="1" ht="28.5">
      <c r="A27" s="526"/>
      <c r="B27" s="2051"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2"/>
      <c r="M27" s="1639"/>
      <c r="N27" s="1639"/>
      <c r="O27" s="1743"/>
      <c r="P27" s="3718"/>
      <c r="Q27" s="816" t="str">
        <f>B27</f>
        <v>基础设施水平</v>
      </c>
      <c r="R27" s="1302" t="s">
        <v>5</v>
      </c>
      <c r="S27" s="1303">
        <f>F27</f>
        <v>100</v>
      </c>
      <c r="T27" s="1302" t="s">
        <v>5</v>
      </c>
      <c r="U27" s="1303">
        <f>H27</f>
        <v>100</v>
      </c>
      <c r="V27" s="1302" t="s">
        <v>5</v>
      </c>
      <c r="W27" s="1303">
        <f>J27</f>
        <v>100</v>
      </c>
      <c r="X27" s="1304"/>
      <c r="Y27" s="3718"/>
      <c r="Z27" s="995" t="str">
        <f>Q27</f>
        <v>基础设施水平</v>
      </c>
      <c r="AA27" s="1308">
        <f>D27/F27</f>
        <v>1</v>
      </c>
      <c r="AB27" s="1308">
        <f>D27/H27</f>
        <v>1</v>
      </c>
      <c r="AC27" s="1308">
        <f>D27/J27</f>
        <v>1</v>
      </c>
    </row>
    <row r="28" spans="1:29" s="1058" customFormat="1" ht="15">
      <c r="A28" s="526"/>
      <c r="B28" s="543"/>
      <c r="C28" s="2050"/>
      <c r="D28" s="504"/>
      <c r="E28" s="528"/>
      <c r="F28" s="504"/>
      <c r="G28" s="528"/>
      <c r="H28" s="504"/>
      <c r="I28" s="528"/>
      <c r="J28" s="504"/>
      <c r="K28" s="480"/>
      <c r="L28" s="1742"/>
      <c r="M28" s="1639"/>
      <c r="N28" s="1639"/>
      <c r="O28" s="1743"/>
      <c r="P28" s="3718"/>
      <c r="Q28" s="816"/>
      <c r="R28" s="1302"/>
      <c r="S28" s="1303"/>
      <c r="T28" s="1302"/>
      <c r="U28" s="1303"/>
      <c r="V28" s="1302"/>
      <c r="W28" s="1303"/>
      <c r="X28" s="1304"/>
      <c r="Y28" s="3718"/>
      <c r="Z28" s="995"/>
      <c r="AA28" s="995">
        <v>1</v>
      </c>
      <c r="AB28" s="995">
        <v>1</v>
      </c>
      <c r="AC28" s="995">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718"/>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18"/>
      <c r="Z29" s="1308" t="str">
        <f t="shared" ref="Z29:Z42" si="12">Q29</f>
        <v>临街状况</v>
      </c>
      <c r="AA29" s="1308">
        <f t="shared" si="3"/>
        <v>1</v>
      </c>
      <c r="AB29" s="1308">
        <f t="shared" si="4"/>
        <v>1</v>
      </c>
      <c r="AC29" s="1308">
        <f t="shared" si="5"/>
        <v>1</v>
      </c>
    </row>
    <row r="30" spans="1:29" ht="27">
      <c r="A30" s="481"/>
      <c r="B30" s="842"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718"/>
      <c r="Q30" s="1305" t="str">
        <f t="shared" si="8"/>
        <v>毗邻道路的类型与等级</v>
      </c>
      <c r="R30" s="1306" t="s">
        <v>5</v>
      </c>
      <c r="S30" s="1307">
        <f t="shared" si="9"/>
        <v>100</v>
      </c>
      <c r="T30" s="1306" t="s">
        <v>5</v>
      </c>
      <c r="U30" s="1307">
        <f t="shared" si="10"/>
        <v>100</v>
      </c>
      <c r="V30" s="1306" t="s">
        <v>5</v>
      </c>
      <c r="W30" s="1307">
        <f t="shared" si="11"/>
        <v>100</v>
      </c>
      <c r="X30" s="1301"/>
      <c r="Y30" s="3718"/>
      <c r="Z30" s="1308" t="str">
        <f t="shared" si="12"/>
        <v>毗邻道路的类型与等级</v>
      </c>
      <c r="AA30" s="1308">
        <f t="shared" si="3"/>
        <v>1</v>
      </c>
      <c r="AB30" s="1308">
        <f t="shared" si="4"/>
        <v>1</v>
      </c>
      <c r="AC30" s="1308">
        <f t="shared" si="5"/>
        <v>1</v>
      </c>
    </row>
    <row r="31" spans="1:29" ht="15">
      <c r="A31" s="481"/>
      <c r="B31" s="543"/>
      <c r="C31" s="525"/>
      <c r="D31" s="504"/>
      <c r="E31" s="525"/>
      <c r="F31" s="504"/>
      <c r="G31" s="525"/>
      <c r="H31" s="504"/>
      <c r="I31" s="525"/>
      <c r="J31" s="504"/>
      <c r="K31" s="530"/>
      <c r="L31" s="1748"/>
      <c r="M31" s="1741"/>
      <c r="N31" s="1741"/>
      <c r="O31" s="1747"/>
      <c r="P31" s="3718"/>
      <c r="Q31" s="1305"/>
      <c r="R31" s="1306"/>
      <c r="S31" s="1307"/>
      <c r="T31" s="1306"/>
      <c r="U31" s="1307"/>
      <c r="V31" s="1306"/>
      <c r="W31" s="1307"/>
      <c r="X31" s="1301"/>
      <c r="Y31" s="3718"/>
      <c r="Z31" s="1308"/>
      <c r="AA31" s="1308">
        <v>1</v>
      </c>
      <c r="AB31" s="1308">
        <v>1</v>
      </c>
      <c r="AC31" s="1308">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718"/>
      <c r="Q32" s="1305" t="str">
        <f t="shared" si="8"/>
        <v>土地级别</v>
      </c>
      <c r="R32" s="1306" t="s">
        <v>5</v>
      </c>
      <c r="S32" s="1307">
        <f t="shared" si="9"/>
        <v>100</v>
      </c>
      <c r="T32" s="1306" t="s">
        <v>5</v>
      </c>
      <c r="U32" s="1307">
        <f t="shared" si="10"/>
        <v>100</v>
      </c>
      <c r="V32" s="1306" t="s">
        <v>5</v>
      </c>
      <c r="W32" s="1307">
        <f t="shared" si="11"/>
        <v>100</v>
      </c>
      <c r="X32" s="1301"/>
      <c r="Y32" s="3718"/>
      <c r="Z32" s="1308" t="str">
        <f t="shared" si="12"/>
        <v>土地级别</v>
      </c>
      <c r="AA32" s="1308">
        <f t="shared" si="3"/>
        <v>1</v>
      </c>
      <c r="AB32" s="1308">
        <f t="shared" si="4"/>
        <v>1</v>
      </c>
      <c r="AC32" s="1308">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718"/>
      <c r="Q33" s="1305">
        <f t="shared" si="8"/>
        <v>111</v>
      </c>
      <c r="R33" s="1306" t="s">
        <v>5</v>
      </c>
      <c r="S33" s="1307">
        <f t="shared" si="9"/>
        <v>100</v>
      </c>
      <c r="T33" s="1306" t="s">
        <v>5</v>
      </c>
      <c r="U33" s="1307">
        <f t="shared" si="10"/>
        <v>100</v>
      </c>
      <c r="V33" s="1306" t="s">
        <v>5</v>
      </c>
      <c r="W33" s="1307">
        <f t="shared" si="11"/>
        <v>100</v>
      </c>
      <c r="X33" s="1301"/>
      <c r="Y33" s="3718"/>
      <c r="Z33" s="1308">
        <f t="shared" si="12"/>
        <v>111</v>
      </c>
      <c r="AA33" s="1308">
        <f t="shared" si="3"/>
        <v>1</v>
      </c>
      <c r="AB33" s="1308">
        <f t="shared" si="4"/>
        <v>1</v>
      </c>
      <c r="AC33" s="1308">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719" t="s">
        <v>499</v>
      </c>
      <c r="Q34" s="1305">
        <f t="shared" si="8"/>
        <v>111</v>
      </c>
      <c r="R34" s="1306" t="s">
        <v>5</v>
      </c>
      <c r="S34" s="1307">
        <f t="shared" si="9"/>
        <v>100</v>
      </c>
      <c r="T34" s="1306" t="s">
        <v>5</v>
      </c>
      <c r="U34" s="1307">
        <f t="shared" si="10"/>
        <v>100</v>
      </c>
      <c r="V34" s="1306" t="s">
        <v>5</v>
      </c>
      <c r="W34" s="1307">
        <f t="shared" si="11"/>
        <v>100</v>
      </c>
      <c r="X34" s="1301"/>
      <c r="Y34" s="3720" t="s">
        <v>499</v>
      </c>
      <c r="Z34" s="1308">
        <f t="shared" si="12"/>
        <v>111</v>
      </c>
      <c r="AA34" s="1308">
        <f t="shared" si="3"/>
        <v>1</v>
      </c>
      <c r="AB34" s="1308">
        <f t="shared" si="4"/>
        <v>1</v>
      </c>
      <c r="AC34" s="1308">
        <f t="shared" si="5"/>
        <v>1</v>
      </c>
    </row>
    <row r="35" spans="1:29" s="1132"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720"/>
      <c r="Q35" s="1305">
        <f t="shared" si="8"/>
        <v>111</v>
      </c>
      <c r="R35" s="1309" t="s">
        <v>5</v>
      </c>
      <c r="S35" s="1310">
        <f t="shared" si="9"/>
        <v>100</v>
      </c>
      <c r="T35" s="1309" t="s">
        <v>5</v>
      </c>
      <c r="U35" s="1310">
        <f t="shared" si="10"/>
        <v>100</v>
      </c>
      <c r="V35" s="1309" t="s">
        <v>5</v>
      </c>
      <c r="W35" s="1310">
        <f t="shared" si="11"/>
        <v>100</v>
      </c>
      <c r="X35" s="1311"/>
      <c r="Y35" s="3720"/>
      <c r="Z35" s="1312">
        <f t="shared" si="12"/>
        <v>111</v>
      </c>
      <c r="AA35" s="1308">
        <f t="shared" si="3"/>
        <v>1</v>
      </c>
      <c r="AB35" s="1308">
        <f t="shared" si="4"/>
        <v>1</v>
      </c>
      <c r="AC35" s="1308">
        <f t="shared" si="5"/>
        <v>1</v>
      </c>
    </row>
    <row r="36" spans="1:29" ht="15">
      <c r="A36" s="2203" t="s">
        <v>2036</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8"/>
      <c r="M36" s="1741"/>
      <c r="N36" s="1741"/>
      <c r="O36" s="1747"/>
      <c r="P36" s="3720"/>
      <c r="Q36" s="1305" t="str">
        <f>B36</f>
        <v>宗地面积</v>
      </c>
      <c r="R36" s="1306" t="s">
        <v>5</v>
      </c>
      <c r="S36" s="1307" t="e">
        <f t="shared" si="9"/>
        <v>#N/A</v>
      </c>
      <c r="T36" s="1306" t="s">
        <v>5</v>
      </c>
      <c r="U36" s="1307" t="e">
        <f t="shared" si="10"/>
        <v>#N/A</v>
      </c>
      <c r="V36" s="1306" t="s">
        <v>5</v>
      </c>
      <c r="W36" s="1307" t="e">
        <f t="shared" si="11"/>
        <v>#N/A</v>
      </c>
      <c r="X36" s="1301"/>
      <c r="Y36" s="3720"/>
      <c r="Z36" s="1308" t="str">
        <f t="shared" si="12"/>
        <v>宗地面积</v>
      </c>
      <c r="AA36" s="1308" t="e">
        <f t="shared" si="3"/>
        <v>#N/A</v>
      </c>
      <c r="AB36" s="1308" t="e">
        <f t="shared" si="4"/>
        <v>#N/A</v>
      </c>
      <c r="AC36" s="1308"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720"/>
      <c r="Q37" s="1305" t="str">
        <f t="shared" ref="Q37:Q42" si="13">B37</f>
        <v>宗地形状</v>
      </c>
      <c r="R37" s="1306" t="s">
        <v>5</v>
      </c>
      <c r="S37" s="1307">
        <f t="shared" si="9"/>
        <v>100</v>
      </c>
      <c r="T37" s="1306" t="s">
        <v>5</v>
      </c>
      <c r="U37" s="1307">
        <f t="shared" si="10"/>
        <v>100</v>
      </c>
      <c r="V37" s="1306" t="s">
        <v>5</v>
      </c>
      <c r="W37" s="1307">
        <f t="shared" si="11"/>
        <v>100</v>
      </c>
      <c r="X37" s="1301"/>
      <c r="Y37" s="3720"/>
      <c r="Z37" s="1308" t="str">
        <f t="shared" si="12"/>
        <v>宗地形状</v>
      </c>
      <c r="AA37" s="1308">
        <f t="shared" si="3"/>
        <v>1</v>
      </c>
      <c r="AB37" s="1308">
        <f t="shared" si="4"/>
        <v>1</v>
      </c>
      <c r="AC37" s="1308">
        <f t="shared" si="5"/>
        <v>1</v>
      </c>
    </row>
    <row r="38" spans="1:29" s="1058" customFormat="1" ht="15">
      <c r="A38" s="548"/>
      <c r="B38" s="1553"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2"/>
      <c r="M38" s="1639"/>
      <c r="N38" s="1639"/>
      <c r="O38" s="1743"/>
      <c r="P38" s="3720"/>
      <c r="Q38" s="1305" t="str">
        <f t="shared" si="13"/>
        <v>宗地开发程度</v>
      </c>
      <c r="R38" s="1302" t="s">
        <v>5</v>
      </c>
      <c r="S38" s="1303">
        <f t="shared" si="9"/>
        <v>100</v>
      </c>
      <c r="T38" s="1302" t="s">
        <v>5</v>
      </c>
      <c r="U38" s="1303">
        <f t="shared" si="10"/>
        <v>100</v>
      </c>
      <c r="V38" s="1302" t="s">
        <v>5</v>
      </c>
      <c r="W38" s="1303">
        <f t="shared" si="11"/>
        <v>100</v>
      </c>
      <c r="X38" s="1304"/>
      <c r="Y38" s="3720"/>
      <c r="Z38" s="995" t="str">
        <f t="shared" si="12"/>
        <v>宗地开发程度</v>
      </c>
      <c r="AA38" s="995">
        <f t="shared" si="3"/>
        <v>1</v>
      </c>
      <c r="AB38" s="995">
        <f t="shared" si="4"/>
        <v>1</v>
      </c>
      <c r="AC38" s="995">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8"/>
      <c r="M39" s="1741"/>
      <c r="N39" s="1741"/>
      <c r="O39" s="1747"/>
      <c r="P39" s="3720" t="s">
        <v>549</v>
      </c>
      <c r="Q39" s="1305" t="str">
        <f t="shared" si="13"/>
        <v>工程地质条件</v>
      </c>
      <c r="R39" s="1306" t="s">
        <v>5</v>
      </c>
      <c r="S39" s="1307">
        <f t="shared" si="9"/>
        <v>100</v>
      </c>
      <c r="T39" s="1306" t="s">
        <v>5</v>
      </c>
      <c r="U39" s="1307">
        <f t="shared" si="10"/>
        <v>100</v>
      </c>
      <c r="V39" s="1306" t="s">
        <v>5</v>
      </c>
      <c r="W39" s="1307">
        <f t="shared" si="11"/>
        <v>100</v>
      </c>
      <c r="X39" s="1301"/>
      <c r="Y39" s="3720" t="s">
        <v>549</v>
      </c>
      <c r="Z39" s="1308" t="str">
        <f t="shared" si="12"/>
        <v>工程地质条件</v>
      </c>
      <c r="AA39" s="1308">
        <f t="shared" si="3"/>
        <v>1</v>
      </c>
      <c r="AB39" s="1308">
        <f t="shared" si="4"/>
        <v>1</v>
      </c>
      <c r="AC39" s="1308">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720"/>
      <c r="Q40" s="1305">
        <f t="shared" si="13"/>
        <v>111</v>
      </c>
      <c r="R40" s="1306" t="s">
        <v>5</v>
      </c>
      <c r="S40" s="1307">
        <f t="shared" si="9"/>
        <v>100</v>
      </c>
      <c r="T40" s="1306" t="s">
        <v>5</v>
      </c>
      <c r="U40" s="1307">
        <f t="shared" si="10"/>
        <v>100</v>
      </c>
      <c r="V40" s="1306" t="s">
        <v>5</v>
      </c>
      <c r="W40" s="1307">
        <f t="shared" si="11"/>
        <v>100</v>
      </c>
      <c r="X40" s="1301"/>
      <c r="Y40" s="3720"/>
      <c r="Z40" s="1308">
        <f t="shared" si="12"/>
        <v>111</v>
      </c>
      <c r="AA40" s="1308">
        <f t="shared" si="3"/>
        <v>1</v>
      </c>
      <c r="AB40" s="1308">
        <f t="shared" si="4"/>
        <v>1</v>
      </c>
      <c r="AC40" s="1308">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720"/>
      <c r="Q41" s="1305">
        <f t="shared" si="13"/>
        <v>111</v>
      </c>
      <c r="R41" s="1306" t="s">
        <v>5</v>
      </c>
      <c r="S41" s="1307">
        <f t="shared" si="9"/>
        <v>100</v>
      </c>
      <c r="T41" s="1306" t="s">
        <v>5</v>
      </c>
      <c r="U41" s="1307">
        <f t="shared" si="10"/>
        <v>100</v>
      </c>
      <c r="V41" s="1306" t="s">
        <v>5</v>
      </c>
      <c r="W41" s="1307">
        <f t="shared" si="11"/>
        <v>100</v>
      </c>
      <c r="X41" s="1301"/>
      <c r="Y41" s="3720"/>
      <c r="Z41" s="1308">
        <f t="shared" si="12"/>
        <v>111</v>
      </c>
      <c r="AA41" s="1308">
        <f t="shared" si="3"/>
        <v>1</v>
      </c>
      <c r="AB41" s="1308">
        <f t="shared" si="4"/>
        <v>1</v>
      </c>
      <c r="AC41" s="1308">
        <f t="shared" si="5"/>
        <v>1</v>
      </c>
    </row>
    <row r="42" spans="1:29" s="1132"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720"/>
      <c r="Q42" s="1305">
        <f t="shared" si="13"/>
        <v>111</v>
      </c>
      <c r="R42" s="1309" t="s">
        <v>5</v>
      </c>
      <c r="S42" s="1310">
        <f t="shared" si="9"/>
        <v>100</v>
      </c>
      <c r="T42" s="1309" t="s">
        <v>5</v>
      </c>
      <c r="U42" s="1310">
        <f t="shared" si="10"/>
        <v>100</v>
      </c>
      <c r="V42" s="1309" t="s">
        <v>5</v>
      </c>
      <c r="W42" s="1310">
        <f t="shared" si="11"/>
        <v>100</v>
      </c>
      <c r="X42" s="1311"/>
      <c r="Y42" s="3720"/>
      <c r="Z42" s="1312">
        <f t="shared" si="12"/>
        <v>111</v>
      </c>
      <c r="AA42" s="1308">
        <f t="shared" si="3"/>
        <v>1</v>
      </c>
      <c r="AB42" s="1308">
        <f t="shared" si="4"/>
        <v>1</v>
      </c>
      <c r="AC42" s="1308">
        <f t="shared" si="5"/>
        <v>1</v>
      </c>
    </row>
    <row r="43" spans="1:29" ht="15">
      <c r="A43" s="555" t="s">
        <v>505</v>
      </c>
      <c r="B43" s="556" t="s">
        <v>2195</v>
      </c>
      <c r="C43" s="557" t="s">
        <v>0</v>
      </c>
      <c r="D43" s="558"/>
      <c r="E43" s="559"/>
      <c r="F43" s="560"/>
      <c r="G43" s="561"/>
      <c r="H43" s="562"/>
      <c r="I43" s="559"/>
      <c r="J43" s="562"/>
      <c r="K43" s="1133"/>
      <c r="L43" s="1750"/>
      <c r="M43" s="1741"/>
      <c r="N43" s="1741"/>
      <c r="O43" s="1741"/>
      <c r="P43" s="3684" t="str">
        <f>A43</f>
        <v>成交单价</v>
      </c>
      <c r="Q43" s="3684"/>
      <c r="R43" s="3685">
        <f>E43</f>
        <v>0</v>
      </c>
      <c r="S43" s="3685"/>
      <c r="T43" s="3685">
        <f>G43</f>
        <v>0</v>
      </c>
      <c r="U43" s="3685"/>
      <c r="V43" s="3685">
        <f>I43</f>
        <v>0</v>
      </c>
      <c r="W43" s="3685"/>
      <c r="X43" s="798"/>
      <c r="Y43" s="1313"/>
      <c r="Z43" s="798"/>
      <c r="AA43" s="798"/>
      <c r="AB43" s="798"/>
      <c r="AC43" s="798"/>
    </row>
    <row r="44" spans="1:29" ht="15.75" thickBot="1">
      <c r="A44" s="563" t="s">
        <v>1974</v>
      </c>
      <c r="B44" s="564"/>
      <c r="C44" s="565" t="e">
        <f>R45</f>
        <v>#DIV/0!</v>
      </c>
      <c r="D44" s="2549" t="s">
        <v>2259</v>
      </c>
      <c r="E44" s="565" t="e">
        <f>R44</f>
        <v>#DIV/0!</v>
      </c>
      <c r="F44" s="2550"/>
      <c r="G44" s="566" t="e">
        <f>T44</f>
        <v>#DIV/0!</v>
      </c>
      <c r="H44" s="2550"/>
      <c r="I44" s="565" t="e">
        <f>V44</f>
        <v>#DIV/0!</v>
      </c>
      <c r="J44" s="2550"/>
      <c r="K44" s="2551">
        <f>F44+H44+J44</f>
        <v>0</v>
      </c>
      <c r="L44" s="1750"/>
      <c r="M44" s="1741"/>
      <c r="N44" s="1741"/>
      <c r="O44" s="1741"/>
      <c r="P44" s="3684" t="str">
        <f>A44</f>
        <v>比较价格（元/平方米）</v>
      </c>
      <c r="Q44" s="3684"/>
      <c r="R44" s="3686" t="e">
        <f>ROUND(PRODUCT(R43,AA9:AA42),0)</f>
        <v>#DIV/0!</v>
      </c>
      <c r="S44" s="3686"/>
      <c r="T44" s="3686" t="e">
        <f>ROUND(PRODUCT(T43,AB9:AB42),0)</f>
        <v>#DIV/0!</v>
      </c>
      <c r="U44" s="3686"/>
      <c r="V44" s="3686" t="e">
        <f>ROUND(PRODUCT(V43,AC9:AC42),0)</f>
        <v>#DIV/0!</v>
      </c>
      <c r="W44" s="3686"/>
      <c r="X44" s="798"/>
      <c r="Y44" s="798"/>
      <c r="Z44" s="798"/>
      <c r="AA44" s="798"/>
      <c r="AB44" s="798"/>
      <c r="AC44" s="798"/>
    </row>
    <row r="45" spans="1:29" ht="15.75" thickBot="1">
      <c r="A45" s="567" t="s">
        <v>2196</v>
      </c>
      <c r="B45" s="568"/>
      <c r="C45" s="569" t="e">
        <f>R45</f>
        <v>#DIV/0!</v>
      </c>
      <c r="D45" s="569"/>
      <c r="E45" s="569"/>
      <c r="F45" s="569"/>
      <c r="G45" s="569"/>
      <c r="H45" s="569"/>
      <c r="I45" s="569"/>
      <c r="J45" s="569"/>
      <c r="K45" s="1134"/>
      <c r="L45" s="1750"/>
      <c r="M45" s="1741"/>
      <c r="N45" s="1741"/>
      <c r="O45" s="1741"/>
      <c r="P45" s="3721" t="str">
        <f>A45</f>
        <v>估价对象XX用房的比较价格（楼面单价，元/平方米）</v>
      </c>
      <c r="Q45" s="3722"/>
      <c r="R45" s="3737" t="e">
        <f>ROUND(IF(D44="简单平均",AVERAGE(R44:W44),R44*F44+T44*H44+V44*J44),0)</f>
        <v>#DIV/0!</v>
      </c>
      <c r="S45" s="3737"/>
      <c r="T45" s="3737"/>
      <c r="U45" s="3737"/>
      <c r="V45" s="3737"/>
      <c r="W45" s="3737"/>
      <c r="X45" s="798"/>
      <c r="Y45" s="798"/>
      <c r="Z45" s="798"/>
      <c r="AA45" s="798"/>
      <c r="AB45" s="798"/>
      <c r="AC45" s="798"/>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299" t="s">
        <v>1253</v>
      </c>
      <c r="D52" s="1820" t="s">
        <v>1650</v>
      </c>
      <c r="E52" s="577" t="s">
        <v>511</v>
      </c>
      <c r="F52" s="1609" t="s">
        <v>512</v>
      </c>
      <c r="G52" s="3733" t="s">
        <v>1642</v>
      </c>
      <c r="H52" s="3734"/>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79" t="s">
        <v>513</v>
      </c>
      <c r="B53" s="580" t="e">
        <f>C45</f>
        <v>#DIV/0!</v>
      </c>
      <c r="C53" s="581">
        <v>1</v>
      </c>
      <c r="D53" s="1821">
        <v>1</v>
      </c>
      <c r="E53" s="581">
        <f>'数据-汇总表'!E8+'数据-汇总表'!E9</f>
        <v>20615.91</v>
      </c>
      <c r="F53" s="1608" t="e">
        <f t="shared" ref="F53:F61" si="14">ROUND(B53*E53/10000,0)</f>
        <v>#DIV/0!</v>
      </c>
      <c r="G53" s="3735"/>
      <c r="H53" s="3736"/>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3" t="s">
        <v>514</v>
      </c>
      <c r="B54" s="584" t="e">
        <f>ROUND($C$45*C54*D54,0)</f>
        <v>#DIV/0!</v>
      </c>
      <c r="C54" s="347">
        <f t="shared" ref="C54:C61" si="15">IF($C$52="北京市系数",I54,J54)</f>
        <v>0.5</v>
      </c>
      <c r="D54" s="1822">
        <v>0.25</v>
      </c>
      <c r="E54" s="585"/>
      <c r="F54" s="1608" t="e">
        <f t="shared" si="14"/>
        <v>#DIV/0!</v>
      </c>
      <c r="G54" s="3029" t="s">
        <v>1643</v>
      </c>
      <c r="H54" s="1612" t="str">
        <f>项目基本情况!B43</f>
        <v>九级</v>
      </c>
      <c r="I54" s="1611">
        <f>SUMIF(修正!$A$57:$A$68,H54,修正!B57:B68)</f>
        <v>0.5</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3" t="s">
        <v>515</v>
      </c>
      <c r="B55" s="584" t="e">
        <f t="shared" ref="B55:B61" si="16">ROUND($C$45*C55*D55,0)</f>
        <v>#DIV/0!</v>
      </c>
      <c r="C55" s="347">
        <f t="shared" si="15"/>
        <v>0.2</v>
      </c>
      <c r="D55" s="1822">
        <v>0.25</v>
      </c>
      <c r="E55" s="585"/>
      <c r="F55" s="1608" t="e">
        <f t="shared" si="14"/>
        <v>#DIV/0!</v>
      </c>
      <c r="G55" s="3030"/>
      <c r="H55" s="1613" t="str">
        <f>项目基本情况!B43</f>
        <v>九级</v>
      </c>
      <c r="I55" s="1611">
        <f>SUMIF(修正!$A$57:$A$68,H55,修正!C57:C68)</f>
        <v>0.2</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3" t="s">
        <v>516</v>
      </c>
      <c r="B56" s="584" t="e">
        <f t="shared" si="16"/>
        <v>#DIV/0!</v>
      </c>
      <c r="C56" s="347">
        <f t="shared" si="15"/>
        <v>0.2</v>
      </c>
      <c r="D56" s="1822">
        <v>0.25</v>
      </c>
      <c r="E56" s="585"/>
      <c r="F56" s="1608" t="e">
        <f t="shared" si="14"/>
        <v>#DIV/0!</v>
      </c>
      <c r="G56" s="3030"/>
      <c r="H56" s="1613" t="str">
        <f>项目基本情况!B43</f>
        <v>九级</v>
      </c>
      <c r="I56" s="1611">
        <f>SUMIF(修正!$A$57:$A$68,H56,修正!D57:D68)</f>
        <v>0.2</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1685</v>
      </c>
      <c r="B57" s="584" t="e">
        <f t="shared" si="16"/>
        <v>#DIV/0!</v>
      </c>
      <c r="C57" s="347">
        <f t="shared" si="15"/>
        <v>0.2</v>
      </c>
      <c r="D57" s="1822">
        <v>0.25</v>
      </c>
      <c r="E57" s="587">
        <f>'数据-汇总表'!E11</f>
        <v>104.29</v>
      </c>
      <c r="F57" s="1608" t="e">
        <f t="shared" si="14"/>
        <v>#DIV/0!</v>
      </c>
      <c r="G57" s="1614" t="s">
        <v>1644</v>
      </c>
      <c r="H57" s="1613" t="str">
        <f>项目基本情况!C43</f>
        <v>九级</v>
      </c>
      <c r="I57" s="1611">
        <f>SUMIF(修正!$A$57:$A$68,H57,修正!E57:E68)</f>
        <v>0.2</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3" t="s">
        <v>517</v>
      </c>
      <c r="B58" s="584" t="e">
        <f t="shared" si="16"/>
        <v>#DIV/0!</v>
      </c>
      <c r="C58" s="347">
        <f t="shared" si="15"/>
        <v>0.2</v>
      </c>
      <c r="D58" s="1822">
        <v>0.25</v>
      </c>
      <c r="E58" s="587">
        <f>'数据-汇总表'!E12</f>
        <v>98.29</v>
      </c>
      <c r="F58" s="1608" t="e">
        <f t="shared" si="14"/>
        <v>#DIV/0!</v>
      </c>
      <c r="G58" s="1604" t="s">
        <v>1212</v>
      </c>
      <c r="H58" s="1612" t="str">
        <f>IF(G58="商业",项目基本情况!B43,IF(G58="办公",项目基本情况!C43,IF(G58="住宅",项目基本情况!D43,项目基本情况!E43)))</f>
        <v>九级</v>
      </c>
      <c r="I58" s="1611">
        <f>SUMIF(修正!$A$57:$A$68,H58,修正!F57:F68)</f>
        <v>0.2</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3" t="s">
        <v>518</v>
      </c>
      <c r="B59" s="584" t="e">
        <f t="shared" si="16"/>
        <v>#DIV/0!</v>
      </c>
      <c r="C59" s="347">
        <f t="shared" si="15"/>
        <v>0.1</v>
      </c>
      <c r="D59" s="1822">
        <v>0.25</v>
      </c>
      <c r="E59" s="587">
        <f>'数据-汇总表'!E13</f>
        <v>5075.8500000000004</v>
      </c>
      <c r="F59" s="1608" t="e">
        <f t="shared" si="14"/>
        <v>#DIV/0!</v>
      </c>
      <c r="G59" s="1604" t="s">
        <v>851</v>
      </c>
      <c r="H59" s="1612" t="str">
        <f>IF(G59="商业",项目基本情况!B43,IF(G59="办公",项目基本情况!C43,IF(G59="住宅",项目基本情况!D43,项目基本情况!E43)))</f>
        <v>九级</v>
      </c>
      <c r="I59" s="1611">
        <f>SUMIF(修正!$A$57:$A$68,H59,修正!G57:G68)</f>
        <v>0.1</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3" t="s">
        <v>519</v>
      </c>
      <c r="B60" s="584" t="e">
        <f t="shared" si="16"/>
        <v>#DIV/0!</v>
      </c>
      <c r="C60" s="347">
        <f t="shared" si="15"/>
        <v>0.1</v>
      </c>
      <c r="D60" s="1822">
        <v>0.25</v>
      </c>
      <c r="E60" s="587">
        <f>'数据-汇总表'!E14</f>
        <v>0</v>
      </c>
      <c r="F60" s="1608" t="e">
        <f t="shared" si="14"/>
        <v>#DIV/0!</v>
      </c>
      <c r="G60" s="1614" t="s">
        <v>1643</v>
      </c>
      <c r="H60" s="1613" t="str">
        <f>项目基本情况!B43</f>
        <v>九级</v>
      </c>
      <c r="I60" s="1611">
        <f>SUMIF(修正!$A$57:$A$68,H60,修正!G57:G68)</f>
        <v>0.1</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3" t="s">
        <v>520</v>
      </c>
      <c r="B61" s="584" t="e">
        <f t="shared" si="16"/>
        <v>#DIV/0!</v>
      </c>
      <c r="C61" s="347">
        <f t="shared" si="15"/>
        <v>0.1</v>
      </c>
      <c r="D61" s="1822">
        <v>0.25</v>
      </c>
      <c r="E61" s="587">
        <f>'数据-汇总表'!E15</f>
        <v>0</v>
      </c>
      <c r="F61" s="1608" t="e">
        <f t="shared" si="14"/>
        <v>#DIV/0!</v>
      </c>
      <c r="G61" s="1615" t="s">
        <v>1644</v>
      </c>
      <c r="H61" s="1616" t="str">
        <f>项目基本情况!C43</f>
        <v>九级</v>
      </c>
      <c r="I61" s="1611">
        <f>SUMIF(修正!$A$57:$A$68,H61,修正!G57:G68)</f>
        <v>0.1</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8" t="s">
        <v>521</v>
      </c>
      <c r="B62" s="589" t="s">
        <v>11</v>
      </c>
      <c r="C62" s="589" t="s">
        <v>12</v>
      </c>
      <c r="D62" s="589" t="s">
        <v>1651</v>
      </c>
      <c r="E62" s="589">
        <f>IF(B43="楼面地价",SUM(E53:E61),'数据-汇总表'!D3)</f>
        <v>12997.77</v>
      </c>
      <c r="F62" s="590" t="e">
        <f>IF(B43="楼面地价",SUM(F53:F61),ROUND(C45*E62/10000,0))</f>
        <v>#DIV/0!</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2024-11-1</v>
      </c>
      <c r="D64" s="2110">
        <f>EDATE(C64,-3)</f>
        <v>45505</v>
      </c>
      <c r="E64" s="2110">
        <f t="shared" ref="E64:N64" si="17">EDATE(D64,-3)</f>
        <v>45413</v>
      </c>
      <c r="F64" s="2110">
        <f t="shared" si="17"/>
        <v>45323</v>
      </c>
      <c r="G64" s="2110">
        <f t="shared" si="17"/>
        <v>45231</v>
      </c>
      <c r="H64" s="2110">
        <f t="shared" si="17"/>
        <v>45139</v>
      </c>
      <c r="I64" s="2110">
        <f t="shared" si="17"/>
        <v>45047</v>
      </c>
      <c r="J64" s="2110">
        <f t="shared" si="17"/>
        <v>44958</v>
      </c>
      <c r="K64" s="2110">
        <f t="shared" si="17"/>
        <v>44866</v>
      </c>
      <c r="L64" s="2110">
        <f t="shared" si="17"/>
        <v>44774</v>
      </c>
      <c r="M64" s="2110">
        <f t="shared" si="17"/>
        <v>44682</v>
      </c>
      <c r="N64" s="2110">
        <f t="shared" si="17"/>
        <v>44593</v>
      </c>
      <c r="O64" s="1741"/>
      <c r="P64" s="1741"/>
      <c r="Q64" s="1741"/>
      <c r="R64" s="1741"/>
      <c r="S64" s="1741"/>
      <c r="T64" s="1741"/>
      <c r="U64" s="1741"/>
      <c r="V64" s="1741"/>
      <c r="W64" s="1741"/>
      <c r="X64" s="1741"/>
      <c r="Y64" s="1741"/>
      <c r="Z64" s="1741"/>
      <c r="AA64" s="1741"/>
      <c r="AB64" s="1741"/>
      <c r="AC64" s="1741"/>
    </row>
    <row r="65" spans="1:29" ht="21.75" thickBot="1">
      <c r="A65" s="1316" t="s">
        <v>522</v>
      </c>
      <c r="B65" s="798"/>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1930</v>
      </c>
      <c r="B67" s="447" t="str">
        <f>"北京市平均增长率"&amp;TEXT(基准地价!P28,"0.00%")</f>
        <v>北京市平均增长率0.00%</v>
      </c>
      <c r="C67" s="816">
        <v>100</v>
      </c>
      <c r="D67" s="78"/>
      <c r="E67" s="78"/>
      <c r="F67" s="78"/>
      <c r="G67" s="78"/>
      <c r="H67" s="78"/>
      <c r="I67" s="78"/>
      <c r="J67" s="78"/>
      <c r="K67" s="78"/>
      <c r="L67" s="78"/>
      <c r="M67" s="90"/>
      <c r="N67" s="533"/>
      <c r="O67" s="1765"/>
      <c r="P67" s="1762"/>
      <c r="Q67" s="1639"/>
      <c r="R67" s="1639"/>
      <c r="S67" s="1639"/>
      <c r="T67" s="1639"/>
      <c r="U67" s="1639"/>
      <c r="V67" s="1639"/>
      <c r="W67" s="1639"/>
      <c r="X67" s="1639"/>
      <c r="Y67" s="1639"/>
      <c r="Z67" s="1639"/>
      <c r="AA67" s="1639"/>
      <c r="AB67" s="1639"/>
      <c r="AC67" s="1639"/>
    </row>
    <row r="68" spans="1:29" s="1058" customFormat="1" ht="15.75" thickBot="1">
      <c r="A68" s="261" t="s">
        <v>523</v>
      </c>
      <c r="B68" s="597"/>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2" t="s">
        <v>480</v>
      </c>
      <c r="B69" s="593"/>
      <c r="C69" s="603" t="s">
        <v>524</v>
      </c>
      <c r="D69" s="79"/>
      <c r="E69" s="79"/>
      <c r="F69" s="79"/>
      <c r="G69" s="79"/>
      <c r="H69" s="79"/>
      <c r="I69" s="79"/>
      <c r="J69" s="79"/>
      <c r="K69" s="79"/>
      <c r="L69" s="604"/>
      <c r="M69" s="605"/>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2"/>
      <c r="B70" s="593"/>
      <c r="C70" s="594">
        <v>100</v>
      </c>
      <c r="D70" s="595"/>
      <c r="E70" s="595"/>
      <c r="F70" s="595"/>
      <c r="G70" s="595"/>
      <c r="H70" s="595"/>
      <c r="I70" s="595"/>
      <c r="J70" s="595"/>
      <c r="K70" s="595"/>
      <c r="L70" s="595"/>
      <c r="M70" s="596"/>
      <c r="N70" s="2734"/>
      <c r="O70" s="1765"/>
      <c r="P70" s="1762"/>
      <c r="Q70" s="1762"/>
      <c r="R70" s="1639"/>
      <c r="S70" s="1639"/>
      <c r="T70" s="1639"/>
      <c r="U70" s="1639"/>
      <c r="V70" s="1639"/>
      <c r="W70" s="1639"/>
      <c r="X70" s="1639"/>
      <c r="Y70" s="1639"/>
      <c r="Z70" s="1639"/>
      <c r="AA70" s="1639"/>
      <c r="AB70" s="1639"/>
      <c r="AC70" s="1639"/>
    </row>
    <row r="71" spans="1:29">
      <c r="A71" s="606" t="s">
        <v>525</v>
      </c>
      <c r="B71" s="607" t="s">
        <v>483</v>
      </c>
      <c r="C71" s="546"/>
      <c r="D71" s="546"/>
      <c r="E71" s="546"/>
      <c r="F71" s="546"/>
      <c r="G71" s="546"/>
      <c r="H71" s="546"/>
      <c r="I71" s="546"/>
      <c r="J71" s="546"/>
      <c r="K71" s="608"/>
      <c r="L71" s="609"/>
      <c r="M71" s="610"/>
      <c r="N71" s="2735"/>
      <c r="O71" s="1766"/>
      <c r="P71" s="1765"/>
      <c r="Q71" s="1762"/>
      <c r="R71" s="1741"/>
      <c r="S71" s="1741"/>
      <c r="T71" s="1741"/>
      <c r="U71" s="1741"/>
      <c r="V71" s="1741"/>
      <c r="W71" s="1741"/>
      <c r="X71" s="1741"/>
      <c r="Y71" s="1741"/>
      <c r="Z71" s="1741"/>
      <c r="AA71" s="1741"/>
      <c r="AB71" s="1741"/>
      <c r="AC71" s="1741"/>
    </row>
    <row r="72" spans="1:29" ht="15.75" thickBot="1">
      <c r="A72" s="481"/>
      <c r="B72" s="611"/>
      <c r="C72" s="612"/>
      <c r="D72" s="612"/>
      <c r="E72" s="612"/>
      <c r="F72" s="612"/>
      <c r="G72" s="612"/>
      <c r="H72" s="612"/>
      <c r="I72" s="612"/>
      <c r="J72" s="612"/>
      <c r="K72" s="612"/>
      <c r="L72" s="612"/>
      <c r="M72" s="613"/>
      <c r="N72" s="2736"/>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5"/>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6"/>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1"/>
      <c r="B76" s="624"/>
      <c r="C76" s="490"/>
      <c r="D76" s="490"/>
      <c r="E76" s="490"/>
      <c r="F76" s="490"/>
      <c r="G76" s="490"/>
      <c r="H76" s="490"/>
      <c r="I76" s="490"/>
      <c r="J76" s="490"/>
      <c r="K76" s="625"/>
      <c r="L76" s="626"/>
      <c r="M76" s="627"/>
      <c r="N76" s="2735"/>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8"/>
      <c r="B78" s="614">
        <f>B14</f>
        <v>111</v>
      </c>
      <c r="C78" s="629"/>
      <c r="D78" s="629"/>
      <c r="E78" s="629"/>
      <c r="F78" s="629"/>
      <c r="G78" s="629"/>
      <c r="H78" s="630"/>
      <c r="I78" s="630"/>
      <c r="J78" s="630"/>
      <c r="K78" s="630"/>
      <c r="L78" s="631"/>
      <c r="M78" s="632"/>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8"/>
      <c r="B79" s="619"/>
      <c r="C79" s="633"/>
      <c r="D79" s="612"/>
      <c r="E79" s="612"/>
      <c r="F79" s="612"/>
      <c r="G79" s="612"/>
      <c r="H79" s="612"/>
      <c r="I79" s="612"/>
      <c r="J79" s="612"/>
      <c r="K79" s="612"/>
      <c r="L79" s="612"/>
      <c r="M79" s="613"/>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8"/>
      <c r="B80" s="614">
        <f>B15</f>
        <v>111</v>
      </c>
      <c r="C80" s="629"/>
      <c r="D80" s="629"/>
      <c r="E80" s="629"/>
      <c r="F80" s="629"/>
      <c r="G80" s="629"/>
      <c r="H80" s="630"/>
      <c r="I80" s="630"/>
      <c r="J80" s="630"/>
      <c r="K80" s="630"/>
      <c r="L80" s="631"/>
      <c r="M80" s="632"/>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8"/>
      <c r="B81" s="619"/>
      <c r="C81" s="633"/>
      <c r="D81" s="633"/>
      <c r="E81" s="633"/>
      <c r="F81" s="633"/>
      <c r="G81" s="633"/>
      <c r="H81" s="634"/>
      <c r="I81" s="634"/>
      <c r="J81" s="634"/>
      <c r="K81" s="634"/>
      <c r="L81" s="634"/>
      <c r="M81" s="635"/>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8"/>
      <c r="B82" s="622">
        <f>B16</f>
        <v>111</v>
      </c>
      <c r="C82" s="79"/>
      <c r="D82" s="79"/>
      <c r="E82" s="79"/>
      <c r="F82" s="79"/>
      <c r="G82" s="79"/>
      <c r="H82" s="636"/>
      <c r="I82" s="636"/>
      <c r="J82" s="636"/>
      <c r="K82" s="636"/>
      <c r="L82" s="637"/>
      <c r="M82" s="638"/>
      <c r="N82" s="2737"/>
      <c r="O82" s="1768"/>
      <c r="P82" s="1772"/>
      <c r="Q82" s="1769"/>
      <c r="R82" s="1770"/>
      <c r="S82" s="1770"/>
      <c r="T82" s="1770"/>
      <c r="U82" s="1770"/>
      <c r="V82" s="1770"/>
      <c r="W82" s="1770"/>
      <c r="X82" s="1770"/>
      <c r="Y82" s="1770"/>
      <c r="Z82" s="1770"/>
      <c r="AA82" s="1770"/>
      <c r="AB82" s="1770"/>
      <c r="AC82" s="1770"/>
    </row>
    <row r="83" spans="1:29" s="1132" customFormat="1" ht="15.75" thickBot="1">
      <c r="A83" s="639"/>
      <c r="B83" s="640"/>
      <c r="C83" s="641"/>
      <c r="D83" s="641"/>
      <c r="E83" s="641"/>
      <c r="F83" s="641"/>
      <c r="G83" s="641"/>
      <c r="H83" s="642"/>
      <c r="I83" s="642"/>
      <c r="J83" s="642"/>
      <c r="K83" s="642"/>
      <c r="L83" s="642"/>
      <c r="M83" s="643"/>
      <c r="N83" s="2737"/>
      <c r="O83" s="1768"/>
      <c r="P83" s="1768"/>
      <c r="Q83" s="1769"/>
      <c r="R83" s="1770"/>
      <c r="S83" s="1770"/>
      <c r="T83" s="1770"/>
      <c r="U83" s="1770"/>
      <c r="V83" s="1770"/>
      <c r="W83" s="1770"/>
      <c r="X83" s="1770"/>
      <c r="Y83" s="1770"/>
      <c r="Z83" s="1770"/>
      <c r="AA83" s="1770"/>
      <c r="AB83" s="1770"/>
      <c r="AC83" s="1770"/>
    </row>
    <row r="84" spans="1:29">
      <c r="A84" s="606" t="s">
        <v>488</v>
      </c>
      <c r="B84" s="607" t="s">
        <v>550</v>
      </c>
      <c r="C84" s="142" t="s">
        <v>527</v>
      </c>
      <c r="D84" s="142" t="s">
        <v>528</v>
      </c>
      <c r="E84" s="142" t="s">
        <v>529</v>
      </c>
      <c r="F84" s="142" t="s">
        <v>530</v>
      </c>
      <c r="G84" s="142" t="s">
        <v>531</v>
      </c>
      <c r="H84" s="644"/>
      <c r="I84" s="644"/>
      <c r="J84" s="644"/>
      <c r="K84" s="645"/>
      <c r="L84" s="646"/>
      <c r="M84" s="647"/>
      <c r="N84" s="2735"/>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6"/>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5"/>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5"/>
      <c r="B88" s="614" t="s">
        <v>535</v>
      </c>
      <c r="C88" s="648" t="s">
        <v>527</v>
      </c>
      <c r="D88" s="648" t="s">
        <v>528</v>
      </c>
      <c r="E88" s="648" t="s">
        <v>529</v>
      </c>
      <c r="F88" s="648" t="s">
        <v>530</v>
      </c>
      <c r="G88" s="648" t="s">
        <v>531</v>
      </c>
      <c r="H88" s="648"/>
      <c r="I88" s="648"/>
      <c r="J88" s="648"/>
      <c r="K88" s="648"/>
      <c r="L88" s="649"/>
      <c r="M88" s="650"/>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C89-$K21</f>
        <v>100</v>
      </c>
      <c r="E89" s="620">
        <f>D89-$K21</f>
        <v>100</v>
      </c>
      <c r="F89" s="620">
        <f>E89-$K21</f>
        <v>100</v>
      </c>
      <c r="G89" s="620">
        <f>F89-$K21</f>
        <v>100</v>
      </c>
      <c r="H89" s="620"/>
      <c r="I89" s="620"/>
      <c r="J89" s="620"/>
      <c r="K89" s="620"/>
      <c r="L89" s="620"/>
      <c r="M89" s="621"/>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5"/>
      <c r="B90" s="614" t="s">
        <v>536</v>
      </c>
      <c r="C90" s="142" t="s">
        <v>527</v>
      </c>
      <c r="D90" s="142" t="s">
        <v>528</v>
      </c>
      <c r="E90" s="142" t="s">
        <v>529</v>
      </c>
      <c r="F90" s="142" t="s">
        <v>530</v>
      </c>
      <c r="G90" s="142" t="s">
        <v>531</v>
      </c>
      <c r="H90" s="648"/>
      <c r="I90" s="648"/>
      <c r="J90" s="648"/>
      <c r="K90" s="648"/>
      <c r="L90" s="648"/>
      <c r="M90" s="650"/>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5"/>
      <c r="B91" s="619"/>
      <c r="C91" s="620">
        <v>100</v>
      </c>
      <c r="D91" s="620">
        <f>C91-$K23</f>
        <v>100</v>
      </c>
      <c r="E91" s="620">
        <f>D91-$K23</f>
        <v>100</v>
      </c>
      <c r="F91" s="620">
        <f>E91-$K23</f>
        <v>100</v>
      </c>
      <c r="G91" s="620">
        <f>F91-$K23</f>
        <v>100</v>
      </c>
      <c r="H91" s="620"/>
      <c r="I91" s="620"/>
      <c r="J91" s="620"/>
      <c r="K91" s="620"/>
      <c r="L91" s="620"/>
      <c r="M91" s="621"/>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8"/>
      <c r="B92" s="1554" t="s">
        <v>1831</v>
      </c>
      <c r="C92" s="142" t="s">
        <v>527</v>
      </c>
      <c r="D92" s="142" t="s">
        <v>528</v>
      </c>
      <c r="E92" s="142" t="s">
        <v>529</v>
      </c>
      <c r="F92" s="142" t="s">
        <v>530</v>
      </c>
      <c r="G92" s="142" t="s">
        <v>531</v>
      </c>
      <c r="H92" s="652"/>
      <c r="I92" s="652"/>
      <c r="J92" s="652"/>
      <c r="K92" s="652"/>
      <c r="L92" s="653"/>
      <c r="M92" s="654"/>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8"/>
      <c r="B93" s="619"/>
      <c r="C93" s="620">
        <v>100</v>
      </c>
      <c r="D93" s="620">
        <f>C93-$K25</f>
        <v>100</v>
      </c>
      <c r="E93" s="620">
        <f>D93-$K25</f>
        <v>100</v>
      </c>
      <c r="F93" s="620">
        <f>E93-$K25</f>
        <v>100</v>
      </c>
      <c r="G93" s="620">
        <f>F93-$K25</f>
        <v>100</v>
      </c>
      <c r="H93" s="655"/>
      <c r="I93" s="655"/>
      <c r="J93" s="655"/>
      <c r="K93" s="655"/>
      <c r="L93" s="655"/>
      <c r="M93" s="656"/>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8"/>
      <c r="B94" s="2055" t="s">
        <v>1833</v>
      </c>
      <c r="C94" s="2056" t="s">
        <v>1834</v>
      </c>
      <c r="D94" s="2056" t="s">
        <v>1835</v>
      </c>
      <c r="E94" s="2056" t="s">
        <v>1836</v>
      </c>
      <c r="F94" s="2056" t="s">
        <v>1837</v>
      </c>
      <c r="G94" s="2056" t="s">
        <v>1838</v>
      </c>
      <c r="H94" s="652"/>
      <c r="I94" s="652"/>
      <c r="J94" s="652"/>
      <c r="K94" s="652"/>
      <c r="L94" s="652"/>
      <c r="M94" s="654"/>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8"/>
      <c r="B95" s="622"/>
      <c r="C95" s="620">
        <v>100</v>
      </c>
      <c r="D95" s="620">
        <f>C95-$K27</f>
        <v>100</v>
      </c>
      <c r="E95" s="620">
        <f>D95-$K27</f>
        <v>100</v>
      </c>
      <c r="F95" s="620">
        <f>E95-$K27</f>
        <v>100</v>
      </c>
      <c r="G95" s="620">
        <f>F95-$K27</f>
        <v>100</v>
      </c>
      <c r="H95" s="624"/>
      <c r="I95" s="624"/>
      <c r="J95" s="624"/>
      <c r="K95" s="624"/>
      <c r="L95" s="624"/>
      <c r="M95" s="2048"/>
      <c r="N95" s="2737"/>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5"/>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6"/>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629"/>
      <c r="D98" s="629"/>
      <c r="E98" s="629"/>
      <c r="F98" s="629"/>
      <c r="G98" s="629"/>
      <c r="H98" s="657"/>
      <c r="I98" s="657"/>
      <c r="J98" s="657"/>
      <c r="K98" s="658"/>
      <c r="L98" s="659"/>
      <c r="M98" s="660"/>
      <c r="N98" s="2735"/>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6"/>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657"/>
      <c r="D100" s="657"/>
      <c r="E100" s="657"/>
      <c r="F100" s="657"/>
      <c r="G100" s="657"/>
      <c r="H100" s="657"/>
      <c r="I100" s="657"/>
      <c r="J100" s="657"/>
      <c r="K100" s="658"/>
      <c r="L100" s="659"/>
      <c r="M100" s="660"/>
      <c r="N100" s="2735"/>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5"/>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6"/>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5"/>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1"/>
      <c r="B106" s="667">
        <f>B35</f>
        <v>111</v>
      </c>
      <c r="C106" s="79"/>
      <c r="D106" s="79"/>
      <c r="E106" s="79"/>
      <c r="F106" s="79"/>
      <c r="G106" s="78"/>
      <c r="H106" s="78"/>
      <c r="I106" s="78"/>
      <c r="J106" s="668"/>
      <c r="K106" s="668"/>
      <c r="L106" s="669"/>
      <c r="M106" s="670"/>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8"/>
      <c r="B107" s="622"/>
      <c r="C107" s="641"/>
      <c r="D107" s="641"/>
      <c r="E107" s="641"/>
      <c r="F107" s="641"/>
      <c r="G107" s="540"/>
      <c r="H107" s="540"/>
      <c r="I107" s="540"/>
      <c r="J107" s="540"/>
      <c r="K107" s="540"/>
      <c r="L107" s="540"/>
      <c r="M107" s="671"/>
      <c r="N107" s="2736"/>
      <c r="O107" s="1767"/>
      <c r="P107" s="1768"/>
      <c r="Q107" s="1769"/>
      <c r="R107" s="1770"/>
      <c r="S107" s="1770"/>
      <c r="T107" s="1770"/>
      <c r="U107" s="1770"/>
      <c r="V107" s="1770"/>
      <c r="W107" s="1770"/>
      <c r="X107" s="1770"/>
      <c r="Y107" s="1770"/>
      <c r="Z107" s="1770"/>
      <c r="AA107" s="1770"/>
      <c r="AB107" s="1770"/>
      <c r="AC107" s="1770"/>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7" t="str">
        <f t="shared" si="24"/>
        <v>(含)-</v>
      </c>
      <c r="L108" s="2348" t="str">
        <f t="shared" si="24"/>
        <v>(含)-</v>
      </c>
      <c r="M108" s="144"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1"/>
      <c r="B109" s="622"/>
      <c r="C109" s="78"/>
      <c r="D109" s="78"/>
      <c r="E109" s="78"/>
      <c r="F109" s="78"/>
      <c r="G109" s="78"/>
      <c r="H109" s="78"/>
      <c r="I109" s="78"/>
      <c r="J109" s="668"/>
      <c r="K109" s="668"/>
      <c r="L109" s="669"/>
      <c r="M109" s="670"/>
      <c r="N109" s="2735"/>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41"/>
      <c r="D110" s="665"/>
      <c r="E110" s="665"/>
      <c r="F110" s="665"/>
      <c r="G110" s="665"/>
      <c r="H110" s="665"/>
      <c r="I110" s="665"/>
      <c r="J110" s="665"/>
      <c r="K110" s="665"/>
      <c r="L110" s="665"/>
      <c r="M110" s="666"/>
      <c r="N110" s="2736"/>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5"/>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1"/>
      <c r="B113" s="1554" t="s">
        <v>1777</v>
      </c>
      <c r="C113" s="1165"/>
      <c r="D113" s="1165"/>
      <c r="E113" s="1165"/>
      <c r="F113" s="1165"/>
      <c r="G113" s="1165"/>
      <c r="H113" s="657"/>
      <c r="I113" s="657"/>
      <c r="J113" s="657"/>
      <c r="K113" s="658"/>
      <c r="L113" s="659"/>
      <c r="M113" s="660"/>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c r="D115" s="629"/>
      <c r="E115" s="657"/>
      <c r="F115" s="657"/>
      <c r="G115" s="657"/>
      <c r="H115" s="657"/>
      <c r="I115" s="657"/>
      <c r="J115" s="657"/>
      <c r="K115" s="658"/>
      <c r="L115" s="659"/>
      <c r="M115" s="660"/>
      <c r="N115" s="2735"/>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5"/>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6"/>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5"/>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1"/>
      <c r="B121" s="614">
        <f>B42</f>
        <v>111</v>
      </c>
      <c r="C121" s="79"/>
      <c r="D121" s="79"/>
      <c r="E121" s="79"/>
      <c r="F121" s="79"/>
      <c r="G121" s="630"/>
      <c r="H121" s="630"/>
      <c r="I121" s="630"/>
      <c r="J121" s="630"/>
      <c r="K121" s="630"/>
      <c r="L121" s="631"/>
      <c r="M121" s="632"/>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39"/>
      <c r="B122" s="672"/>
      <c r="C122" s="641"/>
      <c r="D122" s="641"/>
      <c r="E122" s="641"/>
      <c r="F122" s="641"/>
      <c r="G122" s="665"/>
      <c r="H122" s="665"/>
      <c r="I122" s="665"/>
      <c r="J122" s="665"/>
      <c r="K122" s="665"/>
      <c r="L122" s="665"/>
      <c r="M122" s="666"/>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9" sqref="L29"/>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0</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1" t="s">
        <v>2042</v>
      </c>
      <c r="S1" s="2231" t="s">
        <v>2043</v>
      </c>
      <c r="T1" s="2231" t="s">
        <v>2060</v>
      </c>
      <c r="U1" s="2231" t="s">
        <v>2061</v>
      </c>
      <c r="V1" s="2231" t="s">
        <v>2062</v>
      </c>
      <c r="W1" s="1788"/>
      <c r="X1" s="1788"/>
      <c r="Y1" s="1788"/>
      <c r="Z1" s="1788"/>
      <c r="AA1" s="1788"/>
      <c r="AB1" s="1788"/>
      <c r="AC1" s="1789"/>
    </row>
    <row r="2" spans="1:39" ht="15.75">
      <c r="A2" s="1189" t="s">
        <v>848</v>
      </c>
      <c r="B2" s="939" t="e">
        <f>C30</f>
        <v>#DIV/0!</v>
      </c>
      <c r="C2" s="1190" t="s">
        <v>849</v>
      </c>
      <c r="D2" s="1191" t="s">
        <v>850</v>
      </c>
      <c r="E2" s="1192"/>
      <c r="F2" s="1191" t="s">
        <v>852</v>
      </c>
      <c r="G2" s="1371" t="str">
        <f>IF(E2="商业",项目基本情况!B43,IF(E2="办公",项目基本情况!C43,IF(E2="住宅",项目基本情况!D43,IF(E2="工业",项目基本情况!E43,项目基本情况!F43))))</f>
        <v>九级</v>
      </c>
      <c r="H2" s="1191" t="s">
        <v>854</v>
      </c>
      <c r="I2" s="944" t="str">
        <f>IF(E2="商业",项目基本情况!B44,IF(E2="办公",项目基本情况!C44,IF(E2="住宅",项目基本情况!D44,IF(E2="工业",项目基本情况!E44,项目基本情况!F44))))</f>
        <v>Ⅸ-延2</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1.5418000000000001</v>
      </c>
      <c r="T2" s="2232" t="e">
        <f>ROUND($C$5*$C$22*$C$23*$C$24*S2*$C$28,0)</f>
        <v>#DIV/0!</v>
      </c>
      <c r="U2" s="2222"/>
      <c r="V2" s="2232" t="e">
        <f>ROUND(T2*U2/10000,0)</f>
        <v>#DIV/0!</v>
      </c>
      <c r="W2" s="1788"/>
      <c r="X2" s="1788"/>
      <c r="Y2" s="1788"/>
      <c r="Z2" s="1788"/>
      <c r="AA2" s="1788"/>
      <c r="AB2" s="1788"/>
      <c r="AC2" s="1789"/>
    </row>
    <row r="3" spans="1:39" ht="15.75">
      <c r="A3" s="1193" t="s">
        <v>1220</v>
      </c>
      <c r="B3" s="939" t="e">
        <f>ROUND(B2*10000/D1,0)</f>
        <v>#DIV/0!</v>
      </c>
      <c r="C3" s="1190" t="s">
        <v>855</v>
      </c>
      <c r="D3" s="1191" t="s">
        <v>856</v>
      </c>
      <c r="E3" s="1194"/>
      <c r="F3" s="1195"/>
      <c r="G3" s="940">
        <f>IF(F3="宗地容积率",'数据-汇总表'!I4,IF(F3="估价对象容积率",'数据-汇总表'!I6,'数据-汇总表'!I7))</f>
        <v>0</v>
      </c>
      <c r="H3" s="1191" t="s">
        <v>857</v>
      </c>
      <c r="I3" s="941"/>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1.1883999999999999</v>
      </c>
      <c r="T3" s="2232" t="e">
        <f t="shared" ref="T3:T16" si="0">ROUND($C$5*$C$22*$C$23*$C$24*S3*$C$28,0)</f>
        <v>#DIV/0!</v>
      </c>
      <c r="U3" s="2222"/>
      <c r="V3" s="2232" t="e">
        <f t="shared" ref="V3:V16" si="1">ROUND(T3*U3/10000,0)</f>
        <v>#DIV/0!</v>
      </c>
      <c r="W3" s="1788"/>
      <c r="X3" s="1788"/>
      <c r="Y3" s="1788"/>
      <c r="Z3" s="1788"/>
      <c r="AA3" s="1788"/>
      <c r="AB3" s="1788"/>
      <c r="AC3" s="1789"/>
    </row>
    <row r="4" spans="1:39" ht="28.5">
      <c r="A4" s="1549" t="s">
        <v>1638</v>
      </c>
      <c r="B4" s="1969" t="e">
        <f>ROUND(B2*10000/F1,0)</f>
        <v>#DIV/0!</v>
      </c>
      <c r="C4" s="1552" t="s">
        <v>1613</v>
      </c>
      <c r="D4" s="1552" t="e">
        <f>ROUND(B2/(F1/666.67),0)</f>
        <v>#DIV/0!</v>
      </c>
      <c r="E4" s="1552" t="s">
        <v>1614</v>
      </c>
      <c r="F4" s="1550"/>
      <c r="G4" s="1550"/>
      <c r="H4" s="1550"/>
      <c r="I4" s="1550"/>
      <c r="J4" s="1551"/>
      <c r="K4" s="2738"/>
      <c r="L4" s="1543" t="s">
        <v>1600</v>
      </c>
      <c r="M4" s="1544">
        <f>SUMPRODUCT((区片价!B55:B86=I2)*(区片价!C3:G3=E2)*(区片价!C55:G86))</f>
        <v>0</v>
      </c>
      <c r="N4" s="1545">
        <f>SUMPRODUCT((因素修正幅度!B55:B86=I2)*(因素修正幅度!C3:G3=E2)*(因素修正幅度!C55:G86))</f>
        <v>0</v>
      </c>
      <c r="O4" s="2738"/>
      <c r="P4" s="1788"/>
      <c r="Q4" s="1788"/>
      <c r="R4" s="2232">
        <v>3</v>
      </c>
      <c r="S4" s="2232">
        <f>ROUND(SUMPRODUCT((B107:B111=R4)*(C106:N106=G2)*(C107:N111)),4)</f>
        <v>0.96940000000000004</v>
      </c>
      <c r="T4" s="2232" t="e">
        <f t="shared" si="0"/>
        <v>#DIV/0!</v>
      </c>
      <c r="U4" s="2222"/>
      <c r="V4" s="2232" t="e">
        <f t="shared" si="1"/>
        <v>#DIV/0!</v>
      </c>
      <c r="W4" s="1788"/>
      <c r="X4" s="1788"/>
      <c r="Y4" s="1788"/>
      <c r="Z4" s="1788"/>
      <c r="AA4" s="1788"/>
      <c r="AB4" s="1788"/>
      <c r="AC4" s="1789"/>
    </row>
    <row r="5" spans="1:39" s="1202" customFormat="1" ht="15.75" thickBot="1">
      <c r="A5" s="1358" t="s">
        <v>1352</v>
      </c>
      <c r="B5" s="1196" t="s">
        <v>859</v>
      </c>
      <c r="C5" s="942" t="e">
        <f>ROUND(IF(E2="商业",C6*C7*C17+C20,(IF(E2="住宅",C6*C13*C17+C20,IF(E2="办公",C6*C12*C17+C20,C6+C20)))),0)</f>
        <v>#DIV/0!</v>
      </c>
      <c r="D5" s="2357" t="e">
        <f>ROUND(C6*C17+C20,0)</f>
        <v>#DIV/0!</v>
      </c>
      <c r="E5" s="2357"/>
      <c r="F5" s="1197"/>
      <c r="G5" s="1198"/>
      <c r="H5" s="1198"/>
      <c r="I5" s="1198"/>
      <c r="J5" s="1199"/>
      <c r="K5" s="2739"/>
      <c r="L5" s="1543" t="s">
        <v>1601</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0.82299999999999995</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0</v>
      </c>
      <c r="D6" s="3252" t="s">
        <v>1228</v>
      </c>
      <c r="E6" s="1203"/>
      <c r="F6" s="1203"/>
      <c r="G6" s="3253"/>
      <c r="H6" s="3253"/>
      <c r="I6" s="3253"/>
      <c r="J6" s="3254"/>
      <c r="K6" s="1788"/>
      <c r="L6" s="1543" t="s">
        <v>1602</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0.74980000000000002</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75" thickBot="1">
      <c r="A7" s="3255" t="s">
        <v>3191</v>
      </c>
      <c r="B7" s="1204" t="s">
        <v>860</v>
      </c>
      <c r="C7" s="3256" t="e">
        <f>IF(C8="不临65条商业街",1,ROUND(1+(1.6*E8+1.2*E9+0.8*E10+0.4*E11)*C9,4))</f>
        <v>#DIV/0!</v>
      </c>
      <c r="D7" s="3257" t="s">
        <v>861</v>
      </c>
      <c r="E7" s="3258"/>
      <c r="F7" s="3259"/>
      <c r="G7" s="3259"/>
      <c r="H7" s="3259"/>
      <c r="I7" s="3259"/>
      <c r="J7" s="3260"/>
      <c r="K7" s="1788"/>
      <c r="L7" s="1543" t="s">
        <v>1603</v>
      </c>
      <c r="M7" s="1544">
        <f>SUMPRODUCT((区片价!B190:B233=I2)*(区片价!C3:G3=E2)*(区片价!C190:G233))</f>
        <v>0</v>
      </c>
      <c r="N7" s="1545">
        <f>SUMPRODUCT((因素修正幅度!B190:B233=I2)*(因素修正幅度!C3:G3=E2)*(因素修正幅度!C190:G233))</f>
        <v>0</v>
      </c>
      <c r="O7" s="1788"/>
      <c r="P7" s="2742"/>
      <c r="Q7" s="1788"/>
      <c r="R7" s="2232">
        <v>6</v>
      </c>
      <c r="S7" s="2222"/>
      <c r="T7" s="2232" t="e">
        <f t="shared" si="0"/>
        <v>#DIV/0!</v>
      </c>
      <c r="U7" s="2222"/>
      <c r="V7" s="2232" t="e">
        <f t="shared" si="1"/>
        <v>#DIV/0!</v>
      </c>
      <c r="W7" s="2230" t="s">
        <v>2045</v>
      </c>
      <c r="X7" s="2223" t="str">
        <f>G2</f>
        <v>九级</v>
      </c>
      <c r="Y7" s="2223" t="s">
        <v>2046</v>
      </c>
      <c r="Z7" s="2224">
        <f>G3</f>
        <v>0</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739" t="s">
        <v>2059</v>
      </c>
      <c r="X8" s="3740"/>
      <c r="Y8" s="1537" t="s">
        <v>2047</v>
      </c>
      <c r="Z8" s="1537" t="s">
        <v>2048</v>
      </c>
      <c r="AA8" s="1537" t="s">
        <v>2049</v>
      </c>
      <c r="AB8" s="1537" t="s">
        <v>2050</v>
      </c>
      <c r="AC8" s="1537" t="s">
        <v>2051</v>
      </c>
      <c r="AD8" s="1537" t="s">
        <v>2052</v>
      </c>
      <c r="AE8" s="1537" t="s">
        <v>2053</v>
      </c>
      <c r="AF8" s="1537" t="s">
        <v>2054</v>
      </c>
      <c r="AG8" s="1537" t="s">
        <v>2055</v>
      </c>
      <c r="AH8" s="1537" t="s">
        <v>2056</v>
      </c>
      <c r="AI8" s="1537" t="s">
        <v>2057</v>
      </c>
      <c r="AJ8" s="1537" t="s">
        <v>2058</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738"/>
      <c r="X9" s="2227" t="s">
        <v>3214</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738"/>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5" thickBot="1">
      <c r="A12" s="3255" t="s">
        <v>3192</v>
      </c>
      <c r="B12" s="3237" t="s">
        <v>3193</v>
      </c>
      <c r="C12" s="3243">
        <v>1.02</v>
      </c>
      <c r="D12" s="3238" t="s">
        <v>3194</v>
      </c>
      <c r="E12" s="3239" t="s">
        <v>3195</v>
      </c>
      <c r="F12" s="3240"/>
      <c r="G12" s="3241"/>
      <c r="H12" s="3241"/>
      <c r="I12" s="3241"/>
      <c r="J12" s="3242"/>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15.75" thickBot="1">
      <c r="A13" s="3255" t="s">
        <v>3196</v>
      </c>
      <c r="B13" s="1209" t="s">
        <v>874</v>
      </c>
      <c r="C13" s="3256">
        <f>ROUND(C16*D16*E16*F16*G16*H16*I16*J16,4)</f>
        <v>0</v>
      </c>
      <c r="D13" s="3274" t="s">
        <v>3197</v>
      </c>
      <c r="E13" s="3275"/>
      <c r="F13" s="3275"/>
      <c r="G13" s="3275"/>
      <c r="H13" s="3275"/>
      <c r="I13" s="3275"/>
      <c r="J13" s="3276"/>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7"/>
      <c r="B14" s="1213" t="s">
        <v>1229</v>
      </c>
      <c r="C14" s="3193" t="s">
        <v>1230</v>
      </c>
      <c r="D14" s="1215" t="s">
        <v>1231</v>
      </c>
      <c r="E14" s="749" t="s">
        <v>3198</v>
      </c>
      <c r="F14" s="3278" t="s">
        <v>1178</v>
      </c>
      <c r="G14" s="3278" t="s">
        <v>1178</v>
      </c>
      <c r="H14" s="3279" t="s">
        <v>1178</v>
      </c>
      <c r="I14" s="3279" t="s">
        <v>1178</v>
      </c>
      <c r="J14" s="3279" t="s">
        <v>1178</v>
      </c>
      <c r="K14" s="2740"/>
      <c r="L14" s="2740"/>
      <c r="M14" s="2740"/>
      <c r="N14" s="2740"/>
      <c r="O14" s="2740"/>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7"/>
      <c r="B15" s="1215"/>
      <c r="C15" s="3280"/>
      <c r="D15" s="3281"/>
      <c r="E15" s="3282"/>
      <c r="F15" s="3282"/>
      <c r="G15" s="1036" t="s">
        <v>3199</v>
      </c>
      <c r="H15" s="3246"/>
      <c r="I15" s="3247"/>
      <c r="J15" s="3248"/>
      <c r="K15" s="3249"/>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4" t="s">
        <v>3200</v>
      </c>
      <c r="B17" s="3285" t="s">
        <v>3201</v>
      </c>
      <c r="C17" s="3293">
        <f>ROUND(IF(OR(E2="工业",E2="公共服务"),1,IF(AND(E18=0,E19=0),1,IF(AND(E18=J24,E19=G19),0.8,IF(E19=0,1+E17*(-0.2),1+E17*G17*(-0.2))))),4)</f>
        <v>1</v>
      </c>
      <c r="D17" s="3286" t="s">
        <v>3202</v>
      </c>
      <c r="E17" s="3293" t="e">
        <f>ROUND(G18/I18,2)</f>
        <v>#DIV/0!</v>
      </c>
      <c r="F17" s="3286" t="s">
        <v>3205</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3203</v>
      </c>
      <c r="E18" s="3292"/>
      <c r="F18" s="3289" t="s">
        <v>3206</v>
      </c>
      <c r="G18" s="3291">
        <f>ROUND(1-(1/(POWER(1+G24,E18))),4)</f>
        <v>0</v>
      </c>
      <c r="H18" s="3289" t="s">
        <v>3208</v>
      </c>
      <c r="I18" s="3291">
        <f>ROUND(1-(1/(POWER(1+G24,J24))),4)</f>
        <v>0</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3204</v>
      </c>
      <c r="E19" s="3294"/>
      <c r="F19" s="3290" t="s">
        <v>3207</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49" t="s">
        <v>1370</v>
      </c>
      <c r="B20" s="1204" t="s">
        <v>875</v>
      </c>
      <c r="C20" s="946" t="e">
        <f>ROUND(IF(F21="与级别开发程度一致",0,(G21-E21)/C21),0)</f>
        <v>#DIV/0!</v>
      </c>
      <c r="D20" s="3744" t="s">
        <v>879</v>
      </c>
      <c r="E20" s="3745"/>
      <c r="F20" s="3744" t="s">
        <v>876</v>
      </c>
      <c r="G20" s="3745"/>
      <c r="H20" s="1216"/>
      <c r="I20" s="1216"/>
      <c r="J20" s="1216"/>
      <c r="K20" s="1216"/>
      <c r="L20" s="1216"/>
      <c r="M20" s="1216"/>
      <c r="N20" s="1216"/>
      <c r="O20" s="2410"/>
      <c r="P20" s="1788"/>
      <c r="Q20" s="1791"/>
      <c r="R20" s="1794"/>
      <c r="S20" s="1794"/>
      <c r="T20" s="1794"/>
      <c r="U20" s="1794"/>
      <c r="V20" s="1794"/>
      <c r="W20" s="1794"/>
      <c r="X20" s="1794"/>
      <c r="Y20" s="1220"/>
      <c r="Z20" s="1220"/>
      <c r="AA20" s="1220"/>
      <c r="AB20" s="1220"/>
      <c r="AC20" s="1220"/>
      <c r="AD20" s="1220"/>
    </row>
    <row r="21" spans="1:40" s="1202" customFormat="1" ht="15" thickBot="1">
      <c r="A21" s="3750"/>
      <c r="B21" s="2411" t="s">
        <v>878</v>
      </c>
      <c r="C21" s="2412">
        <f>IF(E3="M4科研用地",SUMPRODUCT((修正!A2:A7=E3)*(修正!B1:M1=G2)*(修正!B2:M7)),SUMPRODUCT((修正!A2:A7=E2)*(修正!B1:M1=G2)*(修正!B2:M7)))</f>
        <v>0</v>
      </c>
      <c r="D21" s="2413" t="str">
        <f>IF(OR(G2="八级",G2="九级",G2="十级",G2="十一级",G2="十二级"),"五通一平","七通一平")</f>
        <v>五通一平</v>
      </c>
      <c r="E21" s="2403">
        <f>SUMPRODUCT((修正!B1:M1=G2)*(修正!B17:M17))</f>
        <v>185</v>
      </c>
      <c r="F21" s="2404"/>
      <c r="G21" s="2403">
        <f>SUM(H21:O21)</f>
        <v>0</v>
      </c>
      <c r="H21" s="945">
        <f>SUMPRODUCT((七通一平=H20)*(修正!B1:M1=G2)*(修正!B8:M16))</f>
        <v>0</v>
      </c>
      <c r="I21" s="945">
        <f>SUMPRODUCT((七通一平=I20)*(修正!B1:M1=G2)*(修正!B8:M16))</f>
        <v>0</v>
      </c>
      <c r="J21" s="945">
        <f>SUMPRODUCT((七通一平=J20)*(修正!B1:M1=G2)*(修正!B8:M16))</f>
        <v>0</v>
      </c>
      <c r="K21" s="945">
        <f>SUMPRODUCT((七通一平=K20)*(修正!B1:M1=G2)*(修正!B8:M16))</f>
        <v>0</v>
      </c>
      <c r="L21" s="945">
        <f>SUMPRODUCT((七通一平=L20)*(修正!B1:M1=G2)*(修正!B8:M16))</f>
        <v>0</v>
      </c>
      <c r="M21" s="945">
        <f>SUMPRODUCT((七通一平=M20)*(修正!B1:M1=G2)*(修正!B8:M16))</f>
        <v>0</v>
      </c>
      <c r="N21" s="945">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0</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2" t="s">
        <v>882</v>
      </c>
      <c r="E23" s="948">
        <v>44197</v>
      </c>
      <c r="F23" s="1222" t="s">
        <v>883</v>
      </c>
      <c r="G23" s="949">
        <f>'数据-取费表'!B2</f>
        <v>45615</v>
      </c>
      <c r="H23" s="1223" t="s">
        <v>2245</v>
      </c>
      <c r="I23" s="2100" t="str">
        <f>IF(H23="季度增幅（自定义）",SUMIF(N25:N28,E2,O25:O28),"")</f>
        <v/>
      </c>
      <c r="J23" s="3295" t="s">
        <v>3258</v>
      </c>
      <c r="K23" s="2739"/>
      <c r="L23" s="2322" t="s">
        <v>2115</v>
      </c>
      <c r="M23" s="2323">
        <f>ROUND(SUMIF(地价!B2:F2,E2,地价!B41:F41),0)</f>
        <v>0</v>
      </c>
      <c r="N23" s="2102" t="s">
        <v>1211</v>
      </c>
      <c r="O23" s="2101">
        <f>ROUNDDOWN(DATEDIF(E23,G23,"M")/3,0)</f>
        <v>15</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4.75" thickBot="1">
      <c r="A24" s="2094" t="s">
        <v>1365</v>
      </c>
      <c r="B24" s="2095" t="s">
        <v>896</v>
      </c>
      <c r="C24" s="2096" t="e">
        <f>ROUND(POWER(1+G24,J24-I24)*(POWER(1+G24,I24)-1)/(POWER(1+G24,J24)-1),4)</f>
        <v>#DIV/0!</v>
      </c>
      <c r="D24" s="2097" t="s">
        <v>897</v>
      </c>
      <c r="E24" s="2349">
        <f>存贷款利率!E27/100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4" t="s">
        <v>2116</v>
      </c>
      <c r="M24" s="2398">
        <f>ROUND(SUMPRODUCT((地价!A4:A41=YEAR(G23)&amp;"-"&amp;ROUNDUP(MONTH(G23)/3,0))*(地价!B2:F2=E2)*(地价!B4:F41)),0)</f>
        <v>0</v>
      </c>
      <c r="N24" s="2105" t="s">
        <v>1927</v>
      </c>
      <c r="O24" s="2103" t="s">
        <v>1926</v>
      </c>
      <c r="P24" s="2104" t="s">
        <v>1931</v>
      </c>
      <c r="Q24" s="2221"/>
      <c r="R24" s="1794"/>
      <c r="S24" s="1794"/>
      <c r="T24" s="1794"/>
      <c r="U24" s="1794"/>
      <c r="V24" s="1794"/>
      <c r="W24" s="1794"/>
      <c r="X24" s="1794"/>
      <c r="Y24" s="1220"/>
      <c r="Z24" s="1220"/>
      <c r="AA24" s="1220"/>
      <c r="AB24" s="1220"/>
      <c r="AC24" s="1220"/>
      <c r="AD24" s="1220"/>
    </row>
    <row r="25" spans="1:40" ht="14.25">
      <c r="A25" s="1361" t="s">
        <v>1366</v>
      </c>
      <c r="B25" s="1228" t="s">
        <v>2275</v>
      </c>
      <c r="C25" s="1002">
        <f>IF(B25="容积率修正",IF(G3&lt;10,D26,J26),C27)</f>
        <v>0</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3209</v>
      </c>
      <c r="D26" s="950">
        <f>IF(E26=G26,F26,IF(G3&lt;10,ROUND(F26+(H26-F26)*(G3-E26)/(G26-E26),4),"——"))</f>
        <v>0</v>
      </c>
      <c r="E26" s="940">
        <f>ROUNDDOWN(G3,1)</f>
        <v>0</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0">
        <f>ROUNDUP(G3,1)</f>
        <v>0</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6" t="s">
        <v>3210</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0</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1929</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t="e">
        <f>IF(B25="容积率修正",E33+SUM(E37:E42),SUM(V2:V16)+SUM(E37:E42))</f>
        <v>#DIV/0!</v>
      </c>
      <c r="D30" s="1237"/>
      <c r="E30" s="1184"/>
      <c r="F30" s="1238"/>
      <c r="G30" s="1184"/>
      <c r="H30" s="1184"/>
      <c r="I30" s="1184"/>
      <c r="J30" s="1239"/>
      <c r="K30" s="1788"/>
      <c r="L30" s="1325" t="s">
        <v>833</v>
      </c>
      <c r="M30" s="1205" t="s">
        <v>907</v>
      </c>
      <c r="N30" s="1205" t="s">
        <v>908</v>
      </c>
      <c r="O30" s="1205" t="s">
        <v>835</v>
      </c>
      <c r="P30" s="1224" t="s">
        <v>909</v>
      </c>
      <c r="Q30" s="1224" t="s">
        <v>3236</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t="e">
        <f>E34+SUM(I37:I42)</f>
        <v>#DIV/0!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t="e">
        <f>ROUND(C5*C22*C23*C24*C25*C28,0)</f>
        <v>#DIV/0!</v>
      </c>
      <c r="D33" s="1251"/>
      <c r="E33" s="1537" t="e">
        <f>ROUND(C33*D33/10000,0)</f>
        <v>#DIV/0!</v>
      </c>
      <c r="F33" s="3297" t="s">
        <v>3211</v>
      </c>
      <c r="G33" s="1252"/>
      <c r="H33" s="1252"/>
      <c r="I33" s="1252"/>
      <c r="J33" s="1253"/>
      <c r="K33" s="2743"/>
      <c r="L33" s="3365" t="s">
        <v>3237</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t="e">
        <f>ROUND(IF(E2="工业",C33*M42,IF(B25="楼层修正",SUM(V2:V16)*M41*10000/D34,C33*M41)),0)</f>
        <v>#DIV/0!</v>
      </c>
      <c r="D34" s="1256"/>
      <c r="E34" s="1537" t="e">
        <f>ROUND(IF(B25="楼层修正",SUM(V2:V16)*#REF!,C34*D34/10000),0)</f>
        <v>#DIV/0!</v>
      </c>
      <c r="F34" s="3298" t="s">
        <v>3212</v>
      </c>
      <c r="G34" s="1257"/>
      <c r="H34" s="1257"/>
      <c r="I34" s="1257"/>
      <c r="J34" s="1258"/>
      <c r="K34" s="1788"/>
      <c r="L34" s="3365" t="s">
        <v>3238</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3239</v>
      </c>
      <c r="L36" s="3369">
        <f ca="1">'数据-取费表'!B40</f>
        <v>3.1E-2</v>
      </c>
      <c r="M36" s="3370">
        <f ca="1">ROUND($L$36*(1+M31),3)</f>
        <v>3.9E-2</v>
      </c>
      <c r="N36" s="3370">
        <f ca="1">ROUND($L$36*(1+N31),3)</f>
        <v>3.6999999999999998E-2</v>
      </c>
      <c r="O36" s="3370">
        <f ca="1">ROUND($L$36*(1+O31),3)</f>
        <v>3.5999999999999997E-2</v>
      </c>
      <c r="P36" s="3370">
        <f ca="1">ROUND($L$36*(1+P31),3)</f>
        <v>3.4000000000000002E-2</v>
      </c>
      <c r="Q36" s="3370">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46"/>
      <c r="B37" s="1269" t="s">
        <v>923</v>
      </c>
      <c r="C37" s="953" t="e">
        <f>ROUND(D5*C22*C23*C24*C28*F37,0)</f>
        <v>#DIV/0!</v>
      </c>
      <c r="D37" s="1281"/>
      <c r="E37" s="944" t="e">
        <f>ROUND(C37*D37/10000,0)</f>
        <v>#DIV/0!</v>
      </c>
      <c r="F37" s="944">
        <f>SUMIF(修正!A57:A68,G2,修正!B57:B68)</f>
        <v>0.5</v>
      </c>
      <c r="G37" s="944" t="e">
        <f>ROUND(IF(E2="工业",C37*$M$42,C37*$M$41),0)</f>
        <v>#DIV/0!</v>
      </c>
      <c r="H37" s="944">
        <f>D37</f>
        <v>0</v>
      </c>
      <c r="I37" s="944" t="e">
        <f>ROUND(G37*H37/10000,0)</f>
        <v>#DIV/0!</v>
      </c>
      <c r="J37" s="3746"/>
      <c r="K37" s="3368" t="s">
        <v>3240</v>
      </c>
      <c r="L37" s="3369">
        <f ca="1">L36+K38</f>
        <v>3.5999999999999997E-2</v>
      </c>
      <c r="M37" s="3370">
        <f ca="1">ROUND($L$37*(1+M31),3)</f>
        <v>4.4999999999999998E-2</v>
      </c>
      <c r="N37" s="3370">
        <f t="shared" ref="N37:Q37" ca="1" si="3">ROUND($L$37*(1+N31),3)</f>
        <v>4.2999999999999997E-2</v>
      </c>
      <c r="O37" s="3370">
        <f t="shared" ca="1" si="3"/>
        <v>4.1000000000000002E-2</v>
      </c>
      <c r="P37" s="3370">
        <f t="shared" ca="1" si="3"/>
        <v>0.04</v>
      </c>
      <c r="Q37" s="3370">
        <f t="shared" ca="1" si="3"/>
        <v>4.1000000000000002E-2</v>
      </c>
      <c r="R37" s="1789"/>
      <c r="S37" s="1789"/>
      <c r="T37" s="1789"/>
      <c r="U37" s="1789"/>
      <c r="V37" s="1789"/>
      <c r="W37" s="1788"/>
      <c r="X37" s="1788"/>
      <c r="Y37" s="1788"/>
      <c r="Z37" s="1788"/>
      <c r="AA37" s="1788"/>
      <c r="AB37" s="1788"/>
      <c r="AC37" s="1789"/>
    </row>
    <row r="38" spans="1:44" ht="12.75">
      <c r="A38" s="3747"/>
      <c r="B38" s="1214" t="s">
        <v>924</v>
      </c>
      <c r="C38" s="953" t="e">
        <f>ROUND(D5*C22*C23*C24*C28*F38,0)</f>
        <v>#DIV/0!</v>
      </c>
      <c r="D38" s="1281"/>
      <c r="E38" s="944" t="e">
        <f t="shared" ref="E38:E42" si="4">ROUND(C38*D38/10000,0)</f>
        <v>#DIV/0!</v>
      </c>
      <c r="F38" s="944">
        <f>SUMIF(修正!A57:A68,G2,修正!C57:C68)</f>
        <v>0.2</v>
      </c>
      <c r="G38" s="944" t="e">
        <f>ROUND(IF(E2="工业",C38*$M$42,C38*$M$41),0)</f>
        <v>#DIV/0!</v>
      </c>
      <c r="H38" s="944">
        <f t="shared" ref="H38:H42" si="5">D38</f>
        <v>0</v>
      </c>
      <c r="I38" s="944" t="e">
        <f t="shared" ref="I38:I42" si="6">ROUND(G38*H38/10000,0)</f>
        <v>#DIV/0!</v>
      </c>
      <c r="J38" s="3747"/>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47"/>
      <c r="B39" s="3299" t="s">
        <v>3213</v>
      </c>
      <c r="C39" s="953" t="e">
        <f>ROUND(D5*C22*C23*C24*C28*F39,0)</f>
        <v>#DIV/0!</v>
      </c>
      <c r="D39" s="1281"/>
      <c r="E39" s="944" t="e">
        <f t="shared" si="4"/>
        <v>#DIV/0!</v>
      </c>
      <c r="F39" s="944">
        <f>SUMIF(修正!A57:A68,G2,修正!D57:D68)</f>
        <v>0.2</v>
      </c>
      <c r="G39" s="944" t="e">
        <f>ROUND(IF(E2="工业",C39*$M$42,C39*$M$41),0)</f>
        <v>#DIV/0!</v>
      </c>
      <c r="H39" s="944">
        <f t="shared" si="5"/>
        <v>0</v>
      </c>
      <c r="I39" s="944" t="e">
        <f t="shared" si="6"/>
        <v>#DIV/0!</v>
      </c>
      <c r="J39" s="3747"/>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t="e">
        <f>ROUND(D5*C22*C23*C24*C28*F40,0)</f>
        <v>#DIV/0!</v>
      </c>
      <c r="D40" s="1281"/>
      <c r="E40" s="944" t="e">
        <f t="shared" si="4"/>
        <v>#DIV/0!</v>
      </c>
      <c r="F40" s="953">
        <f>SUMIF(修正!A57:A68,G2,修正!E57:E68)</f>
        <v>0.2</v>
      </c>
      <c r="G40" s="944" t="e">
        <f>ROUND(IF(E2="工业",C40*$M$42,C40*$M$41),0)</f>
        <v>#DIV/0!</v>
      </c>
      <c r="H40" s="944">
        <f t="shared" si="5"/>
        <v>0</v>
      </c>
      <c r="I40" s="944" t="e">
        <f t="shared" si="6"/>
        <v>#DIV/0!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t="e">
        <f>ROUND(D5*C22*C23*C44*C28*F41,0)</f>
        <v>#DIV/0!</v>
      </c>
      <c r="D41" s="1281"/>
      <c r="E41" s="944" t="e">
        <f t="shared" si="4"/>
        <v>#DIV/0!</v>
      </c>
      <c r="F41" s="953">
        <f>SUMIF(修正!A57:A68,G2,修正!F57:F68)</f>
        <v>0.2</v>
      </c>
      <c r="G41" s="944" t="e">
        <f>ROUND(IF(E2="工业",C41*$M$42,C41*$M$41),0)</f>
        <v>#DIV/0!</v>
      </c>
      <c r="H41" s="944">
        <f t="shared" si="5"/>
        <v>0</v>
      </c>
      <c r="I41" s="944" t="e">
        <f t="shared" si="6"/>
        <v>#DIV/0!</v>
      </c>
      <c r="J41" s="1270"/>
      <c r="K41" s="1788"/>
      <c r="L41" s="3371" t="s">
        <v>3241</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t="e">
        <f>ROUND(D5*C22*C23*C44*C28*F42,0)</f>
        <v>#DIV/0!</v>
      </c>
      <c r="D42" s="1282"/>
      <c r="E42" s="945" t="e">
        <f t="shared" si="4"/>
        <v>#DIV/0!</v>
      </c>
      <c r="F42" s="955">
        <f>SUMIF(修正!A57:A68,G2,修正!G57:G68)</f>
        <v>0.1</v>
      </c>
      <c r="G42" s="945" t="e">
        <f>ROUND(IF(E2="工业",C42*$M$42,C42*$M$41),0)</f>
        <v>#DIV/0!</v>
      </c>
      <c r="H42" s="945">
        <f t="shared" si="5"/>
        <v>0</v>
      </c>
      <c r="I42" s="945" t="e">
        <f t="shared" si="6"/>
        <v>#DIV/0!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2241</v>
      </c>
      <c r="C44" s="772" t="e">
        <f>ROUND(POWER(1+E44,H44-G44)*(POWER(1+E44,G44)-1)/(POWER(1+E44,H44)-1),4)</f>
        <v>#DIV/0!</v>
      </c>
      <c r="D44" s="347" t="s">
        <v>2239</v>
      </c>
      <c r="E44" s="2394">
        <f>G24</f>
        <v>0</v>
      </c>
      <c r="F44" s="347" t="s">
        <v>2240</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c r="A52" s="3300" t="s">
        <v>3215</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c r="A53" s="3317" t="s">
        <v>945</v>
      </c>
      <c r="B53" s="3333" t="s">
        <v>2198</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c r="A55" s="3317" t="s">
        <v>947</v>
      </c>
      <c r="B55" s="3334" t="s">
        <v>2197</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c r="A63" s="3300" t="s">
        <v>3215</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c r="A64" s="3317" t="s">
        <v>945</v>
      </c>
      <c r="B64" s="3333" t="s">
        <v>2199</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c r="A66" s="3317" t="s">
        <v>947</v>
      </c>
      <c r="B66" s="3334" t="s">
        <v>2197</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c r="A74" s="3300" t="s">
        <v>3215</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c r="A78" s="3317" t="s">
        <v>947</v>
      </c>
      <c r="B78" s="3334" t="s">
        <v>2197</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c r="D83" s="3326">
        <f t="shared" ref="D83:D90" si="22">SUMIF($J$82:$N$82,C83,J83:N83)</f>
        <v>0</v>
      </c>
      <c r="E83" s="3327">
        <f>ROUND(SUM(D83:D90),4)</f>
        <v>0</v>
      </c>
      <c r="F83" s="3328" t="str">
        <f>IF(E2="工业",SUMIF(L1:L12,G2,N1:N12),"——")</f>
        <v>——</v>
      </c>
      <c r="G83" s="3329"/>
      <c r="H83" s="3330" t="str">
        <f t="shared" ref="H83:H90" si="23">IFERROR(ROUNDDOWN($F$83*I83/2,4),"——")</f>
        <v>——</v>
      </c>
      <c r="I83" s="3305">
        <v>0.26</v>
      </c>
      <c r="J83" s="3331">
        <f t="shared" ref="J83:J90" si="24">K83+$G83</f>
        <v>0</v>
      </c>
      <c r="K83" s="3331">
        <f t="shared" ref="K83:K90" si="25">$L83+$G83</f>
        <v>0</v>
      </c>
      <c r="L83" s="3331">
        <v>0</v>
      </c>
      <c r="M83" s="3331">
        <f t="shared" ref="M83:N90" si="26">L83-$G83</f>
        <v>0</v>
      </c>
      <c r="N83" s="3331">
        <f t="shared" si="26"/>
        <v>0</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c r="D84" s="3326">
        <f t="shared" si="22"/>
        <v>0</v>
      </c>
      <c r="E84" s="3332"/>
      <c r="F84" s="3328"/>
      <c r="G84" s="3329"/>
      <c r="H84" s="3330" t="str">
        <f t="shared" si="23"/>
        <v>——</v>
      </c>
      <c r="I84" s="3305">
        <v>0.3</v>
      </c>
      <c r="J84" s="3331">
        <f t="shared" si="24"/>
        <v>0</v>
      </c>
      <c r="K84" s="3331">
        <f t="shared" si="25"/>
        <v>0</v>
      </c>
      <c r="L84" s="3331">
        <v>0</v>
      </c>
      <c r="M84" s="3331">
        <f t="shared" si="26"/>
        <v>0</v>
      </c>
      <c r="N84" s="3331">
        <f t="shared" si="26"/>
        <v>0</v>
      </c>
      <c r="AE84" s="3312"/>
      <c r="AF84" s="3312"/>
      <c r="AG84" s="3312"/>
      <c r="AH84" s="3312"/>
      <c r="AI84" s="3312"/>
      <c r="AJ84" s="3312"/>
    </row>
    <row r="85" spans="1:36" s="1273" customFormat="1" ht="24">
      <c r="A85" s="3317" t="s">
        <v>944</v>
      </c>
      <c r="B85" s="3318">
        <f>估价对象房地状况!G17</f>
        <v>0</v>
      </c>
      <c r="C85" s="3325"/>
      <c r="D85" s="3326">
        <f t="shared" si="22"/>
        <v>0</v>
      </c>
      <c r="E85" s="3332"/>
      <c r="F85" s="3328"/>
      <c r="G85" s="3329"/>
      <c r="H85" s="3330" t="str">
        <f t="shared" si="23"/>
        <v>——</v>
      </c>
      <c r="I85" s="3305">
        <v>0.1</v>
      </c>
      <c r="J85" s="3331">
        <f t="shared" si="24"/>
        <v>0</v>
      </c>
      <c r="K85" s="3331">
        <f t="shared" si="25"/>
        <v>0</v>
      </c>
      <c r="L85" s="3331">
        <v>0</v>
      </c>
      <c r="M85" s="3331">
        <f t="shared" si="26"/>
        <v>0</v>
      </c>
      <c r="N85" s="3331">
        <f t="shared" si="26"/>
        <v>0</v>
      </c>
      <c r="AE85" s="3312"/>
      <c r="AF85" s="3312"/>
      <c r="AG85" s="3312"/>
      <c r="AH85" s="3312"/>
      <c r="AI85" s="3312"/>
      <c r="AJ85" s="3312"/>
    </row>
    <row r="86" spans="1:36" s="1273" customFormat="1" ht="14.25">
      <c r="A86" s="3317" t="s">
        <v>956</v>
      </c>
      <c r="B86" s="3318">
        <f>估价对象房地状况!G22</f>
        <v>0</v>
      </c>
      <c r="C86" s="3325"/>
      <c r="D86" s="3326">
        <f t="shared" si="22"/>
        <v>0</v>
      </c>
      <c r="E86" s="3332"/>
      <c r="F86" s="3328"/>
      <c r="G86" s="3329"/>
      <c r="H86" s="3330" t="str">
        <f t="shared" si="23"/>
        <v>——</v>
      </c>
      <c r="I86" s="3305">
        <v>0.05</v>
      </c>
      <c r="J86" s="3331">
        <f t="shared" si="24"/>
        <v>0</v>
      </c>
      <c r="K86" s="3331">
        <f t="shared" si="25"/>
        <v>0</v>
      </c>
      <c r="L86" s="3331">
        <v>0</v>
      </c>
      <c r="M86" s="3331">
        <f t="shared" si="26"/>
        <v>0</v>
      </c>
      <c r="N86" s="3331">
        <f t="shared" si="26"/>
        <v>0</v>
      </c>
      <c r="AE86" s="3312"/>
      <c r="AF86" s="3312"/>
      <c r="AG86" s="3312"/>
      <c r="AH86" s="3312"/>
      <c r="AI86" s="3312"/>
      <c r="AJ86" s="3312"/>
    </row>
    <row r="87" spans="1:36" s="1273" customFormat="1" ht="24">
      <c r="A87" s="3317" t="s">
        <v>948</v>
      </c>
      <c r="B87" s="3336" t="str">
        <f>估价对象房地状况!G19</f>
        <v>估价对象所在区域公共配套设施齐备情况</v>
      </c>
      <c r="C87" s="3325"/>
      <c r="D87" s="3326">
        <f t="shared" si="22"/>
        <v>0</v>
      </c>
      <c r="E87" s="3332"/>
      <c r="F87" s="3328"/>
      <c r="G87" s="3329"/>
      <c r="H87" s="3330" t="str">
        <f t="shared" si="23"/>
        <v>——</v>
      </c>
      <c r="I87" s="3305">
        <v>0.06</v>
      </c>
      <c r="J87" s="3331">
        <f t="shared" si="24"/>
        <v>0</v>
      </c>
      <c r="K87" s="3331">
        <f t="shared" si="25"/>
        <v>0</v>
      </c>
      <c r="L87" s="3331">
        <v>0</v>
      </c>
      <c r="M87" s="3331">
        <f t="shared" si="26"/>
        <v>0</v>
      </c>
      <c r="N87" s="3331">
        <f t="shared" si="26"/>
        <v>0</v>
      </c>
      <c r="AE87" s="3312"/>
      <c r="AF87" s="3312"/>
      <c r="AG87" s="3312"/>
      <c r="AH87" s="3312"/>
      <c r="AI87" s="3312"/>
      <c r="AJ87" s="3312"/>
    </row>
    <row r="88" spans="1:36" s="1273" customFormat="1" ht="24">
      <c r="A88" s="3317" t="s">
        <v>949</v>
      </c>
      <c r="B88" s="3336" t="str">
        <f>估价对象房地状况!G20</f>
        <v>估价对象所在区域基础设施水平</v>
      </c>
      <c r="C88" s="3325"/>
      <c r="D88" s="3326">
        <f t="shared" si="22"/>
        <v>0</v>
      </c>
      <c r="E88" s="3332"/>
      <c r="F88" s="3328"/>
      <c r="G88" s="3329"/>
      <c r="H88" s="3330" t="str">
        <f t="shared" si="23"/>
        <v>——</v>
      </c>
      <c r="I88" s="3305">
        <v>0.12</v>
      </c>
      <c r="J88" s="3331">
        <f t="shared" si="24"/>
        <v>0</v>
      </c>
      <c r="K88" s="3331">
        <f t="shared" si="25"/>
        <v>0</v>
      </c>
      <c r="L88" s="3331">
        <v>0</v>
      </c>
      <c r="M88" s="3331">
        <f t="shared" si="26"/>
        <v>0</v>
      </c>
      <c r="N88" s="3331">
        <f t="shared" si="26"/>
        <v>0</v>
      </c>
      <c r="AE88" s="3312"/>
      <c r="AF88" s="3312"/>
      <c r="AG88" s="3312"/>
      <c r="AH88" s="3312"/>
      <c r="AI88" s="3312"/>
      <c r="AJ88" s="3312"/>
    </row>
    <row r="89" spans="1:36" s="1273" customFormat="1" ht="24">
      <c r="A89" s="3317" t="s">
        <v>947</v>
      </c>
      <c r="B89" s="3334" t="s">
        <v>2197</v>
      </c>
      <c r="C89" s="3325"/>
      <c r="D89" s="3326">
        <f t="shared" si="22"/>
        <v>0</v>
      </c>
      <c r="E89" s="3332"/>
      <c r="F89" s="3328"/>
      <c r="G89" s="3329"/>
      <c r="H89" s="3330" t="str">
        <f t="shared" si="23"/>
        <v>——</v>
      </c>
      <c r="I89" s="3305">
        <v>0.06</v>
      </c>
      <c r="J89" s="3331">
        <f t="shared" si="24"/>
        <v>0</v>
      </c>
      <c r="K89" s="3331">
        <f t="shared" si="25"/>
        <v>0</v>
      </c>
      <c r="L89" s="3331">
        <v>0</v>
      </c>
      <c r="M89" s="3331">
        <f t="shared" si="26"/>
        <v>0</v>
      </c>
      <c r="N89" s="3331">
        <f t="shared" si="26"/>
        <v>0</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c r="D90" s="3326">
        <f t="shared" si="22"/>
        <v>0</v>
      </c>
      <c r="E90" s="3339"/>
      <c r="F90" s="3328"/>
      <c r="G90" s="3329"/>
      <c r="H90" s="3330" t="str">
        <f t="shared" si="23"/>
        <v>——</v>
      </c>
      <c r="I90" s="3307">
        <v>0.05</v>
      </c>
      <c r="J90" s="3331">
        <f t="shared" si="24"/>
        <v>0</v>
      </c>
      <c r="K90" s="3331">
        <f t="shared" si="25"/>
        <v>0</v>
      </c>
      <c r="L90" s="3331">
        <v>0</v>
      </c>
      <c r="M90" s="3331">
        <f t="shared" si="26"/>
        <v>0</v>
      </c>
      <c r="N90" s="3331">
        <f t="shared" si="26"/>
        <v>0</v>
      </c>
      <c r="AE90" s="3312"/>
      <c r="AF90" s="3312"/>
      <c r="AG90" s="3312"/>
      <c r="AH90" s="3312"/>
      <c r="AI90" s="3312"/>
      <c r="AJ90" s="3312"/>
    </row>
    <row r="91" spans="1:36" s="1273" customFormat="1" ht="15">
      <c r="A91" s="3301" t="s">
        <v>3224</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c r="A92" s="3302" t="s">
        <v>3225</v>
      </c>
      <c r="B92" s="3302"/>
      <c r="C92" s="3302" t="s">
        <v>3230</v>
      </c>
      <c r="D92" s="3302" t="s">
        <v>3217</v>
      </c>
      <c r="E92" s="345" t="s">
        <v>3218</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3" customFormat="1" ht="24">
      <c r="A93" s="3356" t="s">
        <v>3226</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3" customFormat="1" ht="36">
      <c r="A94" s="3302" t="s">
        <v>3227</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3" customFormat="1" ht="36">
      <c r="A95" s="3356" t="s">
        <v>3215</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3" customFormat="1" ht="36.75">
      <c r="A96" s="3302" t="s">
        <v>3219</v>
      </c>
      <c r="B96" s="3306" t="s">
        <v>3220</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3" customFormat="1" ht="24">
      <c r="A97" s="3302" t="s">
        <v>3221</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3" customFormat="1" ht="24">
      <c r="A98" s="3302" t="s">
        <v>3228</v>
      </c>
      <c r="B98" s="3333" t="s">
        <v>2197</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3" customFormat="1" ht="24">
      <c r="A99" s="3302" t="s">
        <v>3229</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3" customFormat="1" ht="24">
      <c r="A100" s="3302" t="s">
        <v>3222</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3" customFormat="1" ht="24.75" thickBot="1">
      <c r="A101" s="3302" t="s">
        <v>3223</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3"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51" t="s">
        <v>1172</v>
      </c>
      <c r="B104" s="3751"/>
      <c r="C104" s="3751"/>
      <c r="D104" s="3751"/>
      <c r="E104" s="3751"/>
      <c r="F104" s="3751"/>
      <c r="G104" s="3751"/>
      <c r="H104" s="3751"/>
      <c r="I104" s="3751"/>
      <c r="J104" s="3751"/>
      <c r="K104" s="999"/>
      <c r="L104" s="999"/>
      <c r="M104" s="999"/>
      <c r="N104" s="999"/>
    </row>
    <row r="105" spans="1:36">
      <c r="A105" s="3752" t="s">
        <v>1161</v>
      </c>
      <c r="B105" s="3752" t="s">
        <v>1173</v>
      </c>
      <c r="C105" s="987" t="s">
        <v>1174</v>
      </c>
      <c r="D105" s="988"/>
      <c r="E105" s="988"/>
      <c r="F105" s="988"/>
      <c r="G105" s="988"/>
      <c r="H105" s="988"/>
      <c r="I105" s="988"/>
      <c r="J105" s="989"/>
      <c r="K105" s="982"/>
      <c r="L105" s="982"/>
      <c r="M105" s="982"/>
      <c r="N105" s="982"/>
    </row>
    <row r="106" spans="1:36">
      <c r="A106" s="3752"/>
      <c r="B106" s="3752"/>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41" t="s">
        <v>2044</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42"/>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42"/>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42"/>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42"/>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42"/>
      <c r="B112" s="990" t="s">
        <v>3231</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743"/>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48" t="s">
        <v>1175</v>
      </c>
      <c r="B114" s="3748"/>
      <c r="C114" s="3748"/>
      <c r="D114" s="3748"/>
      <c r="E114" s="3748"/>
      <c r="F114" s="3748"/>
      <c r="G114" s="3748"/>
      <c r="H114" s="3748"/>
      <c r="I114" s="3748"/>
      <c r="J114" s="3748"/>
      <c r="K114" s="1967"/>
      <c r="L114" s="1967"/>
      <c r="M114" s="1967"/>
      <c r="N114" s="1967"/>
    </row>
    <row r="116" spans="1:14" ht="12.75" thickBot="1"/>
    <row r="117" spans="1:14" ht="25.5" thickBot="1">
      <c r="A117" s="925" t="s">
        <v>831</v>
      </c>
      <c r="B117" s="1968">
        <f>G3</f>
        <v>0</v>
      </c>
      <c r="C117" s="926" t="s">
        <v>832</v>
      </c>
      <c r="D117" s="927" t="e">
        <f>SUMPRODUCT((A118:A122=F116)*(B117:M117=H116)*B118:M122)</f>
        <v>#VALUE!</v>
      </c>
      <c r="E117" s="928" t="s">
        <v>833</v>
      </c>
      <c r="F117" s="929">
        <f>E2</f>
        <v>0</v>
      </c>
      <c r="G117" s="928" t="s">
        <v>834</v>
      </c>
      <c r="H117" s="929" t="str">
        <f>G2</f>
        <v>九级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3232</v>
      </c>
      <c r="B119" s="3303">
        <f>ROUND(0.9968-0.011*B117,4)</f>
        <v>0.99680000000000002</v>
      </c>
      <c r="C119" s="3303">
        <f>B119</f>
        <v>0.99680000000000002</v>
      </c>
      <c r="D119" s="3303">
        <f>ROUND(0.949-0.014*B117,4)</f>
        <v>0.94899999999999995</v>
      </c>
      <c r="E119" s="3303">
        <f>D119</f>
        <v>0.94899999999999995</v>
      </c>
      <c r="F119" s="3303">
        <f>E119</f>
        <v>0.94899999999999995</v>
      </c>
      <c r="G119" s="3303">
        <f>F119</f>
        <v>0.94899999999999995</v>
      </c>
      <c r="H119" s="3303">
        <f>G119</f>
        <v>0.94899999999999995</v>
      </c>
      <c r="I119" s="3303">
        <f>ROUND(0.8486-0.018*B117,4)</f>
        <v>0.84860000000000002</v>
      </c>
      <c r="J119" s="3303">
        <f t="shared" ref="J119:M123" si="35">I119</f>
        <v>0.84860000000000002</v>
      </c>
      <c r="K119" s="3303">
        <f t="shared" si="35"/>
        <v>0.84860000000000002</v>
      </c>
      <c r="L119" s="3303">
        <f t="shared" si="35"/>
        <v>0.84860000000000002</v>
      </c>
      <c r="M119" s="3362">
        <f t="shared" si="35"/>
        <v>0.84860000000000002</v>
      </c>
    </row>
    <row r="120" spans="1:14" ht="12.75">
      <c r="A120" s="3359" t="s">
        <v>3233</v>
      </c>
      <c r="B120" s="3303">
        <f>ROUND(0.993-0.0112*B117,4)</f>
        <v>0.99299999999999999</v>
      </c>
      <c r="C120" s="3303">
        <f>B120</f>
        <v>0.99299999999999999</v>
      </c>
      <c r="D120" s="3303">
        <f>ROUND(0.9415-0.0142*B117,4)</f>
        <v>0.9415</v>
      </c>
      <c r="E120" s="3303">
        <f t="shared" ref="E120:H121" si="36">D120</f>
        <v>0.9415</v>
      </c>
      <c r="F120" s="3303">
        <f t="shared" si="36"/>
        <v>0.9415</v>
      </c>
      <c r="G120" s="3303">
        <f t="shared" si="36"/>
        <v>0.9415</v>
      </c>
      <c r="H120" s="3303">
        <f t="shared" si="36"/>
        <v>0.9415</v>
      </c>
      <c r="I120" s="3303">
        <f>ROUND(0.838-0.0182*B117,4)</f>
        <v>0.83799999999999997</v>
      </c>
      <c r="J120" s="3303">
        <f t="shared" si="35"/>
        <v>0.83799999999999997</v>
      </c>
      <c r="K120" s="3303">
        <f t="shared" si="35"/>
        <v>0.83799999999999997</v>
      </c>
      <c r="L120" s="3303">
        <f t="shared" si="35"/>
        <v>0.83799999999999997</v>
      </c>
      <c r="M120" s="3362">
        <f t="shared" si="35"/>
        <v>0.83799999999999997</v>
      </c>
    </row>
    <row r="121" spans="1:14" ht="12.75">
      <c r="A121" s="3359" t="s">
        <v>3234</v>
      </c>
      <c r="B121" s="3303">
        <f>ROUND(0.9448-0.0115*B117,4)</f>
        <v>0.94479999999999997</v>
      </c>
      <c r="C121" s="3303">
        <f>B121</f>
        <v>0.94479999999999997</v>
      </c>
      <c r="D121" s="3303">
        <f>ROUND(0.937-0.0145*B117,4)</f>
        <v>0.93700000000000006</v>
      </c>
      <c r="E121" s="3303">
        <f t="shared" si="36"/>
        <v>0.93700000000000006</v>
      </c>
      <c r="F121" s="3303">
        <f t="shared" si="36"/>
        <v>0.93700000000000006</v>
      </c>
      <c r="G121" s="3303">
        <f t="shared" si="36"/>
        <v>0.93700000000000006</v>
      </c>
      <c r="H121" s="3303">
        <f t="shared" si="36"/>
        <v>0.93700000000000006</v>
      </c>
      <c r="I121" s="3303">
        <f>ROUND(0.7965-0.0185*B117,4)</f>
        <v>0.79649999999999999</v>
      </c>
      <c r="J121" s="3303">
        <f t="shared" si="35"/>
        <v>0.79649999999999999</v>
      </c>
      <c r="K121" s="3303">
        <f t="shared" si="35"/>
        <v>0.79649999999999999</v>
      </c>
      <c r="L121" s="3303">
        <f t="shared" si="35"/>
        <v>0.79649999999999999</v>
      </c>
      <c r="M121" s="3362">
        <f t="shared" si="35"/>
        <v>0.79649999999999999</v>
      </c>
    </row>
    <row r="122" spans="1:14" ht="13.5" thickBot="1">
      <c r="A122" s="3360" t="s">
        <v>3235</v>
      </c>
      <c r="B122" s="3363">
        <f>ROUND(0.7836-0.012*B117,4)</f>
        <v>0.78359999999999996</v>
      </c>
      <c r="C122" s="3363">
        <f>B122</f>
        <v>0.78359999999999996</v>
      </c>
      <c r="D122" s="3363">
        <f>ROUND(0.753-0.015*B117,4)</f>
        <v>0.753</v>
      </c>
      <c r="E122" s="3363">
        <f>D122</f>
        <v>0.753</v>
      </c>
      <c r="F122" s="3363">
        <f>E122</f>
        <v>0.753</v>
      </c>
      <c r="G122" s="3363">
        <f>ROUND(0.6612-0.018*B117,4)</f>
        <v>0.66120000000000001</v>
      </c>
      <c r="H122" s="3363">
        <f>G122</f>
        <v>0.66120000000000001</v>
      </c>
      <c r="I122" s="3363">
        <f>ROUND(0.5905-0.019*B117,4)</f>
        <v>0.59050000000000002</v>
      </c>
      <c r="J122" s="3363">
        <f t="shared" si="35"/>
        <v>0.59050000000000002</v>
      </c>
      <c r="K122" s="3363">
        <f t="shared" si="35"/>
        <v>0.59050000000000002</v>
      </c>
      <c r="L122" s="3363">
        <f t="shared" si="35"/>
        <v>0.59050000000000002</v>
      </c>
      <c r="M122" s="3364">
        <f t="shared" si="35"/>
        <v>0.59050000000000002</v>
      </c>
    </row>
    <row r="123" spans="1:14" ht="12.75">
      <c r="A123" s="3361" t="s">
        <v>3216</v>
      </c>
      <c r="B123" s="3303">
        <f>ROUND(0.9404-0.0106*B117,4)</f>
        <v>0.94040000000000001</v>
      </c>
      <c r="C123" s="3303">
        <f>B123</f>
        <v>0.94040000000000001</v>
      </c>
      <c r="D123" s="3303">
        <f>ROUND(0.8955-0.0135*B117,4)</f>
        <v>0.89549999999999996</v>
      </c>
      <c r="E123" s="3303">
        <f t="shared" ref="E123:H123" si="37">D123</f>
        <v>0.89549999999999996</v>
      </c>
      <c r="F123" s="3303">
        <f t="shared" si="37"/>
        <v>0.89549999999999996</v>
      </c>
      <c r="G123" s="3303">
        <f t="shared" si="37"/>
        <v>0.89549999999999996</v>
      </c>
      <c r="H123" s="3303">
        <f t="shared" si="37"/>
        <v>0.89549999999999996</v>
      </c>
      <c r="I123" s="3303">
        <f>ROUND(0.7632-0.0166*B117,4)</f>
        <v>0.76319999999999999</v>
      </c>
      <c r="J123" s="3303">
        <f t="shared" si="35"/>
        <v>0.76319999999999999</v>
      </c>
      <c r="K123" s="3303">
        <f t="shared" si="35"/>
        <v>0.76319999999999999</v>
      </c>
      <c r="L123" s="3303">
        <f t="shared" si="35"/>
        <v>0.76319999999999999</v>
      </c>
      <c r="M123" s="336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2761</v>
      </c>
      <c r="B1" s="961" t="s">
        <v>990</v>
      </c>
      <c r="C1" s="961" t="s">
        <v>1031</v>
      </c>
      <c r="D1" s="961" t="s">
        <v>1145</v>
      </c>
      <c r="E1" s="961" t="s">
        <v>853</v>
      </c>
      <c r="F1" s="961" t="s">
        <v>1152</v>
      </c>
      <c r="G1" s="961" t="s">
        <v>1153</v>
      </c>
      <c r="H1" s="961" t="s">
        <v>1154</v>
      </c>
      <c r="I1" s="961" t="s">
        <v>1155</v>
      </c>
      <c r="J1" s="961" t="s">
        <v>1156</v>
      </c>
      <c r="K1" s="961" t="s">
        <v>1157</v>
      </c>
      <c r="L1" s="961" t="s">
        <v>2762</v>
      </c>
      <c r="M1" s="962" t="s">
        <v>2763</v>
      </c>
    </row>
    <row r="2" spans="1:13">
      <c r="A2" s="2984" t="s">
        <v>2738</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2764</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2736</v>
      </c>
      <c r="B7" s="2998">
        <v>2.5</v>
      </c>
      <c r="C7" s="2998">
        <v>2.5</v>
      </c>
      <c r="D7" s="2998">
        <v>2</v>
      </c>
      <c r="E7" s="2998">
        <v>2</v>
      </c>
      <c r="F7" s="2998">
        <v>2</v>
      </c>
      <c r="G7" s="2998">
        <v>2</v>
      </c>
      <c r="H7" s="2998">
        <v>2</v>
      </c>
      <c r="I7" s="2999">
        <v>1.5</v>
      </c>
      <c r="J7" s="2999">
        <v>1.5</v>
      </c>
      <c r="K7" s="2999">
        <v>1.5</v>
      </c>
      <c r="L7" s="2999">
        <v>1.5</v>
      </c>
      <c r="M7" s="3000">
        <v>1.5</v>
      </c>
    </row>
    <row r="8" spans="1:13">
      <c r="A8" s="974" t="s">
        <v>2765</v>
      </c>
      <c r="B8" s="3001">
        <v>80</v>
      </c>
      <c r="C8" s="3001">
        <v>80</v>
      </c>
      <c r="D8" s="3001">
        <v>70</v>
      </c>
      <c r="E8" s="3001">
        <v>70</v>
      </c>
      <c r="F8" s="3001">
        <v>70</v>
      </c>
      <c r="G8" s="3001">
        <v>70</v>
      </c>
      <c r="H8" s="3001">
        <v>70</v>
      </c>
      <c r="I8" s="3001">
        <v>60</v>
      </c>
      <c r="J8" s="3001">
        <v>60</v>
      </c>
      <c r="K8" s="3001">
        <v>60</v>
      </c>
      <c r="L8" s="3001">
        <v>60</v>
      </c>
      <c r="M8" s="3002">
        <v>60</v>
      </c>
    </row>
    <row r="9" spans="1:13">
      <c r="A9" s="957" t="s">
        <v>2766</v>
      </c>
      <c r="B9" s="3003">
        <v>70</v>
      </c>
      <c r="C9" s="3003">
        <v>70</v>
      </c>
      <c r="D9" s="3003">
        <v>60</v>
      </c>
      <c r="E9" s="3003">
        <v>60</v>
      </c>
      <c r="F9" s="3003">
        <v>60</v>
      </c>
      <c r="G9" s="3003">
        <v>60</v>
      </c>
      <c r="H9" s="3003">
        <v>60</v>
      </c>
      <c r="I9" s="3003">
        <v>50</v>
      </c>
      <c r="J9" s="3003">
        <v>50</v>
      </c>
      <c r="K9" s="3003">
        <v>50</v>
      </c>
      <c r="L9" s="3003">
        <v>50</v>
      </c>
      <c r="M9" s="3004">
        <v>50</v>
      </c>
    </row>
    <row r="10" spans="1:13">
      <c r="A10" s="957" t="s">
        <v>2767</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2768</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2769</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2770</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2771</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2772</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2773</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2455</v>
      </c>
      <c r="B19" s="3007" t="s">
        <v>2456</v>
      </c>
      <c r="C19" s="3008" t="s">
        <v>2457</v>
      </c>
      <c r="D19" s="3009"/>
      <c r="E19" s="3003" t="s">
        <v>2458</v>
      </c>
      <c r="F19" s="980"/>
      <c r="G19" s="980"/>
    </row>
    <row r="20" spans="1:13">
      <c r="A20" s="3753" t="s">
        <v>2449</v>
      </c>
      <c r="B20" s="3756" t="s">
        <v>2459</v>
      </c>
      <c r="C20" s="3010" t="s">
        <v>2460</v>
      </c>
      <c r="D20" s="3011"/>
      <c r="E20" s="3012">
        <v>1</v>
      </c>
      <c r="F20" s="3013" t="s">
        <v>2461</v>
      </c>
      <c r="G20" s="982"/>
    </row>
    <row r="21" spans="1:13">
      <c r="A21" s="3754"/>
      <c r="B21" s="3757"/>
      <c r="C21" s="3014" t="s">
        <v>2462</v>
      </c>
      <c r="D21" s="3015"/>
      <c r="E21" s="3016">
        <v>1</v>
      </c>
      <c r="F21" s="3013" t="s">
        <v>2463</v>
      </c>
      <c r="G21" s="982"/>
    </row>
    <row r="22" spans="1:13">
      <c r="A22" s="3754"/>
      <c r="B22" s="3757"/>
      <c r="C22" s="3014" t="s">
        <v>2464</v>
      </c>
      <c r="D22" s="3015"/>
      <c r="E22" s="3016">
        <v>0.9</v>
      </c>
      <c r="F22" s="3013" t="s">
        <v>2465</v>
      </c>
      <c r="G22" s="982"/>
    </row>
    <row r="23" spans="1:13">
      <c r="A23" s="3754"/>
      <c r="B23" s="3757"/>
      <c r="C23" s="3014" t="s">
        <v>2466</v>
      </c>
      <c r="D23" s="3015"/>
      <c r="E23" s="3016">
        <v>0.9</v>
      </c>
      <c r="F23" s="3013" t="s">
        <v>2467</v>
      </c>
      <c r="G23" s="982"/>
    </row>
    <row r="24" spans="1:13">
      <c r="A24" s="3754"/>
      <c r="B24" s="3757"/>
      <c r="C24" s="3014" t="s">
        <v>2468</v>
      </c>
      <c r="D24" s="3015"/>
      <c r="E24" s="3016">
        <v>0.8</v>
      </c>
      <c r="F24" s="3013" t="s">
        <v>2469</v>
      </c>
      <c r="G24" s="982"/>
    </row>
    <row r="25" spans="1:13" ht="14.25" thickBot="1">
      <c r="A25" s="3755"/>
      <c r="B25" s="3758"/>
      <c r="C25" s="3017" t="s">
        <v>2470</v>
      </c>
      <c r="D25" s="3018"/>
      <c r="E25" s="3019">
        <v>0.8</v>
      </c>
      <c r="F25" s="3013" t="s">
        <v>2471</v>
      </c>
      <c r="G25" s="982"/>
    </row>
    <row r="26" spans="1:13" ht="14.25" thickBot="1">
      <c r="A26" s="3020" t="s">
        <v>2450</v>
      </c>
      <c r="B26" s="3021" t="s">
        <v>2459</v>
      </c>
      <c r="C26" s="3022" t="s">
        <v>2472</v>
      </c>
      <c r="D26" s="3023"/>
      <c r="E26" s="3024">
        <v>1</v>
      </c>
      <c r="F26" s="3013" t="s">
        <v>2473</v>
      </c>
      <c r="G26" s="982"/>
    </row>
    <row r="27" spans="1:13">
      <c r="A27" s="3759" t="s">
        <v>2454</v>
      </c>
      <c r="B27" s="3756" t="s">
        <v>2454</v>
      </c>
      <c r="C27" s="3010" t="s">
        <v>2474</v>
      </c>
      <c r="D27" s="3011"/>
      <c r="E27" s="3012">
        <v>1</v>
      </c>
      <c r="F27" s="3013" t="s">
        <v>2475</v>
      </c>
      <c r="G27" s="982"/>
    </row>
    <row r="28" spans="1:13">
      <c r="A28" s="3760"/>
      <c r="B28" s="3757"/>
      <c r="C28" s="3014" t="s">
        <v>2476</v>
      </c>
      <c r="D28" s="3015"/>
      <c r="E28" s="3016">
        <v>1</v>
      </c>
      <c r="F28" s="3013" t="s">
        <v>2477</v>
      </c>
      <c r="G28" s="982"/>
    </row>
    <row r="29" spans="1:13">
      <c r="A29" s="3760"/>
      <c r="B29" s="3757"/>
      <c r="C29" s="3014" t="s">
        <v>2478</v>
      </c>
      <c r="D29" s="3015"/>
      <c r="E29" s="3016">
        <v>0.8</v>
      </c>
      <c r="F29" s="3013" t="s">
        <v>2479</v>
      </c>
      <c r="G29" s="982"/>
    </row>
    <row r="30" spans="1:13">
      <c r="A30" s="3760"/>
      <c r="B30" s="3757"/>
      <c r="C30" s="3014" t="s">
        <v>2480</v>
      </c>
      <c r="D30" s="3015"/>
      <c r="E30" s="3016">
        <v>0.8</v>
      </c>
      <c r="F30" s="3013" t="s">
        <v>2481</v>
      </c>
      <c r="G30" s="982"/>
    </row>
    <row r="31" spans="1:13">
      <c r="A31" s="3760"/>
      <c r="B31" s="3757"/>
      <c r="C31" s="3014" t="s">
        <v>2482</v>
      </c>
      <c r="D31" s="3015"/>
      <c r="E31" s="3016">
        <v>0.8</v>
      </c>
      <c r="F31" s="3013" t="s">
        <v>2483</v>
      </c>
      <c r="G31" s="982"/>
    </row>
    <row r="32" spans="1:13">
      <c r="A32" s="3760"/>
      <c r="B32" s="3757"/>
      <c r="C32" s="3014" t="s">
        <v>2484</v>
      </c>
      <c r="D32" s="3015"/>
      <c r="E32" s="3016">
        <v>0.7</v>
      </c>
      <c r="F32" s="3013" t="s">
        <v>2485</v>
      </c>
      <c r="G32" s="982"/>
    </row>
    <row r="33" spans="1:7">
      <c r="A33" s="3760"/>
      <c r="B33" s="3757"/>
      <c r="C33" s="3014" t="s">
        <v>2486</v>
      </c>
      <c r="D33" s="3015"/>
      <c r="E33" s="3016">
        <v>0.8</v>
      </c>
      <c r="F33" s="3013" t="s">
        <v>2487</v>
      </c>
      <c r="G33" s="982"/>
    </row>
    <row r="34" spans="1:7">
      <c r="A34" s="3760"/>
      <c r="B34" s="3757"/>
      <c r="C34" s="3014" t="s">
        <v>2488</v>
      </c>
      <c r="D34" s="3015"/>
      <c r="E34" s="3016">
        <v>0.6</v>
      </c>
      <c r="F34" s="3013" t="s">
        <v>2489</v>
      </c>
      <c r="G34" s="982"/>
    </row>
    <row r="35" spans="1:7">
      <c r="A35" s="3760"/>
      <c r="B35" s="3757"/>
      <c r="C35" s="3014" t="s">
        <v>2490</v>
      </c>
      <c r="D35" s="3015"/>
      <c r="E35" s="3016">
        <v>0.2</v>
      </c>
      <c r="F35" s="3013" t="s">
        <v>2491</v>
      </c>
      <c r="G35" s="982"/>
    </row>
    <row r="36" spans="1:7">
      <c r="A36" s="3760"/>
      <c r="B36" s="3757"/>
      <c r="C36" s="3014" t="s">
        <v>2492</v>
      </c>
      <c r="D36" s="3015"/>
      <c r="E36" s="3016">
        <v>0.2</v>
      </c>
      <c r="F36" s="3013" t="s">
        <v>2493</v>
      </c>
      <c r="G36" s="982"/>
    </row>
    <row r="37" spans="1:7">
      <c r="A37" s="3760"/>
      <c r="B37" s="3762" t="s">
        <v>2494</v>
      </c>
      <c r="C37" s="3014" t="s">
        <v>2495</v>
      </c>
      <c r="D37" s="3015"/>
      <c r="E37" s="3016">
        <v>0.6</v>
      </c>
      <c r="F37" s="3013" t="s">
        <v>2496</v>
      </c>
      <c r="G37" s="982"/>
    </row>
    <row r="38" spans="1:7">
      <c r="A38" s="3760"/>
      <c r="B38" s="3757"/>
      <c r="C38" s="3014" t="s">
        <v>2497</v>
      </c>
      <c r="D38" s="3015"/>
      <c r="E38" s="3016">
        <v>0.6</v>
      </c>
      <c r="F38" s="3013" t="s">
        <v>2498</v>
      </c>
      <c r="G38" s="982"/>
    </row>
    <row r="39" spans="1:7" ht="14.25" thickBot="1">
      <c r="A39" s="3761"/>
      <c r="B39" s="3758"/>
      <c r="C39" s="3017" t="s">
        <v>2499</v>
      </c>
      <c r="D39" s="3018"/>
      <c r="E39" s="3019">
        <v>0.6</v>
      </c>
      <c r="F39" s="3013" t="s">
        <v>2500</v>
      </c>
      <c r="G39" s="982"/>
    </row>
    <row r="40" spans="1:7" ht="14.25" thickBot="1">
      <c r="A40" s="3020" t="s">
        <v>2451</v>
      </c>
      <c r="B40" s="3021" t="s">
        <v>2451</v>
      </c>
      <c r="C40" s="3022" t="s">
        <v>2501</v>
      </c>
      <c r="D40" s="3023"/>
      <c r="E40" s="3024">
        <v>1</v>
      </c>
      <c r="F40" s="3013" t="s">
        <v>2502</v>
      </c>
      <c r="G40" s="982"/>
    </row>
    <row r="41" spans="1:7">
      <c r="A41" s="3753" t="s">
        <v>2452</v>
      </c>
      <c r="B41" s="3756" t="s">
        <v>2503</v>
      </c>
      <c r="C41" s="3010" t="s">
        <v>2504</v>
      </c>
      <c r="D41" s="3011"/>
      <c r="E41" s="3012">
        <v>1</v>
      </c>
      <c r="F41" s="3013" t="s">
        <v>2505</v>
      </c>
      <c r="G41" s="982"/>
    </row>
    <row r="42" spans="1:7">
      <c r="A42" s="3754"/>
      <c r="B42" s="3757"/>
      <c r="C42" s="3014" t="s">
        <v>2506</v>
      </c>
      <c r="D42" s="3015"/>
      <c r="E42" s="3016">
        <v>1</v>
      </c>
      <c r="F42" s="3013" t="s">
        <v>2507</v>
      </c>
      <c r="G42" s="982"/>
    </row>
    <row r="43" spans="1:7">
      <c r="A43" s="3754"/>
      <c r="B43" s="3763"/>
      <c r="C43" s="3014" t="s">
        <v>2508</v>
      </c>
      <c r="D43" s="3015"/>
      <c r="E43" s="3016">
        <v>1.5</v>
      </c>
      <c r="F43" s="3013" t="s">
        <v>2509</v>
      </c>
      <c r="G43" s="982"/>
    </row>
    <row r="44" spans="1:7">
      <c r="A44" s="3754"/>
      <c r="B44" s="3025" t="s">
        <v>2454</v>
      </c>
      <c r="C44" s="3014" t="s">
        <v>2453</v>
      </c>
      <c r="D44" s="3015"/>
      <c r="E44" s="3016">
        <v>2</v>
      </c>
      <c r="F44" s="3013" t="s">
        <v>2510</v>
      </c>
      <c r="G44" s="982"/>
    </row>
    <row r="45" spans="1:7">
      <c r="A45" s="3754"/>
      <c r="B45" s="3762" t="s">
        <v>2511</v>
      </c>
      <c r="C45" s="3014" t="s">
        <v>2512</v>
      </c>
      <c r="D45" s="3015"/>
      <c r="E45" s="3016">
        <v>1</v>
      </c>
      <c r="F45" s="3013" t="s">
        <v>2513</v>
      </c>
      <c r="G45" s="982"/>
    </row>
    <row r="46" spans="1:7">
      <c r="A46" s="3754"/>
      <c r="B46" s="3757"/>
      <c r="C46" s="3014" t="s">
        <v>2514</v>
      </c>
      <c r="D46" s="3015"/>
      <c r="E46" s="3016">
        <v>1</v>
      </c>
      <c r="F46" s="3013" t="s">
        <v>2515</v>
      </c>
      <c r="G46" s="982"/>
    </row>
    <row r="47" spans="1:7">
      <c r="A47" s="3754"/>
      <c r="B47" s="3757"/>
      <c r="C47" s="3014" t="s">
        <v>2516</v>
      </c>
      <c r="D47" s="3015"/>
      <c r="E47" s="3016">
        <v>1</v>
      </c>
      <c r="F47" s="3013" t="s">
        <v>2517</v>
      </c>
      <c r="G47" s="982"/>
    </row>
    <row r="48" spans="1:7">
      <c r="A48" s="3754"/>
      <c r="B48" s="3757"/>
      <c r="C48" s="3014" t="s">
        <v>2518</v>
      </c>
      <c r="D48" s="3015"/>
      <c r="E48" s="3016">
        <v>1</v>
      </c>
      <c r="F48" s="3013" t="s">
        <v>2519</v>
      </c>
      <c r="G48" s="982"/>
    </row>
    <row r="49" spans="1:9">
      <c r="A49" s="3754"/>
      <c r="B49" s="3757"/>
      <c r="C49" s="3014" t="s">
        <v>2520</v>
      </c>
      <c r="D49" s="3015"/>
      <c r="E49" s="3016">
        <v>1</v>
      </c>
      <c r="F49" s="3013" t="s">
        <v>2521</v>
      </c>
      <c r="G49" s="982"/>
    </row>
    <row r="50" spans="1:9">
      <c r="A50" s="3754"/>
      <c r="B50" s="3757"/>
      <c r="C50" s="3014" t="s">
        <v>2522</v>
      </c>
      <c r="D50" s="3015"/>
      <c r="E50" s="3016">
        <v>1</v>
      </c>
      <c r="F50" s="3013" t="s">
        <v>2523</v>
      </c>
      <c r="G50" s="982"/>
    </row>
    <row r="51" spans="1:9" ht="14.25" thickBot="1">
      <c r="A51" s="3755"/>
      <c r="B51" s="3758"/>
      <c r="C51" s="3017" t="s">
        <v>2524</v>
      </c>
      <c r="D51" s="3018"/>
      <c r="E51" s="3019">
        <v>1</v>
      </c>
      <c r="F51" s="3013" t="s">
        <v>2525</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2774</v>
      </c>
      <c r="F56" s="979" t="s">
        <v>2774</v>
      </c>
      <c r="G56" s="979" t="s">
        <v>2774</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2526</v>
      </c>
      <c r="D72" s="998"/>
      <c r="E72" s="986" t="s">
        <v>1159</v>
      </c>
      <c r="F72" s="998" t="s">
        <v>1159</v>
      </c>
    </row>
    <row r="73" spans="1:8" s="972" customFormat="1">
      <c r="A73" s="3025">
        <v>1</v>
      </c>
      <c r="B73" s="3762" t="s">
        <v>2527</v>
      </c>
      <c r="C73" s="3003" t="s">
        <v>2528</v>
      </c>
      <c r="D73" s="3003" t="s">
        <v>2529</v>
      </c>
      <c r="E73" s="3026">
        <v>0.2</v>
      </c>
      <c r="F73" s="3025">
        <v>25</v>
      </c>
      <c r="H73" s="972">
        <f>SUMIF(C71:C139,基准地价!C8,E71:E139)</f>
        <v>0</v>
      </c>
    </row>
    <row r="74" spans="1:8" s="972" customFormat="1" ht="24">
      <c r="A74" s="3025">
        <v>2</v>
      </c>
      <c r="B74" s="3757"/>
      <c r="C74" s="3003" t="s">
        <v>2530</v>
      </c>
      <c r="D74" s="3003" t="s">
        <v>2531</v>
      </c>
      <c r="E74" s="3026">
        <v>0.2</v>
      </c>
      <c r="F74" s="3025">
        <v>25</v>
      </c>
    </row>
    <row r="75" spans="1:8" s="972" customFormat="1" ht="24">
      <c r="A75" s="3025">
        <v>3</v>
      </c>
      <c r="B75" s="3757"/>
      <c r="C75" s="3003" t="s">
        <v>2532</v>
      </c>
      <c r="D75" s="3003" t="s">
        <v>2533</v>
      </c>
      <c r="E75" s="3026">
        <v>0.2</v>
      </c>
      <c r="F75" s="3025">
        <v>25</v>
      </c>
    </row>
    <row r="76" spans="1:8" s="972" customFormat="1">
      <c r="A76" s="3025">
        <v>4</v>
      </c>
      <c r="B76" s="3757"/>
      <c r="C76" s="3003" t="s">
        <v>2534</v>
      </c>
      <c r="D76" s="3003" t="s">
        <v>2535</v>
      </c>
      <c r="E76" s="3026">
        <v>0.15</v>
      </c>
      <c r="F76" s="3025">
        <v>20</v>
      </c>
    </row>
    <row r="77" spans="1:8" s="972" customFormat="1" ht="24">
      <c r="A77" s="3025">
        <v>5</v>
      </c>
      <c r="B77" s="3757"/>
      <c r="C77" s="3003" t="s">
        <v>2536</v>
      </c>
      <c r="D77" s="3003" t="s">
        <v>2537</v>
      </c>
      <c r="E77" s="3026">
        <v>0.15</v>
      </c>
      <c r="F77" s="3025">
        <v>20</v>
      </c>
    </row>
    <row r="78" spans="1:8" s="972" customFormat="1" ht="24">
      <c r="A78" s="3025">
        <v>6</v>
      </c>
      <c r="B78" s="3757"/>
      <c r="C78" s="3003" t="s">
        <v>2538</v>
      </c>
      <c r="D78" s="3003" t="s">
        <v>2539</v>
      </c>
      <c r="E78" s="3026">
        <v>0.15</v>
      </c>
      <c r="F78" s="3025">
        <v>20</v>
      </c>
    </row>
    <row r="79" spans="1:8" s="972" customFormat="1" ht="24">
      <c r="A79" s="3025">
        <v>7</v>
      </c>
      <c r="B79" s="3757"/>
      <c r="C79" s="3003" t="s">
        <v>2540</v>
      </c>
      <c r="D79" s="3003" t="s">
        <v>2541</v>
      </c>
      <c r="E79" s="3026">
        <v>0.15</v>
      </c>
      <c r="F79" s="3025">
        <v>20</v>
      </c>
    </row>
    <row r="80" spans="1:8" s="972" customFormat="1" ht="24">
      <c r="A80" s="3025">
        <v>8</v>
      </c>
      <c r="B80" s="3757"/>
      <c r="C80" s="3003" t="s">
        <v>2542</v>
      </c>
      <c r="D80" s="3003" t="s">
        <v>2543</v>
      </c>
      <c r="E80" s="3026">
        <v>0.1</v>
      </c>
      <c r="F80" s="3025">
        <v>15</v>
      </c>
    </row>
    <row r="81" spans="1:6" s="972" customFormat="1" ht="24">
      <c r="A81" s="3025">
        <v>9</v>
      </c>
      <c r="B81" s="3757"/>
      <c r="C81" s="3003" t="s">
        <v>2544</v>
      </c>
      <c r="D81" s="3003" t="s">
        <v>2545</v>
      </c>
      <c r="E81" s="3026">
        <v>0.1</v>
      </c>
      <c r="F81" s="3025">
        <v>15</v>
      </c>
    </row>
    <row r="82" spans="1:6" s="972" customFormat="1" ht="24">
      <c r="A82" s="3025">
        <v>10</v>
      </c>
      <c r="B82" s="3757"/>
      <c r="C82" s="3003" t="s">
        <v>2546</v>
      </c>
      <c r="D82" s="3003" t="s">
        <v>2547</v>
      </c>
      <c r="E82" s="3026">
        <v>0.1</v>
      </c>
      <c r="F82" s="3025">
        <v>15</v>
      </c>
    </row>
    <row r="83" spans="1:6" s="972" customFormat="1" ht="24">
      <c r="A83" s="3025">
        <v>11</v>
      </c>
      <c r="B83" s="3757"/>
      <c r="C83" s="3003" t="s">
        <v>2548</v>
      </c>
      <c r="D83" s="3003" t="s">
        <v>2549</v>
      </c>
      <c r="E83" s="3026">
        <v>0.1</v>
      </c>
      <c r="F83" s="3025">
        <v>15</v>
      </c>
    </row>
    <row r="84" spans="1:6" s="972" customFormat="1" ht="24">
      <c r="A84" s="3025">
        <v>12</v>
      </c>
      <c r="B84" s="3757"/>
      <c r="C84" s="3003" t="s">
        <v>2550</v>
      </c>
      <c r="D84" s="3003" t="s">
        <v>2551</v>
      </c>
      <c r="E84" s="3026">
        <v>0.1</v>
      </c>
      <c r="F84" s="3025">
        <v>15</v>
      </c>
    </row>
    <row r="85" spans="1:6" s="972" customFormat="1">
      <c r="A85" s="3025">
        <v>13</v>
      </c>
      <c r="B85" s="3757"/>
      <c r="C85" s="3003" t="s">
        <v>2552</v>
      </c>
      <c r="D85" s="3003" t="s">
        <v>2553</v>
      </c>
      <c r="E85" s="3026">
        <v>0.1</v>
      </c>
      <c r="F85" s="3025">
        <v>15</v>
      </c>
    </row>
    <row r="86" spans="1:6" s="972" customFormat="1">
      <c r="A86" s="3025">
        <v>14</v>
      </c>
      <c r="B86" s="3757"/>
      <c r="C86" s="3003" t="s">
        <v>2554</v>
      </c>
      <c r="D86" s="3003" t="s">
        <v>2555</v>
      </c>
      <c r="E86" s="3026">
        <v>0.1</v>
      </c>
      <c r="F86" s="3025">
        <v>15</v>
      </c>
    </row>
    <row r="87" spans="1:6" s="972" customFormat="1">
      <c r="A87" s="3025">
        <v>15</v>
      </c>
      <c r="B87" s="3757"/>
      <c r="C87" s="3003" t="s">
        <v>2556</v>
      </c>
      <c r="D87" s="3003" t="s">
        <v>2557</v>
      </c>
      <c r="E87" s="3026">
        <v>0.1</v>
      </c>
      <c r="F87" s="3025">
        <v>15</v>
      </c>
    </row>
    <row r="88" spans="1:6" s="972" customFormat="1" ht="24">
      <c r="A88" s="3025">
        <v>16</v>
      </c>
      <c r="B88" s="3757"/>
      <c r="C88" s="3003" t="s">
        <v>2558</v>
      </c>
      <c r="D88" s="3003" t="s">
        <v>2559</v>
      </c>
      <c r="E88" s="3026">
        <v>0.1</v>
      </c>
      <c r="F88" s="3025">
        <v>15</v>
      </c>
    </row>
    <row r="89" spans="1:6" s="972" customFormat="1" ht="24">
      <c r="A89" s="3025">
        <v>17</v>
      </c>
      <c r="B89" s="3763"/>
      <c r="C89" s="3003" t="s">
        <v>2560</v>
      </c>
      <c r="D89" s="3003" t="s">
        <v>2561</v>
      </c>
      <c r="E89" s="3026">
        <v>0.1</v>
      </c>
      <c r="F89" s="3025">
        <v>15</v>
      </c>
    </row>
    <row r="90" spans="1:6" s="972" customFormat="1">
      <c r="A90" s="3025">
        <v>18</v>
      </c>
      <c r="B90" s="3762" t="s">
        <v>2562</v>
      </c>
      <c r="C90" s="3003" t="s">
        <v>2563</v>
      </c>
      <c r="D90" s="3003" t="s">
        <v>2564</v>
      </c>
      <c r="E90" s="3026">
        <v>0.2</v>
      </c>
      <c r="F90" s="3025">
        <v>25</v>
      </c>
    </row>
    <row r="91" spans="1:6" s="972" customFormat="1" ht="24">
      <c r="A91" s="3025">
        <v>19</v>
      </c>
      <c r="B91" s="3757"/>
      <c r="C91" s="3003" t="s">
        <v>2565</v>
      </c>
      <c r="D91" s="3003" t="s">
        <v>2566</v>
      </c>
      <c r="E91" s="3026">
        <v>0.2</v>
      </c>
      <c r="F91" s="3025">
        <v>25</v>
      </c>
    </row>
    <row r="92" spans="1:6" s="972" customFormat="1">
      <c r="A92" s="3025">
        <v>20</v>
      </c>
      <c r="B92" s="3757"/>
      <c r="C92" s="3003" t="s">
        <v>2567</v>
      </c>
      <c r="D92" s="3003" t="s">
        <v>2568</v>
      </c>
      <c r="E92" s="3026">
        <v>0.15</v>
      </c>
      <c r="F92" s="3025">
        <v>20</v>
      </c>
    </row>
    <row r="93" spans="1:6" s="972" customFormat="1" ht="24">
      <c r="A93" s="3025">
        <v>21</v>
      </c>
      <c r="B93" s="3757"/>
      <c r="C93" s="3003" t="s">
        <v>2569</v>
      </c>
      <c r="D93" s="3003" t="s">
        <v>2570</v>
      </c>
      <c r="E93" s="3026">
        <v>0.15</v>
      </c>
      <c r="F93" s="3025">
        <v>20</v>
      </c>
    </row>
    <row r="94" spans="1:6" s="972" customFormat="1" ht="24">
      <c r="A94" s="3025">
        <v>22</v>
      </c>
      <c r="B94" s="3757"/>
      <c r="C94" s="3003" t="s">
        <v>2571</v>
      </c>
      <c r="D94" s="3003" t="s">
        <v>2572</v>
      </c>
      <c r="E94" s="3026">
        <v>0.15</v>
      </c>
      <c r="F94" s="3025">
        <v>20</v>
      </c>
    </row>
    <row r="95" spans="1:6" s="972" customFormat="1" ht="36">
      <c r="A95" s="3025">
        <v>23</v>
      </c>
      <c r="B95" s="3757"/>
      <c r="C95" s="3003" t="s">
        <v>2573</v>
      </c>
      <c r="D95" s="3003" t="s">
        <v>2574</v>
      </c>
      <c r="E95" s="3026">
        <v>0.15</v>
      </c>
      <c r="F95" s="3025">
        <v>20</v>
      </c>
    </row>
    <row r="96" spans="1:6" s="972" customFormat="1">
      <c r="A96" s="3025">
        <v>24</v>
      </c>
      <c r="B96" s="3757"/>
      <c r="C96" s="3003" t="s">
        <v>2575</v>
      </c>
      <c r="D96" s="3003" t="s">
        <v>2576</v>
      </c>
      <c r="E96" s="3026">
        <v>0.1</v>
      </c>
      <c r="F96" s="3025">
        <v>15</v>
      </c>
    </row>
    <row r="97" spans="1:6" s="972" customFormat="1" ht="24">
      <c r="A97" s="3025">
        <v>25</v>
      </c>
      <c r="B97" s="3757"/>
      <c r="C97" s="3003" t="s">
        <v>2577</v>
      </c>
      <c r="D97" s="3003" t="s">
        <v>2578</v>
      </c>
      <c r="E97" s="3026">
        <v>0.1</v>
      </c>
      <c r="F97" s="3025">
        <v>15</v>
      </c>
    </row>
    <row r="98" spans="1:6" s="972" customFormat="1" ht="24">
      <c r="A98" s="3025">
        <v>26</v>
      </c>
      <c r="B98" s="3757"/>
      <c r="C98" s="3003" t="s">
        <v>2579</v>
      </c>
      <c r="D98" s="3003" t="s">
        <v>2580</v>
      </c>
      <c r="E98" s="3026">
        <v>0.1</v>
      </c>
      <c r="F98" s="3025">
        <v>15</v>
      </c>
    </row>
    <row r="99" spans="1:6" s="972" customFormat="1" ht="24">
      <c r="A99" s="3025">
        <v>27</v>
      </c>
      <c r="B99" s="3757"/>
      <c r="C99" s="3003" t="s">
        <v>2581</v>
      </c>
      <c r="D99" s="3003" t="s">
        <v>2582</v>
      </c>
      <c r="E99" s="3026">
        <v>0.1</v>
      </c>
      <c r="F99" s="3025">
        <v>15</v>
      </c>
    </row>
    <row r="100" spans="1:6" s="972" customFormat="1" ht="24">
      <c r="A100" s="3025">
        <v>28</v>
      </c>
      <c r="B100" s="3757"/>
      <c r="C100" s="3003" t="s">
        <v>2583</v>
      </c>
      <c r="D100" s="3003" t="s">
        <v>2584</v>
      </c>
      <c r="E100" s="3026">
        <v>0.1</v>
      </c>
      <c r="F100" s="3025">
        <v>15</v>
      </c>
    </row>
    <row r="101" spans="1:6" s="972" customFormat="1" ht="24">
      <c r="A101" s="3025">
        <v>29</v>
      </c>
      <c r="B101" s="3757"/>
      <c r="C101" s="3003" t="s">
        <v>2585</v>
      </c>
      <c r="D101" s="3003" t="s">
        <v>2586</v>
      </c>
      <c r="E101" s="3026">
        <v>0.1</v>
      </c>
      <c r="F101" s="3025">
        <v>15</v>
      </c>
    </row>
    <row r="102" spans="1:6" s="972" customFormat="1" ht="24">
      <c r="A102" s="3025">
        <v>30</v>
      </c>
      <c r="B102" s="3757"/>
      <c r="C102" s="3003" t="s">
        <v>2587</v>
      </c>
      <c r="D102" s="3003" t="s">
        <v>2588</v>
      </c>
      <c r="E102" s="3026">
        <v>0.1</v>
      </c>
      <c r="F102" s="3025">
        <v>15</v>
      </c>
    </row>
    <row r="103" spans="1:6" s="972" customFormat="1" ht="24">
      <c r="A103" s="3025">
        <v>31</v>
      </c>
      <c r="B103" s="3757"/>
      <c r="C103" s="3003" t="s">
        <v>2589</v>
      </c>
      <c r="D103" s="3003" t="s">
        <v>2590</v>
      </c>
      <c r="E103" s="3026">
        <v>0.1</v>
      </c>
      <c r="F103" s="3025">
        <v>15</v>
      </c>
    </row>
    <row r="104" spans="1:6" s="972" customFormat="1" ht="24">
      <c r="A104" s="3025">
        <v>32</v>
      </c>
      <c r="B104" s="3757"/>
      <c r="C104" s="3003" t="s">
        <v>2591</v>
      </c>
      <c r="D104" s="3003" t="s">
        <v>2592</v>
      </c>
      <c r="E104" s="3026">
        <v>0.1</v>
      </c>
      <c r="F104" s="3025">
        <v>15</v>
      </c>
    </row>
    <row r="105" spans="1:6" s="972" customFormat="1" ht="24">
      <c r="A105" s="3025">
        <v>33</v>
      </c>
      <c r="B105" s="3757"/>
      <c r="C105" s="3003" t="s">
        <v>2593</v>
      </c>
      <c r="D105" s="3003" t="s">
        <v>2594</v>
      </c>
      <c r="E105" s="3026">
        <v>0.1</v>
      </c>
      <c r="F105" s="3025">
        <v>15</v>
      </c>
    </row>
    <row r="106" spans="1:6" s="972" customFormat="1" ht="24">
      <c r="A106" s="3025">
        <v>34</v>
      </c>
      <c r="B106" s="3763"/>
      <c r="C106" s="3003" t="s">
        <v>2595</v>
      </c>
      <c r="D106" s="3003" t="s">
        <v>2596</v>
      </c>
      <c r="E106" s="3026">
        <v>0.1</v>
      </c>
      <c r="F106" s="3025">
        <v>15</v>
      </c>
    </row>
    <row r="107" spans="1:6" s="972" customFormat="1" ht="24">
      <c r="A107" s="3025">
        <v>35</v>
      </c>
      <c r="B107" s="3762" t="s">
        <v>2597</v>
      </c>
      <c r="C107" s="3025" t="s">
        <v>2598</v>
      </c>
      <c r="D107" s="3003" t="s">
        <v>2599</v>
      </c>
      <c r="E107" s="3026">
        <v>0.15</v>
      </c>
      <c r="F107" s="3025">
        <v>20</v>
      </c>
    </row>
    <row r="108" spans="1:6" s="972" customFormat="1" ht="24">
      <c r="A108" s="3025">
        <v>36</v>
      </c>
      <c r="B108" s="3757"/>
      <c r="C108" s="3025" t="s">
        <v>2600</v>
      </c>
      <c r="D108" s="3003" t="s">
        <v>2601</v>
      </c>
      <c r="E108" s="3026">
        <v>0.15</v>
      </c>
      <c r="F108" s="3025">
        <v>20</v>
      </c>
    </row>
    <row r="109" spans="1:6" s="972" customFormat="1" ht="24">
      <c r="A109" s="3025">
        <v>37</v>
      </c>
      <c r="B109" s="3757"/>
      <c r="C109" s="3025" t="s">
        <v>2602</v>
      </c>
      <c r="D109" s="3003" t="s">
        <v>2603</v>
      </c>
      <c r="E109" s="3026">
        <v>0.15</v>
      </c>
      <c r="F109" s="3025">
        <v>20</v>
      </c>
    </row>
    <row r="110" spans="1:6" s="972" customFormat="1">
      <c r="A110" s="3025">
        <v>38</v>
      </c>
      <c r="B110" s="3757"/>
      <c r="C110" s="3025" t="s">
        <v>2604</v>
      </c>
      <c r="D110" s="3003" t="s">
        <v>2605</v>
      </c>
      <c r="E110" s="3026">
        <v>0.1</v>
      </c>
      <c r="F110" s="3025">
        <v>15</v>
      </c>
    </row>
    <row r="111" spans="1:6" s="972" customFormat="1" ht="24">
      <c r="A111" s="3025">
        <v>39</v>
      </c>
      <c r="B111" s="3757"/>
      <c r="C111" s="3025" t="s">
        <v>2606</v>
      </c>
      <c r="D111" s="3003" t="s">
        <v>2607</v>
      </c>
      <c r="E111" s="3026">
        <v>0.1</v>
      </c>
      <c r="F111" s="3025">
        <v>15</v>
      </c>
    </row>
    <row r="112" spans="1:6" s="972" customFormat="1" ht="24">
      <c r="A112" s="3025">
        <v>40</v>
      </c>
      <c r="B112" s="3763"/>
      <c r="C112" s="3025" t="s">
        <v>2608</v>
      </c>
      <c r="D112" s="3003" t="s">
        <v>2609</v>
      </c>
      <c r="E112" s="3026">
        <v>0.1</v>
      </c>
      <c r="F112" s="3025">
        <v>15</v>
      </c>
    </row>
    <row r="113" spans="1:6" s="972" customFormat="1" ht="24">
      <c r="A113" s="3025">
        <v>41</v>
      </c>
      <c r="B113" s="3764" t="s">
        <v>2610</v>
      </c>
      <c r="C113" s="3025" t="s">
        <v>2611</v>
      </c>
      <c r="D113" s="3003" t="s">
        <v>2612</v>
      </c>
      <c r="E113" s="3026">
        <v>0.1</v>
      </c>
      <c r="F113" s="3025">
        <v>15</v>
      </c>
    </row>
    <row r="114" spans="1:6" s="972" customFormat="1">
      <c r="A114" s="3025">
        <v>42</v>
      </c>
      <c r="B114" s="3764"/>
      <c r="C114" s="3025" t="s">
        <v>2613</v>
      </c>
      <c r="D114" s="3003" t="s">
        <v>2614</v>
      </c>
      <c r="E114" s="3026">
        <v>0.1</v>
      </c>
      <c r="F114" s="3025">
        <v>15</v>
      </c>
    </row>
    <row r="115" spans="1:6" s="972" customFormat="1" ht="24">
      <c r="A115" s="3025">
        <v>43</v>
      </c>
      <c r="B115" s="3764"/>
      <c r="C115" s="3025" t="s">
        <v>2615</v>
      </c>
      <c r="D115" s="3003" t="s">
        <v>2616</v>
      </c>
      <c r="E115" s="3026">
        <v>0.1</v>
      </c>
      <c r="F115" s="3025">
        <v>15</v>
      </c>
    </row>
    <row r="116" spans="1:6" s="972" customFormat="1" ht="24">
      <c r="A116" s="3025">
        <v>44</v>
      </c>
      <c r="B116" s="3762" t="s">
        <v>2617</v>
      </c>
      <c r="C116" s="3025" t="s">
        <v>2618</v>
      </c>
      <c r="D116" s="3003" t="s">
        <v>2619</v>
      </c>
      <c r="E116" s="3026">
        <v>0.1</v>
      </c>
      <c r="F116" s="3025">
        <v>15</v>
      </c>
    </row>
    <row r="117" spans="1:6" s="972" customFormat="1" ht="24">
      <c r="A117" s="3025">
        <v>45</v>
      </c>
      <c r="B117" s="3763"/>
      <c r="C117" s="3003" t="s">
        <v>2620</v>
      </c>
      <c r="D117" s="3003" t="s">
        <v>2621</v>
      </c>
      <c r="E117" s="3026">
        <v>0.1</v>
      </c>
      <c r="F117" s="3025">
        <v>15</v>
      </c>
    </row>
    <row r="118" spans="1:6" s="972" customFormat="1" ht="24">
      <c r="A118" s="3025">
        <v>46</v>
      </c>
      <c r="B118" s="3762" t="s">
        <v>2622</v>
      </c>
      <c r="C118" s="3025" t="s">
        <v>2623</v>
      </c>
      <c r="D118" s="3003" t="s">
        <v>2624</v>
      </c>
      <c r="E118" s="3026">
        <v>0.1</v>
      </c>
      <c r="F118" s="3025">
        <v>15</v>
      </c>
    </row>
    <row r="119" spans="1:6" s="972" customFormat="1" ht="24">
      <c r="A119" s="3025">
        <v>47</v>
      </c>
      <c r="B119" s="3763"/>
      <c r="C119" s="3025" t="s">
        <v>2625</v>
      </c>
      <c r="D119" s="3003" t="s">
        <v>2626</v>
      </c>
      <c r="E119" s="3026">
        <v>0.1</v>
      </c>
      <c r="F119" s="3025">
        <v>15</v>
      </c>
    </row>
    <row r="120" spans="1:6" s="972" customFormat="1" ht="24">
      <c r="A120" s="3025">
        <v>48</v>
      </c>
      <c r="B120" s="3762" t="s">
        <v>2627</v>
      </c>
      <c r="C120" s="3025" t="s">
        <v>2628</v>
      </c>
      <c r="D120" s="3003" t="s">
        <v>2629</v>
      </c>
      <c r="E120" s="3026">
        <v>0.1</v>
      </c>
      <c r="F120" s="3025">
        <v>15</v>
      </c>
    </row>
    <row r="121" spans="1:6" s="972" customFormat="1">
      <c r="A121" s="3025">
        <v>49</v>
      </c>
      <c r="B121" s="3763"/>
      <c r="C121" s="3025" t="s">
        <v>2630</v>
      </c>
      <c r="D121" s="3003" t="s">
        <v>2631</v>
      </c>
      <c r="E121" s="3026">
        <v>0.1</v>
      </c>
      <c r="F121" s="3025">
        <v>15</v>
      </c>
    </row>
    <row r="122" spans="1:6" s="972" customFormat="1" ht="24">
      <c r="A122" s="3025">
        <v>50</v>
      </c>
      <c r="B122" s="3764" t="s">
        <v>2632</v>
      </c>
      <c r="C122" s="3025" t="s">
        <v>2633</v>
      </c>
      <c r="D122" s="3003" t="s">
        <v>2634</v>
      </c>
      <c r="E122" s="3026">
        <v>0.1</v>
      </c>
      <c r="F122" s="3025">
        <v>15</v>
      </c>
    </row>
    <row r="123" spans="1:6" s="972" customFormat="1" ht="24">
      <c r="A123" s="3025">
        <v>51</v>
      </c>
      <c r="B123" s="3764"/>
      <c r="C123" s="3025" t="s">
        <v>2635</v>
      </c>
      <c r="D123" s="3003" t="s">
        <v>2636</v>
      </c>
      <c r="E123" s="3026">
        <v>0.1</v>
      </c>
      <c r="F123" s="3025">
        <v>15</v>
      </c>
    </row>
    <row r="124" spans="1:6" s="972" customFormat="1" ht="24">
      <c r="A124" s="3025">
        <v>52</v>
      </c>
      <c r="B124" s="3764" t="s">
        <v>2637</v>
      </c>
      <c r="C124" s="3025" t="s">
        <v>2638</v>
      </c>
      <c r="D124" s="3003" t="s">
        <v>2639</v>
      </c>
      <c r="E124" s="3026">
        <v>0.1</v>
      </c>
      <c r="F124" s="3025">
        <v>15</v>
      </c>
    </row>
    <row r="125" spans="1:6" s="972" customFormat="1" ht="24">
      <c r="A125" s="3025">
        <v>53</v>
      </c>
      <c r="B125" s="3764"/>
      <c r="C125" s="3025" t="s">
        <v>2640</v>
      </c>
      <c r="D125" s="3003" t="s">
        <v>2641</v>
      </c>
      <c r="E125" s="3026">
        <v>0.1</v>
      </c>
      <c r="F125" s="3025">
        <v>15</v>
      </c>
    </row>
    <row r="126" spans="1:6" ht="24">
      <c r="A126" s="3025">
        <v>54</v>
      </c>
      <c r="B126" s="3025" t="s">
        <v>2642</v>
      </c>
      <c r="C126" s="3025" t="s">
        <v>2643</v>
      </c>
      <c r="D126" s="3003" t="s">
        <v>2644</v>
      </c>
      <c r="E126" s="3026">
        <v>0.1</v>
      </c>
      <c r="F126" s="3025">
        <v>15</v>
      </c>
    </row>
    <row r="127" spans="1:6">
      <c r="A127" s="3025">
        <v>55</v>
      </c>
      <c r="B127" s="3764" t="s">
        <v>2645</v>
      </c>
      <c r="C127" s="3025" t="s">
        <v>2646</v>
      </c>
      <c r="D127" s="3003" t="s">
        <v>2647</v>
      </c>
      <c r="E127" s="3026">
        <v>0.1</v>
      </c>
      <c r="F127" s="3025">
        <v>15</v>
      </c>
    </row>
    <row r="128" spans="1:6">
      <c r="A128" s="3025">
        <v>56</v>
      </c>
      <c r="B128" s="3764"/>
      <c r="C128" s="3025" t="s">
        <v>2648</v>
      </c>
      <c r="D128" s="3003" t="s">
        <v>2649</v>
      </c>
      <c r="E128" s="3026">
        <v>0.1</v>
      </c>
      <c r="F128" s="3025">
        <v>15</v>
      </c>
    </row>
    <row r="129" spans="1:14" ht="24">
      <c r="A129" s="3025">
        <v>57</v>
      </c>
      <c r="B129" s="3764"/>
      <c r="C129" s="3025" t="s">
        <v>2650</v>
      </c>
      <c r="D129" s="3003" t="s">
        <v>2651</v>
      </c>
      <c r="E129" s="3026">
        <v>0.1</v>
      </c>
      <c r="F129" s="3025">
        <v>15</v>
      </c>
    </row>
    <row r="130" spans="1:14" ht="24">
      <c r="A130" s="3025">
        <v>58</v>
      </c>
      <c r="B130" s="3764" t="s">
        <v>2652</v>
      </c>
      <c r="C130" s="3025" t="s">
        <v>2653</v>
      </c>
      <c r="D130" s="3003" t="s">
        <v>2654</v>
      </c>
      <c r="E130" s="3026">
        <v>0.1</v>
      </c>
      <c r="F130" s="3025">
        <v>15</v>
      </c>
    </row>
    <row r="131" spans="1:14" ht="24">
      <c r="A131" s="3025">
        <v>59</v>
      </c>
      <c r="B131" s="3764"/>
      <c r="C131" s="3025" t="s">
        <v>2655</v>
      </c>
      <c r="D131" s="3003" t="s">
        <v>2656</v>
      </c>
      <c r="E131" s="3026">
        <v>0.1</v>
      </c>
      <c r="F131" s="3025">
        <v>15</v>
      </c>
    </row>
    <row r="132" spans="1:14" ht="24">
      <c r="A132" s="3025">
        <v>60</v>
      </c>
      <c r="B132" s="3762" t="s">
        <v>2657</v>
      </c>
      <c r="C132" s="3025" t="s">
        <v>2658</v>
      </c>
      <c r="D132" s="3003" t="s">
        <v>2659</v>
      </c>
      <c r="E132" s="3026">
        <v>0.1</v>
      </c>
      <c r="F132" s="3025">
        <v>15</v>
      </c>
    </row>
    <row r="133" spans="1:14" ht="24">
      <c r="A133" s="3025">
        <v>61</v>
      </c>
      <c r="B133" s="3763"/>
      <c r="C133" s="3025" t="s">
        <v>2660</v>
      </c>
      <c r="D133" s="3003" t="s">
        <v>2661</v>
      </c>
      <c r="E133" s="3026">
        <v>0.1</v>
      </c>
      <c r="F133" s="3025">
        <v>15</v>
      </c>
    </row>
    <row r="134" spans="1:14" ht="24">
      <c r="A134" s="3025">
        <v>62</v>
      </c>
      <c r="B134" s="3025" t="s">
        <v>2662</v>
      </c>
      <c r="C134" s="3025" t="s">
        <v>2663</v>
      </c>
      <c r="D134" s="3003" t="s">
        <v>2664</v>
      </c>
      <c r="E134" s="3026">
        <v>0.1</v>
      </c>
      <c r="F134" s="3025">
        <v>15</v>
      </c>
    </row>
    <row r="135" spans="1:14" ht="24">
      <c r="A135" s="3025">
        <v>63</v>
      </c>
      <c r="B135" s="3764" t="s">
        <v>2665</v>
      </c>
      <c r="C135" s="3025" t="s">
        <v>2666</v>
      </c>
      <c r="D135" s="3003" t="s">
        <v>2667</v>
      </c>
      <c r="E135" s="3026">
        <v>0.1</v>
      </c>
      <c r="F135" s="3025">
        <v>15</v>
      </c>
    </row>
    <row r="136" spans="1:14">
      <c r="A136" s="3025">
        <v>64</v>
      </c>
      <c r="B136" s="3764"/>
      <c r="C136" s="3025" t="s">
        <v>2668</v>
      </c>
      <c r="D136" s="3003" t="s">
        <v>2669</v>
      </c>
      <c r="E136" s="3026">
        <v>0.1</v>
      </c>
      <c r="F136" s="3025">
        <v>15</v>
      </c>
    </row>
    <row r="137" spans="1:14" ht="24">
      <c r="A137" s="3025">
        <v>65</v>
      </c>
      <c r="B137" s="3025" t="s">
        <v>2670</v>
      </c>
      <c r="C137" s="3025" t="s">
        <v>2671</v>
      </c>
      <c r="D137" s="3003" t="s">
        <v>2672</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65" t="s">
        <v>2811</v>
      </c>
      <c r="B1" s="3765"/>
      <c r="C1" s="3765"/>
      <c r="D1" s="3765"/>
      <c r="E1" s="3765"/>
      <c r="F1" s="3765"/>
      <c r="G1" s="3766"/>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2812</v>
      </c>
      <c r="B2" s="3153"/>
      <c r="C2" s="3153"/>
      <c r="D2" s="3153"/>
      <c r="E2" s="3153"/>
      <c r="F2" s="3153"/>
      <c r="G2" s="3148" t="s">
        <v>2813</v>
      </c>
      <c r="J2" s="3177" t="s">
        <v>2819</v>
      </c>
      <c r="K2" s="3157" t="s">
        <v>2821</v>
      </c>
      <c r="L2" s="3157" t="s">
        <v>2823</v>
      </c>
      <c r="M2" s="3157" t="s">
        <v>2829</v>
      </c>
      <c r="N2" s="3157" t="s">
        <v>2839</v>
      </c>
      <c r="O2" s="3157" t="s">
        <v>2854</v>
      </c>
      <c r="P2" s="3157" t="s">
        <v>2891</v>
      </c>
      <c r="Q2" s="3157" t="s">
        <v>2922</v>
      </c>
      <c r="R2" s="3157" t="s">
        <v>2950</v>
      </c>
      <c r="S2" s="3157" t="s">
        <v>2985</v>
      </c>
      <c r="T2" s="3157" t="s">
        <v>3005</v>
      </c>
      <c r="U2" s="3157" t="s">
        <v>3017</v>
      </c>
    </row>
    <row r="3" spans="1:21" s="960" customFormat="1" ht="19.5" customHeight="1">
      <c r="A3" s="3767" t="s">
        <v>2814</v>
      </c>
      <c r="B3" s="3149"/>
      <c r="C3" s="3150" t="s">
        <v>2792</v>
      </c>
      <c r="D3" s="3150" t="s">
        <v>2815</v>
      </c>
      <c r="E3" s="3150" t="s">
        <v>2794</v>
      </c>
      <c r="F3" s="3150" t="s">
        <v>2816</v>
      </c>
      <c r="G3" s="3150" t="s">
        <v>2737</v>
      </c>
      <c r="H3" s="963"/>
      <c r="J3" s="3177" t="s">
        <v>2820</v>
      </c>
      <c r="K3" s="3157" t="s">
        <v>973</v>
      </c>
      <c r="L3" s="3157" t="s">
        <v>974</v>
      </c>
      <c r="M3" s="3157" t="s">
        <v>975</v>
      </c>
      <c r="N3" s="3157" t="s">
        <v>976</v>
      </c>
      <c r="O3" s="3157" t="s">
        <v>977</v>
      </c>
      <c r="P3" s="3157" t="s">
        <v>978</v>
      </c>
      <c r="Q3" s="3157" t="s">
        <v>979</v>
      </c>
      <c r="R3" s="3157" t="s">
        <v>980</v>
      </c>
      <c r="S3" s="3157" t="s">
        <v>981</v>
      </c>
      <c r="T3" s="3157" t="s">
        <v>3006</v>
      </c>
      <c r="U3" s="3157" t="s">
        <v>3018</v>
      </c>
    </row>
    <row r="4" spans="1:21" s="960" customFormat="1" ht="19.5" customHeight="1" thickBot="1">
      <c r="A4" s="3768"/>
      <c r="B4" s="3151" t="s">
        <v>2817</v>
      </c>
      <c r="C4" s="3151" t="s">
        <v>2818</v>
      </c>
      <c r="D4" s="3151" t="s">
        <v>2818</v>
      </c>
      <c r="E4" s="3151" t="s">
        <v>2818</v>
      </c>
      <c r="F4" s="3152" t="s">
        <v>2818</v>
      </c>
      <c r="G4" s="3152" t="s">
        <v>2818</v>
      </c>
      <c r="H4" s="963"/>
      <c r="J4" s="3177" t="s">
        <v>982</v>
      </c>
      <c r="K4" s="3157" t="s">
        <v>983</v>
      </c>
      <c r="L4" s="3157" t="s">
        <v>984</v>
      </c>
      <c r="M4" s="3157" t="s">
        <v>985</v>
      </c>
      <c r="N4" s="3157" t="s">
        <v>986</v>
      </c>
      <c r="O4" s="3157" t="s">
        <v>987</v>
      </c>
      <c r="P4" s="3157" t="s">
        <v>988</v>
      </c>
      <c r="Q4" s="3157" t="s">
        <v>989</v>
      </c>
      <c r="R4" s="3157" t="s">
        <v>2951</v>
      </c>
      <c r="S4" s="3157" t="s">
        <v>2986</v>
      </c>
      <c r="T4" s="3157" t="s">
        <v>3007</v>
      </c>
      <c r="U4" s="3157" t="s">
        <v>3019</v>
      </c>
    </row>
    <row r="5" spans="1:21" ht="14.25" customHeight="1">
      <c r="A5" s="3154" t="s">
        <v>990</v>
      </c>
      <c r="B5" s="3155" t="s">
        <v>2819</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2952</v>
      </c>
      <c r="S5" s="3157" t="s">
        <v>2987</v>
      </c>
      <c r="T5" s="3157" t="s">
        <v>999</v>
      </c>
      <c r="U5" s="3157" t="s">
        <v>3020</v>
      </c>
    </row>
    <row r="6" spans="1:21" ht="14.25" customHeight="1">
      <c r="A6" s="3157" t="s">
        <v>990</v>
      </c>
      <c r="B6" s="3157" t="s">
        <v>2820</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2923</v>
      </c>
      <c r="R6" s="3157" t="s">
        <v>2953</v>
      </c>
      <c r="S6" s="3157" t="s">
        <v>1008</v>
      </c>
      <c r="T6" s="3157" t="s">
        <v>3008</v>
      </c>
      <c r="U6" s="3157" t="s">
        <v>3021</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2924</v>
      </c>
      <c r="R7" s="3157" t="s">
        <v>2954</v>
      </c>
      <c r="S7" s="3157" t="s">
        <v>2988</v>
      </c>
      <c r="T7" s="3157" t="s">
        <v>3009</v>
      </c>
      <c r="U7" s="1215" t="s">
        <v>3022</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0</v>
      </c>
      <c r="K8" s="3157" t="s">
        <v>1015</v>
      </c>
      <c r="L8" s="3157" t="s">
        <v>1016</v>
      </c>
      <c r="M8" s="3157" t="s">
        <v>1017</v>
      </c>
      <c r="N8" s="3157" t="s">
        <v>1018</v>
      </c>
      <c r="O8" s="3157" t="s">
        <v>1019</v>
      </c>
      <c r="P8" s="3157" t="s">
        <v>1020</v>
      </c>
      <c r="Q8" s="3157" t="s">
        <v>2925</v>
      </c>
      <c r="R8" s="3157" t="s">
        <v>1021</v>
      </c>
      <c r="S8" s="3157" t="s">
        <v>2989</v>
      </c>
      <c r="T8" s="3157" t="s">
        <v>3010</v>
      </c>
      <c r="U8" s="3157" t="s">
        <v>3023</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2926</v>
      </c>
      <c r="R9" s="3157" t="s">
        <v>1029</v>
      </c>
      <c r="S9" s="3157" t="s">
        <v>1030</v>
      </c>
      <c r="T9" s="3157" t="s">
        <v>1047</v>
      </c>
    </row>
    <row r="10" spans="1:21" ht="14.25" customHeight="1">
      <c r="A10" s="3154" t="s">
        <v>1031</v>
      </c>
      <c r="B10" s="3155" t="s">
        <v>2821</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3011</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2892</v>
      </c>
      <c r="Q11" s="3157" t="s">
        <v>1038</v>
      </c>
      <c r="R11" s="3157" t="s">
        <v>1046</v>
      </c>
      <c r="S11" s="3157" t="s">
        <v>2990</v>
      </c>
      <c r="T11" s="3157" t="s">
        <v>3012</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2893</v>
      </c>
      <c r="Q12" s="3157" t="s">
        <v>2927</v>
      </c>
      <c r="R12" s="3157" t="s">
        <v>2955</v>
      </c>
      <c r="S12" s="3157" t="s">
        <v>2991</v>
      </c>
      <c r="T12" s="3157" t="s">
        <v>3013</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2894</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2956</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2895</v>
      </c>
      <c r="Q15" s="3157" t="s">
        <v>2928</v>
      </c>
      <c r="R15" s="3157" t="s">
        <v>1090</v>
      </c>
      <c r="S15" s="3157" t="s">
        <v>2992</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2896</v>
      </c>
      <c r="Q16" s="3157" t="s">
        <v>1075</v>
      </c>
      <c r="R16" s="3157" t="s">
        <v>1098</v>
      </c>
      <c r="S16" s="3157" t="s">
        <v>1054</v>
      </c>
      <c r="T16" s="3157" t="s">
        <v>3014</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2897</v>
      </c>
      <c r="Q17" s="3157" t="s">
        <v>2929</v>
      </c>
      <c r="R17" s="3157" t="s">
        <v>1104</v>
      </c>
      <c r="S17" s="3157" t="s">
        <v>2993</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2898</v>
      </c>
      <c r="Q18" s="3157" t="s">
        <v>1089</v>
      </c>
      <c r="R18" s="3157" t="s">
        <v>2957</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2899</v>
      </c>
      <c r="Q19" s="3157" t="s">
        <v>1097</v>
      </c>
      <c r="R19" s="3157" t="s">
        <v>2958</v>
      </c>
      <c r="S19" s="3157" t="s">
        <v>1113</v>
      </c>
      <c r="T19" s="3157" t="s">
        <v>3015</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2900</v>
      </c>
      <c r="Q20" s="3157" t="s">
        <v>2930</v>
      </c>
      <c r="R20" s="3157" t="s">
        <v>1139</v>
      </c>
      <c r="S20" s="3157" t="s">
        <v>2994</v>
      </c>
      <c r="T20" s="3157" t="s">
        <v>1126</v>
      </c>
    </row>
    <row r="21" spans="1:20" ht="14.25" customHeight="1">
      <c r="A21" s="3157" t="s">
        <v>1031</v>
      </c>
      <c r="B21" s="1215" t="s">
        <v>1055</v>
      </c>
      <c r="C21" s="3157">
        <v>32370</v>
      </c>
      <c r="D21" s="3157">
        <v>26730</v>
      </c>
      <c r="E21" s="3157">
        <v>26640</v>
      </c>
      <c r="F21" s="3163"/>
      <c r="G21" s="3164">
        <v>19440</v>
      </c>
      <c r="K21" s="3166" t="s">
        <v>2822</v>
      </c>
      <c r="L21" s="3157" t="s">
        <v>1115</v>
      </c>
      <c r="M21" s="3157" t="s">
        <v>1116</v>
      </c>
      <c r="N21" s="3157" t="s">
        <v>1117</v>
      </c>
      <c r="O21" s="3157" t="s">
        <v>1118</v>
      </c>
      <c r="P21" s="3157" t="s">
        <v>1112</v>
      </c>
      <c r="Q21" s="3157" t="s">
        <v>1132</v>
      </c>
      <c r="R21" s="3157" t="s">
        <v>1142</v>
      </c>
      <c r="S21" s="3157" t="s">
        <v>2995</v>
      </c>
      <c r="T21" s="3157" t="s">
        <v>3016</v>
      </c>
    </row>
    <row r="22" spans="1:20" ht="14.25" customHeight="1">
      <c r="A22" s="3157" t="s">
        <v>1031</v>
      </c>
      <c r="B22" s="1215" t="s">
        <v>1062</v>
      </c>
      <c r="C22" s="3157">
        <v>29830</v>
      </c>
      <c r="D22" s="3157">
        <v>27600</v>
      </c>
      <c r="E22" s="3157">
        <v>28150</v>
      </c>
      <c r="F22" s="3163"/>
      <c r="G22" s="3164">
        <v>20080</v>
      </c>
      <c r="L22" s="3166" t="s">
        <v>2824</v>
      </c>
      <c r="M22" s="3157" t="s">
        <v>1120</v>
      </c>
      <c r="N22" s="3157" t="s">
        <v>1121</v>
      </c>
      <c r="O22" s="3157" t="s">
        <v>1122</v>
      </c>
      <c r="P22" s="3157" t="s">
        <v>2901</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2825</v>
      </c>
      <c r="M23" s="3157" t="s">
        <v>1127</v>
      </c>
      <c r="N23" s="3157" t="s">
        <v>1128</v>
      </c>
      <c r="O23" s="3157" t="s">
        <v>2855</v>
      </c>
      <c r="P23" s="3157" t="s">
        <v>2902</v>
      </c>
      <c r="Q23" s="3157" t="s">
        <v>1138</v>
      </c>
      <c r="R23" s="3157" t="s">
        <v>1147</v>
      </c>
      <c r="S23" s="3157" t="s">
        <v>2996</v>
      </c>
    </row>
    <row r="24" spans="1:20" ht="14.25" customHeight="1">
      <c r="A24" s="3157" t="s">
        <v>1031</v>
      </c>
      <c r="B24" s="1215" t="s">
        <v>1078</v>
      </c>
      <c r="C24" s="3157">
        <v>27930</v>
      </c>
      <c r="D24" s="3157">
        <v>32260</v>
      </c>
      <c r="E24" s="3157">
        <v>32120</v>
      </c>
      <c r="F24" s="3163"/>
      <c r="G24" s="3164">
        <v>23470</v>
      </c>
      <c r="L24" s="3166" t="s">
        <v>2826</v>
      </c>
      <c r="M24" s="3157" t="s">
        <v>1130</v>
      </c>
      <c r="N24" s="3157" t="s">
        <v>1131</v>
      </c>
      <c r="O24" s="3157" t="s">
        <v>2856</v>
      </c>
      <c r="P24" s="3157" t="s">
        <v>1134</v>
      </c>
      <c r="Q24" s="3157" t="s">
        <v>2931</v>
      </c>
      <c r="R24" s="3157" t="s">
        <v>2959</v>
      </c>
      <c r="S24" s="3157" t="s">
        <v>2997</v>
      </c>
    </row>
    <row r="25" spans="1:20" ht="14.25" customHeight="1">
      <c r="A25" s="3157" t="s">
        <v>1031</v>
      </c>
      <c r="B25" s="1215" t="s">
        <v>1083</v>
      </c>
      <c r="C25" s="3157">
        <v>32230</v>
      </c>
      <c r="D25" s="3157">
        <v>29640</v>
      </c>
      <c r="E25" s="3157">
        <v>29510</v>
      </c>
      <c r="F25" s="3163"/>
      <c r="G25" s="3164">
        <v>21560</v>
      </c>
      <c r="L25" s="3166" t="s">
        <v>2827</v>
      </c>
      <c r="M25" s="3157" t="s">
        <v>2830</v>
      </c>
      <c r="N25" s="3157" t="s">
        <v>1133</v>
      </c>
      <c r="O25" s="3157" t="s">
        <v>1141</v>
      </c>
      <c r="P25" s="3157" t="s">
        <v>1137</v>
      </c>
      <c r="Q25" s="3157" t="s">
        <v>1124</v>
      </c>
      <c r="R25" s="3157" t="s">
        <v>1119</v>
      </c>
      <c r="S25" s="3157" t="s">
        <v>2998</v>
      </c>
    </row>
    <row r="26" spans="1:20" ht="14.25" customHeight="1">
      <c r="A26" s="3157" t="s">
        <v>1031</v>
      </c>
      <c r="B26" s="1215" t="s">
        <v>1092</v>
      </c>
      <c r="C26" s="3157">
        <v>31690</v>
      </c>
      <c r="D26" s="3157">
        <v>27650</v>
      </c>
      <c r="E26" s="3157">
        <v>28200</v>
      </c>
      <c r="F26" s="3163"/>
      <c r="G26" s="3164">
        <v>20110</v>
      </c>
      <c r="L26" s="3166" t="s">
        <v>2828</v>
      </c>
      <c r="M26" s="3157" t="s">
        <v>2831</v>
      </c>
      <c r="N26" s="3157" t="s">
        <v>1136</v>
      </c>
      <c r="O26" s="3157" t="s">
        <v>1143</v>
      </c>
      <c r="P26" s="3157" t="s">
        <v>2903</v>
      </c>
      <c r="Q26" s="3157" t="s">
        <v>2932</v>
      </c>
      <c r="R26" s="3157" t="s">
        <v>1125</v>
      </c>
      <c r="S26" s="3157" t="s">
        <v>2999</v>
      </c>
    </row>
    <row r="27" spans="1:20" ht="14.25" customHeight="1">
      <c r="A27" s="3157" t="s">
        <v>1031</v>
      </c>
      <c r="B27" s="1215" t="s">
        <v>1099</v>
      </c>
      <c r="C27" s="3157">
        <v>29610</v>
      </c>
      <c r="D27" s="3157">
        <v>27770</v>
      </c>
      <c r="E27" s="3157">
        <v>28300</v>
      </c>
      <c r="F27" s="3163"/>
      <c r="G27" s="3164">
        <v>20210</v>
      </c>
      <c r="M27" s="3157" t="s">
        <v>2832</v>
      </c>
      <c r="N27" s="3157" t="s">
        <v>1140</v>
      </c>
      <c r="O27" s="3157" t="s">
        <v>1146</v>
      </c>
      <c r="P27" s="3157" t="s">
        <v>1123</v>
      </c>
      <c r="Q27" s="3157" t="s">
        <v>2933</v>
      </c>
      <c r="R27" s="3157" t="s">
        <v>2960</v>
      </c>
      <c r="S27" s="3157" t="s">
        <v>3000</v>
      </c>
    </row>
    <row r="28" spans="1:20" ht="14.25" customHeight="1">
      <c r="A28" s="3171" t="s">
        <v>1031</v>
      </c>
      <c r="B28" s="2405" t="s">
        <v>1107</v>
      </c>
      <c r="C28" s="1213"/>
      <c r="D28" s="1213">
        <v>31520</v>
      </c>
      <c r="E28" s="1213">
        <v>31410</v>
      </c>
      <c r="F28" s="3168"/>
      <c r="G28" s="3169">
        <v>22940</v>
      </c>
      <c r="M28" s="3157" t="s">
        <v>2833</v>
      </c>
      <c r="N28" s="3157" t="s">
        <v>2840</v>
      </c>
      <c r="O28" s="3157" t="s">
        <v>2857</v>
      </c>
      <c r="P28" s="3157" t="s">
        <v>2904</v>
      </c>
      <c r="Q28" s="3157" t="s">
        <v>2934</v>
      </c>
      <c r="R28" s="3157" t="s">
        <v>2961</v>
      </c>
      <c r="S28" s="3166" t="s">
        <v>3001</v>
      </c>
    </row>
    <row r="29" spans="1:20" ht="14.25" customHeight="1" thickBot="1">
      <c r="A29" s="3172" t="s">
        <v>1031</v>
      </c>
      <c r="B29" s="3160" t="s">
        <v>2822</v>
      </c>
      <c r="C29" s="3160"/>
      <c r="D29" s="3160">
        <v>29460</v>
      </c>
      <c r="E29" s="3160">
        <v>28640</v>
      </c>
      <c r="F29" s="3161"/>
      <c r="G29" s="3173">
        <v>21430</v>
      </c>
      <c r="M29" s="3166" t="s">
        <v>2834</v>
      </c>
      <c r="N29" s="3157" t="s">
        <v>2841</v>
      </c>
      <c r="O29" s="3157" t="s">
        <v>2858</v>
      </c>
      <c r="P29" s="3157" t="s">
        <v>2905</v>
      </c>
      <c r="Q29" s="3157" t="s">
        <v>2935</v>
      </c>
      <c r="R29" s="3157" t="s">
        <v>2962</v>
      </c>
      <c r="S29" s="3166" t="s">
        <v>1129</v>
      </c>
    </row>
    <row r="30" spans="1:20" ht="14.25" customHeight="1">
      <c r="A30" s="3171" t="s">
        <v>1145</v>
      </c>
      <c r="B30" s="1215" t="s">
        <v>2823</v>
      </c>
      <c r="C30" s="1215">
        <v>26890</v>
      </c>
      <c r="D30" s="1215">
        <v>26770</v>
      </c>
      <c r="E30" s="1215">
        <v>25700</v>
      </c>
      <c r="F30" s="3158">
        <v>8180</v>
      </c>
      <c r="G30" s="3158">
        <v>18740</v>
      </c>
      <c r="I30" s="970"/>
      <c r="M30" s="3166" t="s">
        <v>2835</v>
      </c>
      <c r="N30" s="3157" t="s">
        <v>2842</v>
      </c>
      <c r="O30" s="3157" t="s">
        <v>2859</v>
      </c>
      <c r="P30" s="3157" t="s">
        <v>2906</v>
      </c>
      <c r="Q30" s="3157" t="s">
        <v>2936</v>
      </c>
      <c r="R30" s="3157" t="s">
        <v>2963</v>
      </c>
      <c r="S30" s="3166" t="s">
        <v>3002</v>
      </c>
    </row>
    <row r="31" spans="1:20" ht="14.25" customHeight="1">
      <c r="A31" s="3157" t="s">
        <v>1145</v>
      </c>
      <c r="B31" s="1215" t="s">
        <v>974</v>
      </c>
      <c r="C31" s="3157">
        <v>24550</v>
      </c>
      <c r="D31" s="3157">
        <v>23990</v>
      </c>
      <c r="E31" s="3157">
        <v>22930</v>
      </c>
      <c r="F31" s="3163">
        <v>7470</v>
      </c>
      <c r="G31" s="3163">
        <v>16790</v>
      </c>
      <c r="I31" s="970"/>
      <c r="M31" s="3166" t="s">
        <v>2836</v>
      </c>
      <c r="N31" s="3157" t="s">
        <v>2843</v>
      </c>
      <c r="O31" s="3157" t="s">
        <v>2860</v>
      </c>
      <c r="P31" s="3157" t="s">
        <v>2907</v>
      </c>
      <c r="Q31" s="3157" t="s">
        <v>2937</v>
      </c>
      <c r="R31" s="3157" t="s">
        <v>2964</v>
      </c>
      <c r="S31" s="3166" t="s">
        <v>3003</v>
      </c>
    </row>
    <row r="32" spans="1:20" ht="14.25" customHeight="1">
      <c r="A32" s="3157" t="s">
        <v>1145</v>
      </c>
      <c r="B32" s="1215" t="s">
        <v>984</v>
      </c>
      <c r="C32" s="3157">
        <v>27210</v>
      </c>
      <c r="D32" s="3157">
        <v>23240</v>
      </c>
      <c r="E32" s="3157">
        <v>23260</v>
      </c>
      <c r="F32" s="3163">
        <v>7130</v>
      </c>
      <c r="G32" s="3163">
        <v>16270</v>
      </c>
      <c r="I32" s="970"/>
      <c r="M32" s="3166" t="s">
        <v>2837</v>
      </c>
      <c r="N32" s="3157" t="s">
        <v>2844</v>
      </c>
      <c r="O32" s="3157" t="s">
        <v>1149</v>
      </c>
      <c r="P32" s="3157" t="s">
        <v>2908</v>
      </c>
      <c r="Q32" s="3157" t="s">
        <v>1148</v>
      </c>
      <c r="R32" s="3157" t="s">
        <v>2965</v>
      </c>
      <c r="S32" s="3166" t="s">
        <v>3004</v>
      </c>
    </row>
    <row r="33" spans="1:18" ht="14.25" customHeight="1">
      <c r="A33" s="3157" t="s">
        <v>1145</v>
      </c>
      <c r="B33" s="1215" t="s">
        <v>993</v>
      </c>
      <c r="C33" s="3157">
        <v>27300</v>
      </c>
      <c r="D33" s="3157">
        <v>22980</v>
      </c>
      <c r="E33" s="3157">
        <v>24260</v>
      </c>
      <c r="F33" s="3163">
        <v>5860</v>
      </c>
      <c r="G33" s="3163">
        <v>16090</v>
      </c>
      <c r="I33" s="970"/>
      <c r="M33" s="3166" t="s">
        <v>2838</v>
      </c>
      <c r="N33" s="3157" t="s">
        <v>2845</v>
      </c>
      <c r="O33" s="3157" t="s">
        <v>1150</v>
      </c>
      <c r="P33" s="3157" t="s">
        <v>2909</v>
      </c>
      <c r="Q33" s="3157" t="s">
        <v>2938</v>
      </c>
      <c r="R33" s="3157" t="s">
        <v>2966</v>
      </c>
    </row>
    <row r="34" spans="1:18" ht="14.25" customHeight="1">
      <c r="A34" s="3157" t="s">
        <v>1145</v>
      </c>
      <c r="B34" s="1215" t="s">
        <v>1003</v>
      </c>
      <c r="C34" s="3157">
        <v>23090</v>
      </c>
      <c r="D34" s="3157">
        <v>23390</v>
      </c>
      <c r="E34" s="3157">
        <v>23510</v>
      </c>
      <c r="F34" s="3163">
        <v>6700</v>
      </c>
      <c r="G34" s="3163">
        <v>16370</v>
      </c>
      <c r="I34" s="970"/>
      <c r="N34" s="3157" t="s">
        <v>2846</v>
      </c>
      <c r="O34" s="3157" t="s">
        <v>1151</v>
      </c>
      <c r="P34" s="3157" t="s">
        <v>2910</v>
      </c>
      <c r="Q34" s="3157" t="s">
        <v>2939</v>
      </c>
      <c r="R34" s="3157" t="s">
        <v>2967</v>
      </c>
    </row>
    <row r="35" spans="1:18" ht="14.25" customHeight="1">
      <c r="A35" s="3157" t="s">
        <v>1145</v>
      </c>
      <c r="B35" s="1215" t="s">
        <v>1010</v>
      </c>
      <c r="C35" s="3157">
        <v>27270</v>
      </c>
      <c r="D35" s="3157">
        <v>24270</v>
      </c>
      <c r="E35" s="3157">
        <v>24950</v>
      </c>
      <c r="F35" s="3163">
        <v>6600</v>
      </c>
      <c r="G35" s="3163">
        <v>16990</v>
      </c>
      <c r="I35" s="970"/>
      <c r="N35" s="3157" t="s">
        <v>2847</v>
      </c>
      <c r="O35" s="3157" t="s">
        <v>2861</v>
      </c>
      <c r="P35" s="3157" t="s">
        <v>2911</v>
      </c>
      <c r="Q35" s="3157" t="s">
        <v>2940</v>
      </c>
      <c r="R35" s="3157" t="s">
        <v>2968</v>
      </c>
    </row>
    <row r="36" spans="1:18" ht="14.25" customHeight="1">
      <c r="A36" s="3157" t="s">
        <v>1145</v>
      </c>
      <c r="B36" s="1215" t="s">
        <v>1016</v>
      </c>
      <c r="C36" s="3157">
        <v>23490</v>
      </c>
      <c r="D36" s="3157">
        <v>23020</v>
      </c>
      <c r="E36" s="3157">
        <v>25230</v>
      </c>
      <c r="F36" s="3163">
        <v>6780</v>
      </c>
      <c r="G36" s="3163">
        <v>16120</v>
      </c>
      <c r="I36" s="970"/>
      <c r="N36" s="3166" t="s">
        <v>2848</v>
      </c>
      <c r="O36" s="3193" t="s">
        <v>2862</v>
      </c>
      <c r="P36" s="3157" t="s">
        <v>2912</v>
      </c>
      <c r="Q36" s="3157" t="s">
        <v>2941</v>
      </c>
      <c r="R36" s="3157" t="s">
        <v>2969</v>
      </c>
    </row>
    <row r="37" spans="1:18" ht="14.25" customHeight="1">
      <c r="A37" s="3157" t="s">
        <v>1145</v>
      </c>
      <c r="B37" s="1215" t="s">
        <v>1023</v>
      </c>
      <c r="C37" s="3157">
        <v>24380</v>
      </c>
      <c r="D37" s="3157">
        <v>22240</v>
      </c>
      <c r="E37" s="3157">
        <v>25980</v>
      </c>
      <c r="F37" s="3163">
        <v>8160</v>
      </c>
      <c r="G37" s="3163">
        <v>15570</v>
      </c>
      <c r="I37" s="971"/>
      <c r="N37" s="3166" t="s">
        <v>2849</v>
      </c>
      <c r="O37" s="3193" t="s">
        <v>2863</v>
      </c>
      <c r="P37" s="3157" t="s">
        <v>2913</v>
      </c>
      <c r="Q37" s="3157" t="s">
        <v>2942</v>
      </c>
      <c r="R37" s="3157" t="s">
        <v>2970</v>
      </c>
    </row>
    <row r="38" spans="1:18" ht="14.25" customHeight="1">
      <c r="A38" s="3157" t="s">
        <v>1145</v>
      </c>
      <c r="B38" s="1215" t="s">
        <v>1033</v>
      </c>
      <c r="C38" s="3157">
        <v>23120</v>
      </c>
      <c r="D38" s="3157">
        <v>24630</v>
      </c>
      <c r="E38" s="3157">
        <v>25030</v>
      </c>
      <c r="F38" s="3163">
        <v>7710</v>
      </c>
      <c r="G38" s="3163">
        <v>17240</v>
      </c>
      <c r="I38" s="970"/>
      <c r="N38" s="3166" t="s">
        <v>2850</v>
      </c>
      <c r="O38" s="3193" t="s">
        <v>2864</v>
      </c>
      <c r="P38" s="3157" t="s">
        <v>2914</v>
      </c>
      <c r="Q38" s="3157" t="s">
        <v>2943</v>
      </c>
      <c r="R38" s="3157" t="s">
        <v>2971</v>
      </c>
    </row>
    <row r="39" spans="1:18" ht="14.25" customHeight="1">
      <c r="A39" s="3157" t="s">
        <v>1145</v>
      </c>
      <c r="B39" s="1215" t="s">
        <v>1042</v>
      </c>
      <c r="C39" s="3157">
        <v>22330</v>
      </c>
      <c r="D39" s="3157">
        <v>21140</v>
      </c>
      <c r="E39" s="3157">
        <v>23970</v>
      </c>
      <c r="F39" s="3163">
        <v>7940</v>
      </c>
      <c r="G39" s="3163">
        <v>14790</v>
      </c>
      <c r="I39" s="970"/>
      <c r="N39" s="3166" t="s">
        <v>2851</v>
      </c>
      <c r="O39" s="3193" t="s">
        <v>2865</v>
      </c>
      <c r="P39" s="3157" t="s">
        <v>2915</v>
      </c>
      <c r="Q39" s="3157" t="s">
        <v>2944</v>
      </c>
      <c r="R39" s="3157" t="s">
        <v>2972</v>
      </c>
    </row>
    <row r="40" spans="1:18" ht="14.25" customHeight="1">
      <c r="A40" s="3157" t="s">
        <v>1145</v>
      </c>
      <c r="B40" s="1215" t="s">
        <v>1049</v>
      </c>
      <c r="C40" s="3157">
        <v>24740</v>
      </c>
      <c r="D40" s="3157">
        <v>24690</v>
      </c>
      <c r="E40" s="3157">
        <v>22610</v>
      </c>
      <c r="F40" s="3163"/>
      <c r="G40" s="3163">
        <v>17280</v>
      </c>
      <c r="I40" s="970"/>
      <c r="N40" s="3166" t="s">
        <v>2852</v>
      </c>
      <c r="O40" s="3193" t="s">
        <v>2866</v>
      </c>
      <c r="P40" s="3157" t="s">
        <v>2916</v>
      </c>
      <c r="Q40" s="3157" t="s">
        <v>2945</v>
      </c>
      <c r="R40" s="3157" t="s">
        <v>2973</v>
      </c>
    </row>
    <row r="41" spans="1:18" ht="14.25" customHeight="1">
      <c r="A41" s="3157" t="s">
        <v>1145</v>
      </c>
      <c r="B41" s="1215" t="s">
        <v>1056</v>
      </c>
      <c r="C41" s="3157">
        <v>21220</v>
      </c>
      <c r="D41" s="3157">
        <v>21120</v>
      </c>
      <c r="E41" s="3157">
        <v>22590</v>
      </c>
      <c r="F41" s="3163"/>
      <c r="G41" s="3163">
        <v>14780</v>
      </c>
      <c r="I41" s="970"/>
      <c r="N41" s="3166" t="s">
        <v>2853</v>
      </c>
      <c r="O41" s="3194" t="s">
        <v>2867</v>
      </c>
      <c r="P41" s="1215" t="s">
        <v>2917</v>
      </c>
      <c r="Q41" s="3166" t="s">
        <v>2946</v>
      </c>
      <c r="R41" s="1215" t="s">
        <v>2974</v>
      </c>
    </row>
    <row r="42" spans="1:18" ht="14.25" customHeight="1">
      <c r="A42" s="3157" t="s">
        <v>1145</v>
      </c>
      <c r="B42" s="1215" t="s">
        <v>1063</v>
      </c>
      <c r="C42" s="3157">
        <v>24800</v>
      </c>
      <c r="D42" s="3157">
        <v>22280</v>
      </c>
      <c r="E42" s="3157">
        <v>24350</v>
      </c>
      <c r="F42" s="3163"/>
      <c r="G42" s="3163">
        <v>15590</v>
      </c>
      <c r="I42" s="970"/>
      <c r="O42" s="3157" t="s">
        <v>2868</v>
      </c>
      <c r="P42" s="3157" t="s">
        <v>2918</v>
      </c>
      <c r="Q42" s="3166" t="s">
        <v>2947</v>
      </c>
      <c r="R42" s="3157" t="s">
        <v>2975</v>
      </c>
    </row>
    <row r="43" spans="1:18" ht="14.25" customHeight="1">
      <c r="A43" s="3157" t="s">
        <v>1145</v>
      </c>
      <c r="B43" s="1215" t="s">
        <v>1071</v>
      </c>
      <c r="C43" s="3157">
        <v>21210</v>
      </c>
      <c r="D43" s="3157">
        <v>21160</v>
      </c>
      <c r="E43" s="3157">
        <v>22650</v>
      </c>
      <c r="F43" s="3163"/>
      <c r="G43" s="3163">
        <v>14800</v>
      </c>
      <c r="I43" s="970"/>
      <c r="O43" s="3157" t="s">
        <v>2869</v>
      </c>
      <c r="P43" s="3157" t="s">
        <v>2919</v>
      </c>
      <c r="Q43" s="3166" t="s">
        <v>2948</v>
      </c>
      <c r="R43" s="3157" t="s">
        <v>2976</v>
      </c>
    </row>
    <row r="44" spans="1:18" ht="14.25" customHeight="1">
      <c r="A44" s="3157" t="s">
        <v>1145</v>
      </c>
      <c r="B44" s="1215" t="s">
        <v>1079</v>
      </c>
      <c r="C44" s="3157">
        <v>22370</v>
      </c>
      <c r="D44" s="3157">
        <v>23140</v>
      </c>
      <c r="E44" s="3157">
        <v>25090</v>
      </c>
      <c r="F44" s="3163"/>
      <c r="G44" s="3163">
        <v>16190</v>
      </c>
      <c r="I44" s="970"/>
      <c r="O44" s="3157" t="s">
        <v>2870</v>
      </c>
      <c r="P44" s="3157" t="s">
        <v>2920</v>
      </c>
      <c r="Q44" s="3166" t="s">
        <v>2949</v>
      </c>
      <c r="R44" s="3157" t="s">
        <v>2977</v>
      </c>
    </row>
    <row r="45" spans="1:18" ht="14.25" customHeight="1">
      <c r="A45" s="3157" t="s">
        <v>1145</v>
      </c>
      <c r="B45" s="1215" t="s">
        <v>1084</v>
      </c>
      <c r="C45" s="3157">
        <v>21240</v>
      </c>
      <c r="D45" s="3157">
        <v>27050</v>
      </c>
      <c r="E45" s="3157">
        <v>28000</v>
      </c>
      <c r="F45" s="3163"/>
      <c r="G45" s="3163">
        <v>18940</v>
      </c>
      <c r="I45" s="970"/>
      <c r="O45" s="3157" t="s">
        <v>2871</v>
      </c>
      <c r="P45" s="3157" t="s">
        <v>2921</v>
      </c>
      <c r="R45" s="3157" t="s">
        <v>2978</v>
      </c>
    </row>
    <row r="46" spans="1:18" ht="14.25" customHeight="1">
      <c r="A46" s="3157" t="s">
        <v>1145</v>
      </c>
      <c r="B46" s="1215" t="s">
        <v>1093</v>
      </c>
      <c r="C46" s="3157">
        <v>23240</v>
      </c>
      <c r="D46" s="3157">
        <v>23000</v>
      </c>
      <c r="E46" s="3157">
        <v>24980</v>
      </c>
      <c r="F46" s="3163"/>
      <c r="G46" s="3163">
        <v>16100</v>
      </c>
      <c r="I46" s="970"/>
      <c r="O46" s="3157" t="s">
        <v>2872</v>
      </c>
      <c r="P46" s="3157"/>
      <c r="R46" s="3157" t="s">
        <v>2979</v>
      </c>
    </row>
    <row r="47" spans="1:18" ht="14.25" customHeight="1">
      <c r="A47" s="3157" t="s">
        <v>1145</v>
      </c>
      <c r="B47" s="2405" t="s">
        <v>1100</v>
      </c>
      <c r="C47" s="1213">
        <v>27150</v>
      </c>
      <c r="D47" s="1213">
        <v>23310</v>
      </c>
      <c r="E47" s="1213">
        <v>25150</v>
      </c>
      <c r="F47" s="3168"/>
      <c r="G47" s="3168">
        <v>16310</v>
      </c>
      <c r="I47" s="970"/>
      <c r="O47" s="3157" t="s">
        <v>2873</v>
      </c>
      <c r="P47" s="3157"/>
      <c r="R47" s="3166" t="s">
        <v>2980</v>
      </c>
    </row>
    <row r="48" spans="1:18" ht="14.25" customHeight="1">
      <c r="A48" s="3157" t="s">
        <v>1145</v>
      </c>
      <c r="B48" s="3157" t="s">
        <v>1108</v>
      </c>
      <c r="C48" s="3157">
        <v>23100</v>
      </c>
      <c r="D48" s="3157">
        <v>21110</v>
      </c>
      <c r="E48" s="3157">
        <v>23080</v>
      </c>
      <c r="F48" s="3163"/>
      <c r="G48" s="3170">
        <v>14780</v>
      </c>
      <c r="I48" s="970"/>
      <c r="O48" s="3157" t="s">
        <v>2874</v>
      </c>
      <c r="P48" s="3157"/>
      <c r="R48" s="3166" t="s">
        <v>2981</v>
      </c>
    </row>
    <row r="49" spans="1:18" ht="14.25" customHeight="1">
      <c r="A49" s="3157" t="s">
        <v>1145</v>
      </c>
      <c r="B49" s="1215" t="s">
        <v>1115</v>
      </c>
      <c r="C49" s="1215">
        <v>23400</v>
      </c>
      <c r="D49" s="1215">
        <v>22920</v>
      </c>
      <c r="E49" s="1215">
        <v>24900</v>
      </c>
      <c r="F49" s="3158"/>
      <c r="G49" s="3158">
        <v>16040</v>
      </c>
      <c r="I49" s="970"/>
      <c r="O49" s="3157" t="s">
        <v>2875</v>
      </c>
      <c r="P49" s="3157"/>
      <c r="R49" s="3166" t="s">
        <v>2982</v>
      </c>
    </row>
    <row r="50" spans="1:18" ht="14.25" customHeight="1">
      <c r="A50" s="3157" t="s">
        <v>1145</v>
      </c>
      <c r="B50" s="3157" t="s">
        <v>2824</v>
      </c>
      <c r="C50" s="3157">
        <v>21200</v>
      </c>
      <c r="D50" s="3157">
        <v>26540</v>
      </c>
      <c r="E50" s="3157">
        <v>23200</v>
      </c>
      <c r="F50" s="3163"/>
      <c r="G50" s="3163">
        <v>18580</v>
      </c>
      <c r="I50" s="970"/>
      <c r="O50" s="3166" t="s">
        <v>2876</v>
      </c>
      <c r="R50" s="3166" t="s">
        <v>2983</v>
      </c>
    </row>
    <row r="51" spans="1:18" ht="14.25" customHeight="1">
      <c r="A51" s="3157" t="s">
        <v>1145</v>
      </c>
      <c r="B51" s="3157" t="s">
        <v>2825</v>
      </c>
      <c r="C51" s="3157">
        <v>23000</v>
      </c>
      <c r="D51" s="3157">
        <v>23460</v>
      </c>
      <c r="E51" s="3157">
        <v>25290</v>
      </c>
      <c r="F51" s="3163"/>
      <c r="G51" s="3163">
        <v>16420</v>
      </c>
      <c r="I51" s="970"/>
      <c r="O51" s="3166" t="s">
        <v>2877</v>
      </c>
      <c r="R51" s="3166" t="s">
        <v>2984</v>
      </c>
    </row>
    <row r="52" spans="1:18" ht="14.25" customHeight="1">
      <c r="A52" s="3157" t="s">
        <v>1145</v>
      </c>
      <c r="B52" s="3157" t="s">
        <v>2826</v>
      </c>
      <c r="C52" s="3157">
        <v>26660</v>
      </c>
      <c r="D52" s="3157">
        <v>22350</v>
      </c>
      <c r="E52" s="3157">
        <v>22920</v>
      </c>
      <c r="F52" s="3163"/>
      <c r="G52" s="3163">
        <v>15640</v>
      </c>
      <c r="I52" s="970"/>
      <c r="O52" s="3166" t="s">
        <v>2878</v>
      </c>
    </row>
    <row r="53" spans="1:18" ht="14.25" customHeight="1">
      <c r="A53" s="3157" t="s">
        <v>1145</v>
      </c>
      <c r="B53" s="3157" t="s">
        <v>2827</v>
      </c>
      <c r="C53" s="3157">
        <v>23580</v>
      </c>
      <c r="D53" s="3157"/>
      <c r="E53" s="3157">
        <v>24280</v>
      </c>
      <c r="F53" s="3163"/>
      <c r="G53" s="3163"/>
      <c r="I53" s="970"/>
      <c r="O53" s="3166" t="s">
        <v>2879</v>
      </c>
    </row>
    <row r="54" spans="1:18" ht="14.25" customHeight="1" thickBot="1">
      <c r="A54" s="3172" t="s">
        <v>1145</v>
      </c>
      <c r="B54" s="3160" t="s">
        <v>2828</v>
      </c>
      <c r="C54" s="3160">
        <v>22460</v>
      </c>
      <c r="D54" s="3160"/>
      <c r="E54" s="3160"/>
      <c r="F54" s="3161"/>
      <c r="G54" s="3173"/>
      <c r="I54" s="970"/>
      <c r="O54" s="3166" t="s">
        <v>2880</v>
      </c>
    </row>
    <row r="55" spans="1:18" ht="14.25" customHeight="1">
      <c r="A55" s="3171" t="s">
        <v>853</v>
      </c>
      <c r="B55" s="1215" t="s">
        <v>2829</v>
      </c>
      <c r="C55" s="1215">
        <v>21970</v>
      </c>
      <c r="D55" s="1215">
        <v>20370</v>
      </c>
      <c r="E55" s="1215">
        <v>20180</v>
      </c>
      <c r="F55" s="3158">
        <v>5730</v>
      </c>
      <c r="G55" s="3158">
        <v>13820</v>
      </c>
      <c r="I55" s="970"/>
      <c r="O55" s="3166" t="s">
        <v>2881</v>
      </c>
    </row>
    <row r="56" spans="1:18" ht="14.25" customHeight="1">
      <c r="A56" s="3157" t="s">
        <v>853</v>
      </c>
      <c r="B56" s="3157" t="s">
        <v>975</v>
      </c>
      <c r="C56" s="3157">
        <v>20470</v>
      </c>
      <c r="D56" s="3157">
        <v>20700</v>
      </c>
      <c r="E56" s="3157">
        <v>20380</v>
      </c>
      <c r="F56" s="3163">
        <v>4760</v>
      </c>
      <c r="G56" s="3163">
        <v>14050</v>
      </c>
      <c r="I56" s="970"/>
      <c r="O56" s="3166" t="s">
        <v>2882</v>
      </c>
    </row>
    <row r="57" spans="1:18" ht="14.25" customHeight="1">
      <c r="A57" s="3157" t="s">
        <v>853</v>
      </c>
      <c r="B57" s="3157" t="s">
        <v>985</v>
      </c>
      <c r="C57" s="3157">
        <v>20790</v>
      </c>
      <c r="D57" s="3157">
        <v>21370</v>
      </c>
      <c r="E57" s="3157">
        <v>20890</v>
      </c>
      <c r="F57" s="3163">
        <v>4910</v>
      </c>
      <c r="G57" s="3163">
        <v>14510</v>
      </c>
      <c r="I57" s="970"/>
      <c r="O57" s="3166" t="s">
        <v>2883</v>
      </c>
    </row>
    <row r="58" spans="1:18" ht="14.25" customHeight="1">
      <c r="A58" s="3157" t="s">
        <v>853</v>
      </c>
      <c r="B58" s="3157" t="s">
        <v>994</v>
      </c>
      <c r="C58" s="3157">
        <v>21460</v>
      </c>
      <c r="D58" s="3157">
        <v>20920</v>
      </c>
      <c r="E58" s="3157">
        <v>23410</v>
      </c>
      <c r="F58" s="3163">
        <v>5100</v>
      </c>
      <c r="G58" s="3163">
        <v>14200</v>
      </c>
      <c r="I58" s="970"/>
      <c r="O58" s="3166" t="s">
        <v>2884</v>
      </c>
    </row>
    <row r="59" spans="1:18" ht="14.25" customHeight="1">
      <c r="A59" s="3157" t="s">
        <v>853</v>
      </c>
      <c r="B59" s="3157" t="s">
        <v>1004</v>
      </c>
      <c r="C59" s="3157">
        <v>21000</v>
      </c>
      <c r="D59" s="3157">
        <v>21550</v>
      </c>
      <c r="E59" s="3157">
        <v>21150</v>
      </c>
      <c r="F59" s="3163">
        <v>5250</v>
      </c>
      <c r="G59" s="3163">
        <v>14630</v>
      </c>
      <c r="I59" s="970"/>
      <c r="O59" s="3166" t="s">
        <v>2885</v>
      </c>
    </row>
    <row r="60" spans="1:18" ht="14.25" customHeight="1">
      <c r="A60" s="3157" t="s">
        <v>853</v>
      </c>
      <c r="B60" s="3157" t="s">
        <v>1011</v>
      </c>
      <c r="C60" s="3157">
        <v>21640</v>
      </c>
      <c r="D60" s="3157">
        <v>21260</v>
      </c>
      <c r="E60" s="3157">
        <v>24040</v>
      </c>
      <c r="F60" s="3163">
        <v>4470</v>
      </c>
      <c r="G60" s="3163">
        <v>14430</v>
      </c>
      <c r="I60" s="970"/>
      <c r="O60" s="3166" t="s">
        <v>2886</v>
      </c>
    </row>
    <row r="61" spans="1:18" ht="14.25" customHeight="1">
      <c r="A61" s="3157" t="s">
        <v>853</v>
      </c>
      <c r="B61" s="3157" t="s">
        <v>1017</v>
      </c>
      <c r="C61" s="3157">
        <v>21330</v>
      </c>
      <c r="D61" s="3157">
        <v>18640</v>
      </c>
      <c r="E61" s="3157">
        <v>21190</v>
      </c>
      <c r="F61" s="3163">
        <v>4180</v>
      </c>
      <c r="G61" s="3165">
        <v>12650</v>
      </c>
      <c r="I61" s="970"/>
      <c r="O61" s="3166" t="s">
        <v>2887</v>
      </c>
    </row>
    <row r="62" spans="1:18" ht="14.25" customHeight="1">
      <c r="A62" s="3157" t="s">
        <v>853</v>
      </c>
      <c r="B62" s="3157" t="s">
        <v>1024</v>
      </c>
      <c r="C62" s="3157">
        <v>18710</v>
      </c>
      <c r="D62" s="3157">
        <v>19400</v>
      </c>
      <c r="E62" s="3157">
        <v>23750</v>
      </c>
      <c r="F62" s="3163">
        <v>4860</v>
      </c>
      <c r="G62" s="3165">
        <v>13170</v>
      </c>
      <c r="I62" s="970"/>
      <c r="O62" s="3166" t="s">
        <v>2888</v>
      </c>
    </row>
    <row r="63" spans="1:18" ht="14.25" customHeight="1">
      <c r="A63" s="3157" t="s">
        <v>853</v>
      </c>
      <c r="B63" s="3157" t="s">
        <v>1034</v>
      </c>
      <c r="C63" s="3157">
        <v>19480</v>
      </c>
      <c r="D63" s="3157">
        <v>16830</v>
      </c>
      <c r="E63" s="3157">
        <v>21590</v>
      </c>
      <c r="F63" s="3163">
        <v>4560</v>
      </c>
      <c r="G63" s="3165">
        <v>11420</v>
      </c>
      <c r="I63" s="970"/>
      <c r="O63" s="3166" t="s">
        <v>2889</v>
      </c>
    </row>
    <row r="64" spans="1:18" ht="14.25" customHeight="1">
      <c r="A64" s="3157" t="s">
        <v>853</v>
      </c>
      <c r="B64" s="3157" t="s">
        <v>1043</v>
      </c>
      <c r="C64" s="3157">
        <v>16920</v>
      </c>
      <c r="D64" s="3157">
        <v>19190</v>
      </c>
      <c r="E64" s="3157">
        <v>22200</v>
      </c>
      <c r="F64" s="3163">
        <v>4390</v>
      </c>
      <c r="G64" s="3165">
        <v>13030</v>
      </c>
      <c r="I64" s="970"/>
      <c r="O64" s="3166" t="s">
        <v>2890</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2830</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2831</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2832</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2833</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2834</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2835</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2836</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2837</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2838</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2839</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2840</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2841</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2842</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2843</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2844</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2845</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2846</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2847</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2848</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2849</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2850</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2851</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2852</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2853</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2854</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2855</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2856</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2857</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2858</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2859</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2860</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2861</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2862</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2863</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2864</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2865</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2866</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2867</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2868</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2869</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2870</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2871</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2872</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2873</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2874</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2875</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2876</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2877</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2878</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2879</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2880</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2881</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2882</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2883</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2884</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2885</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2886</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2887</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2888</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2889</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2890</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2891</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2892</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2893</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2894</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2895</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2896</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2897</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2898</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2899</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2900</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2901</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2902</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2903</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2904</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2905</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2906</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2907</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2908</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2909</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2910</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2911</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2912</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2913</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2914</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2915</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2916</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2917</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2918</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2919</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2920</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2921</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2922</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2923</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2924</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2925</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2926</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2927</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2928</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2929</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2930</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2931</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2932</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2933</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2934</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2935</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2936</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2937</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2938</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2939</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2940</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2941</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2942</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2943</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2944</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2945</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2946</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2947</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2948</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2949</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2950</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2951</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2952</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2953</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2954</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2955</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2956</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2957</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2958</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2959</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2960</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2961</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2962</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2963</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2964</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2965</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2966</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2967</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2968</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2969</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2970</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2971</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2972</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2973</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2974</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2975</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2976</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2977</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2978</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2979</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2980</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2981</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2982</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2983</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2984</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2985</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2986</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2987</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2988</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2989</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2990</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2991</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2992</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2993</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2994</v>
      </c>
      <c r="C345" s="3166">
        <v>3190</v>
      </c>
      <c r="D345" s="3166">
        <v>3140</v>
      </c>
      <c r="E345" s="3166">
        <v>3450</v>
      </c>
      <c r="F345" s="3166">
        <v>720</v>
      </c>
      <c r="G345" s="3166">
        <v>1880</v>
      </c>
      <c r="H345" s="956"/>
    </row>
    <row r="346" spans="1:21">
      <c r="A346" s="3166" t="s">
        <v>1157</v>
      </c>
      <c r="B346" s="3166" t="s">
        <v>2995</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2996</v>
      </c>
      <c r="C348" s="3166">
        <v>4000</v>
      </c>
      <c r="D348" s="3166">
        <v>3950</v>
      </c>
      <c r="E348" s="3166">
        <v>4430</v>
      </c>
      <c r="F348" s="3166">
        <v>760</v>
      </c>
      <c r="G348" s="3166">
        <v>2360</v>
      </c>
      <c r="H348" s="956"/>
    </row>
    <row r="349" spans="1:21">
      <c r="A349" s="3166" t="s">
        <v>1157</v>
      </c>
      <c r="B349" s="3166" t="s">
        <v>2997</v>
      </c>
      <c r="C349" s="3166">
        <v>3820</v>
      </c>
      <c r="D349" s="3166">
        <v>3780</v>
      </c>
      <c r="E349" s="3166">
        <v>4170</v>
      </c>
      <c r="F349" s="3166">
        <v>710</v>
      </c>
      <c r="G349" s="3166">
        <v>2260</v>
      </c>
      <c r="H349" s="956"/>
    </row>
    <row r="350" spans="1:21">
      <c r="A350" s="3166" t="s">
        <v>1157</v>
      </c>
      <c r="B350" s="3166" t="s">
        <v>2998</v>
      </c>
      <c r="C350" s="3166">
        <v>3760</v>
      </c>
      <c r="D350" s="3166">
        <v>3730</v>
      </c>
      <c r="E350" s="3166">
        <v>4100</v>
      </c>
      <c r="F350" s="3166">
        <v>800</v>
      </c>
      <c r="G350" s="3166">
        <v>2230</v>
      </c>
      <c r="H350" s="956"/>
    </row>
    <row r="351" spans="1:21">
      <c r="A351" s="3166" t="s">
        <v>1157</v>
      </c>
      <c r="B351" s="3166" t="s">
        <v>2999</v>
      </c>
      <c r="C351" s="3166">
        <v>3610</v>
      </c>
      <c r="D351" s="3166">
        <v>3580</v>
      </c>
      <c r="E351" s="3166">
        <v>3930</v>
      </c>
      <c r="F351" s="3166">
        <v>700</v>
      </c>
      <c r="G351" s="3166">
        <v>2140</v>
      </c>
      <c r="H351" s="956"/>
    </row>
    <row r="352" spans="1:21">
      <c r="A352" s="3166" t="s">
        <v>1157</v>
      </c>
      <c r="B352" s="3166" t="s">
        <v>3000</v>
      </c>
      <c r="C352" s="3166">
        <v>3670</v>
      </c>
      <c r="D352" s="3166">
        <v>3630</v>
      </c>
      <c r="E352" s="3166">
        <v>4000</v>
      </c>
      <c r="F352" s="3166">
        <v>750</v>
      </c>
      <c r="G352" s="3166">
        <v>2180</v>
      </c>
      <c r="H352" s="956"/>
    </row>
    <row r="353" spans="1:8">
      <c r="A353" s="3166" t="s">
        <v>1157</v>
      </c>
      <c r="B353" s="3166" t="s">
        <v>3001</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3002</v>
      </c>
      <c r="C355" s="3166">
        <v>3650</v>
      </c>
      <c r="D355" s="3166">
        <v>3610</v>
      </c>
      <c r="E355" s="3166">
        <v>4200</v>
      </c>
      <c r="F355" s="3166">
        <v>640</v>
      </c>
      <c r="G355" s="3166">
        <v>2160</v>
      </c>
      <c r="H355" s="956"/>
    </row>
    <row r="356" spans="1:8">
      <c r="A356" s="3166" t="s">
        <v>1157</v>
      </c>
      <c r="B356" s="3166" t="s">
        <v>3003</v>
      </c>
      <c r="C356" s="3166">
        <v>3260</v>
      </c>
      <c r="D356" s="3166">
        <v>3230</v>
      </c>
      <c r="E356" s="3166">
        <v>3740</v>
      </c>
      <c r="F356" s="3166">
        <v>600</v>
      </c>
      <c r="G356" s="3166">
        <v>1930</v>
      </c>
      <c r="H356" s="956"/>
    </row>
    <row r="357" spans="1:8" ht="14.25" thickBot="1">
      <c r="A357" s="3181" t="s">
        <v>1157</v>
      </c>
      <c r="B357" s="3181" t="s">
        <v>3004</v>
      </c>
      <c r="C357" s="3181">
        <v>3690</v>
      </c>
      <c r="D357" s="3181">
        <v>3650</v>
      </c>
      <c r="E357" s="3181">
        <v>4020</v>
      </c>
      <c r="F357" s="3181">
        <v>700</v>
      </c>
      <c r="G357" s="3181">
        <v>2190</v>
      </c>
      <c r="H357" s="956"/>
    </row>
    <row r="358" spans="1:8">
      <c r="A358" s="3182" t="s">
        <v>2762</v>
      </c>
      <c r="B358" s="3183" t="s">
        <v>3005</v>
      </c>
      <c r="C358" s="3183">
        <v>2080</v>
      </c>
      <c r="D358" s="3183">
        <v>2040</v>
      </c>
      <c r="E358" s="3183">
        <v>2010</v>
      </c>
      <c r="F358" s="3183">
        <v>530</v>
      </c>
      <c r="G358" s="3184">
        <v>1230</v>
      </c>
      <c r="H358" s="956"/>
    </row>
    <row r="359" spans="1:8">
      <c r="A359" s="3185" t="s">
        <v>2762</v>
      </c>
      <c r="B359" s="3166" t="s">
        <v>3006</v>
      </c>
      <c r="C359" s="3166">
        <v>1850</v>
      </c>
      <c r="D359" s="3166">
        <v>1820</v>
      </c>
      <c r="E359" s="3166">
        <v>1780</v>
      </c>
      <c r="F359" s="3166">
        <v>520</v>
      </c>
      <c r="G359" s="3178">
        <v>1100</v>
      </c>
      <c r="H359" s="956"/>
    </row>
    <row r="360" spans="1:8">
      <c r="A360" s="3185" t="s">
        <v>2762</v>
      </c>
      <c r="B360" s="3166" t="s">
        <v>3007</v>
      </c>
      <c r="C360" s="3166">
        <v>2020</v>
      </c>
      <c r="D360" s="3166">
        <v>1990</v>
      </c>
      <c r="E360" s="3166">
        <v>1950</v>
      </c>
      <c r="F360" s="3166">
        <v>500</v>
      </c>
      <c r="G360" s="3178">
        <v>1200</v>
      </c>
      <c r="H360" s="956"/>
    </row>
    <row r="361" spans="1:8">
      <c r="A361" s="3185" t="s">
        <v>2762</v>
      </c>
      <c r="B361" s="3166" t="s">
        <v>999</v>
      </c>
      <c r="C361" s="3166">
        <v>2260</v>
      </c>
      <c r="D361" s="3166">
        <v>2220</v>
      </c>
      <c r="E361" s="3166">
        <v>2180</v>
      </c>
      <c r="F361" s="3166">
        <v>580</v>
      </c>
      <c r="G361" s="3178">
        <v>1340</v>
      </c>
      <c r="H361" s="956"/>
    </row>
    <row r="362" spans="1:8">
      <c r="A362" s="3185" t="s">
        <v>2762</v>
      </c>
      <c r="B362" s="3166" t="s">
        <v>3008</v>
      </c>
      <c r="C362" s="3166">
        <v>2650</v>
      </c>
      <c r="D362" s="3166">
        <v>2610</v>
      </c>
      <c r="E362" s="3166">
        <v>2570</v>
      </c>
      <c r="F362" s="3166">
        <v>630</v>
      </c>
      <c r="G362" s="3178">
        <v>1570</v>
      </c>
      <c r="H362" s="956"/>
    </row>
    <row r="363" spans="1:8">
      <c r="A363" s="3185" t="s">
        <v>2762</v>
      </c>
      <c r="B363" s="3166" t="s">
        <v>3009</v>
      </c>
      <c r="C363" s="3166">
        <v>2390</v>
      </c>
      <c r="D363" s="3166">
        <v>2360</v>
      </c>
      <c r="E363" s="3166">
        <v>2320</v>
      </c>
      <c r="F363" s="3166">
        <v>600</v>
      </c>
      <c r="G363" s="3178">
        <v>1420</v>
      </c>
      <c r="H363" s="956"/>
    </row>
    <row r="364" spans="1:8">
      <c r="A364" s="3185" t="s">
        <v>2762</v>
      </c>
      <c r="B364" s="3166" t="s">
        <v>3010</v>
      </c>
      <c r="C364" s="3166">
        <v>2050</v>
      </c>
      <c r="D364" s="3166">
        <v>2030</v>
      </c>
      <c r="E364" s="3166">
        <v>1990</v>
      </c>
      <c r="F364" s="3166">
        <v>550</v>
      </c>
      <c r="G364" s="3178">
        <v>1220</v>
      </c>
      <c r="H364" s="956"/>
    </row>
    <row r="365" spans="1:8">
      <c r="A365" s="3185" t="s">
        <v>2762</v>
      </c>
      <c r="B365" s="3166" t="s">
        <v>1047</v>
      </c>
      <c r="C365" s="3166">
        <v>2140</v>
      </c>
      <c r="D365" s="3166">
        <v>2100</v>
      </c>
      <c r="E365" s="3166">
        <v>2060</v>
      </c>
      <c r="F365" s="3166">
        <v>540</v>
      </c>
      <c r="G365" s="3178">
        <v>1270</v>
      </c>
      <c r="H365" s="956"/>
    </row>
    <row r="366" spans="1:8">
      <c r="A366" s="3185" t="s">
        <v>2762</v>
      </c>
      <c r="B366" s="3166" t="s">
        <v>3011</v>
      </c>
      <c r="C366" s="3166">
        <v>2410</v>
      </c>
      <c r="D366" s="3166">
        <v>2370</v>
      </c>
      <c r="E366" s="3166">
        <v>2330</v>
      </c>
      <c r="F366" s="3166">
        <v>570</v>
      </c>
      <c r="G366" s="3178">
        <v>1440</v>
      </c>
      <c r="H366" s="956"/>
    </row>
    <row r="367" spans="1:8">
      <c r="A367" s="3185" t="s">
        <v>2762</v>
      </c>
      <c r="B367" s="3166" t="s">
        <v>3012</v>
      </c>
      <c r="C367" s="3166">
        <v>2300</v>
      </c>
      <c r="D367" s="3166">
        <v>2260</v>
      </c>
      <c r="E367" s="3166">
        <v>2220</v>
      </c>
      <c r="F367" s="3166">
        <v>560</v>
      </c>
      <c r="G367" s="3178">
        <v>1370</v>
      </c>
      <c r="H367" s="956"/>
    </row>
    <row r="368" spans="1:8">
      <c r="A368" s="3185" t="s">
        <v>2762</v>
      </c>
      <c r="B368" s="3166" t="s">
        <v>3013</v>
      </c>
      <c r="C368" s="3166">
        <v>2430</v>
      </c>
      <c r="D368" s="3166">
        <v>2390</v>
      </c>
      <c r="E368" s="3166">
        <v>2350</v>
      </c>
      <c r="F368" s="3166">
        <v>570</v>
      </c>
      <c r="G368" s="3178">
        <v>1450</v>
      </c>
      <c r="H368" s="956"/>
    </row>
    <row r="369" spans="1:8">
      <c r="A369" s="3185" t="s">
        <v>2762</v>
      </c>
      <c r="B369" s="3166" t="s">
        <v>1061</v>
      </c>
      <c r="C369" s="3166">
        <v>2320</v>
      </c>
      <c r="D369" s="3166">
        <v>2290</v>
      </c>
      <c r="E369" s="3166">
        <v>2250</v>
      </c>
      <c r="F369" s="3166">
        <v>550</v>
      </c>
      <c r="G369" s="3178">
        <v>1380</v>
      </c>
      <c r="H369" s="956"/>
    </row>
    <row r="370" spans="1:8">
      <c r="A370" s="3185" t="s">
        <v>2762</v>
      </c>
      <c r="B370" s="3166" t="s">
        <v>1069</v>
      </c>
      <c r="C370" s="3166">
        <v>2190</v>
      </c>
      <c r="D370" s="3166">
        <v>2170</v>
      </c>
      <c r="E370" s="3166">
        <v>2130</v>
      </c>
      <c r="F370" s="3166">
        <v>530</v>
      </c>
      <c r="G370" s="3178">
        <v>1310</v>
      </c>
      <c r="H370" s="956"/>
    </row>
    <row r="371" spans="1:8">
      <c r="A371" s="3185" t="s">
        <v>2762</v>
      </c>
      <c r="B371" s="3166" t="s">
        <v>1077</v>
      </c>
      <c r="C371" s="3166">
        <v>2460</v>
      </c>
      <c r="D371" s="3166">
        <v>2420</v>
      </c>
      <c r="E371" s="3166">
        <v>2370</v>
      </c>
      <c r="F371" s="3166">
        <v>560</v>
      </c>
      <c r="G371" s="3178">
        <v>1470</v>
      </c>
      <c r="H371" s="956"/>
    </row>
    <row r="372" spans="1:8">
      <c r="A372" s="3185" t="s">
        <v>2762</v>
      </c>
      <c r="B372" s="3166" t="s">
        <v>3014</v>
      </c>
      <c r="C372" s="3166">
        <v>2250</v>
      </c>
      <c r="D372" s="3166">
        <v>2210</v>
      </c>
      <c r="E372" s="3166">
        <v>2180</v>
      </c>
      <c r="F372" s="3166">
        <v>550</v>
      </c>
      <c r="G372" s="3178">
        <v>1340</v>
      </c>
      <c r="H372" s="956"/>
    </row>
    <row r="373" spans="1:8">
      <c r="A373" s="3185" t="s">
        <v>2762</v>
      </c>
      <c r="B373" s="3166" t="s">
        <v>1106</v>
      </c>
      <c r="C373" s="3166">
        <v>2210</v>
      </c>
      <c r="D373" s="3166">
        <v>2190</v>
      </c>
      <c r="E373" s="3166">
        <v>2150</v>
      </c>
      <c r="F373" s="3166">
        <v>530</v>
      </c>
      <c r="G373" s="3178">
        <v>1320</v>
      </c>
      <c r="H373" s="956"/>
    </row>
    <row r="374" spans="1:8">
      <c r="A374" s="3185" t="s">
        <v>2762</v>
      </c>
      <c r="B374" s="3166" t="s">
        <v>1114</v>
      </c>
      <c r="C374" s="3166">
        <v>2320</v>
      </c>
      <c r="D374" s="3166">
        <v>2280</v>
      </c>
      <c r="E374" s="3166">
        <v>2230</v>
      </c>
      <c r="F374" s="3166">
        <v>580</v>
      </c>
      <c r="G374" s="3178">
        <v>1380</v>
      </c>
      <c r="H374" s="956"/>
    </row>
    <row r="375" spans="1:8">
      <c r="A375" s="3185" t="s">
        <v>2762</v>
      </c>
      <c r="B375" s="3166" t="s">
        <v>3015</v>
      </c>
      <c r="C375" s="3166">
        <v>2090</v>
      </c>
      <c r="D375" s="3166">
        <v>2050</v>
      </c>
      <c r="E375" s="3166">
        <v>2020</v>
      </c>
      <c r="F375" s="3166">
        <v>520</v>
      </c>
      <c r="G375" s="3178">
        <v>1240</v>
      </c>
      <c r="H375" s="956"/>
    </row>
    <row r="376" spans="1:8">
      <c r="A376" s="3185" t="s">
        <v>2762</v>
      </c>
      <c r="B376" s="3166" t="s">
        <v>1126</v>
      </c>
      <c r="C376" s="3166">
        <v>2010</v>
      </c>
      <c r="D376" s="3166">
        <v>1980</v>
      </c>
      <c r="E376" s="3166">
        <v>1940</v>
      </c>
      <c r="F376" s="3166">
        <v>540</v>
      </c>
      <c r="G376" s="3178">
        <v>1190</v>
      </c>
      <c r="H376" s="956"/>
    </row>
    <row r="377" spans="1:8" ht="14.25" thickBot="1">
      <c r="A377" s="3187" t="s">
        <v>2762</v>
      </c>
      <c r="B377" s="3181" t="s">
        <v>3016</v>
      </c>
      <c r="C377" s="3181">
        <v>1930</v>
      </c>
      <c r="D377" s="3181">
        <v>1890</v>
      </c>
      <c r="E377" s="3181">
        <v>1860</v>
      </c>
      <c r="F377" s="3181">
        <v>530</v>
      </c>
      <c r="G377" s="3188">
        <v>1150</v>
      </c>
      <c r="H377" s="956"/>
    </row>
    <row r="378" spans="1:8">
      <c r="A378" s="3182" t="s">
        <v>2763</v>
      </c>
      <c r="B378" s="3183" t="s">
        <v>3017</v>
      </c>
      <c r="C378" s="3183">
        <v>1520</v>
      </c>
      <c r="D378" s="3183">
        <v>1490</v>
      </c>
      <c r="E378" s="3183">
        <v>1460</v>
      </c>
      <c r="F378" s="3183">
        <v>460</v>
      </c>
      <c r="G378" s="3184">
        <v>940</v>
      </c>
      <c r="H378" s="956"/>
    </row>
    <row r="379" spans="1:8">
      <c r="A379" s="3185" t="s">
        <v>2763</v>
      </c>
      <c r="B379" s="3166" t="s">
        <v>3018</v>
      </c>
      <c r="C379" s="3166">
        <v>1500</v>
      </c>
      <c r="D379" s="3166">
        <v>1470</v>
      </c>
      <c r="E379" s="3166">
        <v>1430</v>
      </c>
      <c r="F379" s="3166">
        <v>460</v>
      </c>
      <c r="G379" s="3178">
        <v>920</v>
      </c>
      <c r="H379" s="956"/>
    </row>
    <row r="380" spans="1:8">
      <c r="A380" s="3185" t="s">
        <v>2763</v>
      </c>
      <c r="B380" s="3166" t="s">
        <v>3019</v>
      </c>
      <c r="C380" s="3166">
        <v>1620</v>
      </c>
      <c r="D380" s="3166">
        <v>1590</v>
      </c>
      <c r="E380" s="3166">
        <v>1560</v>
      </c>
      <c r="F380" s="3166">
        <v>480</v>
      </c>
      <c r="G380" s="3178">
        <v>1000</v>
      </c>
      <c r="H380" s="956"/>
    </row>
    <row r="381" spans="1:8">
      <c r="A381" s="3185" t="s">
        <v>2763</v>
      </c>
      <c r="B381" s="3166" t="s">
        <v>3020</v>
      </c>
      <c r="C381" s="3166">
        <v>1460</v>
      </c>
      <c r="D381" s="3166">
        <v>1430</v>
      </c>
      <c r="E381" s="3166">
        <v>1390</v>
      </c>
      <c r="F381" s="3166">
        <v>450</v>
      </c>
      <c r="G381" s="3178">
        <v>900</v>
      </c>
      <c r="H381" s="956"/>
    </row>
    <row r="382" spans="1:8">
      <c r="A382" s="3185" t="s">
        <v>2763</v>
      </c>
      <c r="B382" s="3166" t="s">
        <v>3021</v>
      </c>
      <c r="C382" s="3166">
        <v>1310</v>
      </c>
      <c r="D382" s="3166">
        <v>1280</v>
      </c>
      <c r="E382" s="3166">
        <v>1250</v>
      </c>
      <c r="F382" s="3166">
        <v>440</v>
      </c>
      <c r="G382" s="3178">
        <v>800</v>
      </c>
      <c r="H382" s="956"/>
    </row>
    <row r="383" spans="1:8">
      <c r="A383" s="3185" t="s">
        <v>2763</v>
      </c>
      <c r="B383" s="3166" t="s">
        <v>3022</v>
      </c>
      <c r="C383" s="3166">
        <v>1260</v>
      </c>
      <c r="D383" s="3166">
        <v>1230</v>
      </c>
      <c r="E383" s="3166">
        <v>1200</v>
      </c>
      <c r="F383" s="3166">
        <v>420</v>
      </c>
      <c r="G383" s="3178">
        <v>770</v>
      </c>
      <c r="H383" s="956"/>
    </row>
    <row r="384" spans="1:8" ht="14.25" thickBot="1">
      <c r="A384" s="3186" t="s">
        <v>2763</v>
      </c>
      <c r="B384" s="3180" t="s">
        <v>3023</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69" t="s">
        <v>3186</v>
      </c>
      <c r="B1" s="3769"/>
      <c r="C1" s="3769"/>
      <c r="D1" s="3769"/>
      <c r="E1" s="3769"/>
      <c r="F1" s="3770"/>
    </row>
    <row r="2" spans="1:6">
      <c r="A2" s="3231" t="s">
        <v>3187</v>
      </c>
      <c r="B2" s="1489"/>
      <c r="C2" s="1489"/>
      <c r="D2" s="1489"/>
      <c r="E2" s="1489"/>
      <c r="F2" s="1489"/>
    </row>
    <row r="3" spans="1:6">
      <c r="A3" s="3231" t="s">
        <v>3188</v>
      </c>
      <c r="B3" s="1489"/>
      <c r="C3" s="1489"/>
      <c r="D3" s="1489"/>
      <c r="E3" s="1489"/>
      <c r="F3" s="3232" t="s">
        <v>3189</v>
      </c>
    </row>
    <row r="4" spans="1:6">
      <c r="A4" s="3233" t="s">
        <v>3184</v>
      </c>
      <c r="B4" s="3233" t="s">
        <v>2738</v>
      </c>
      <c r="C4" s="3233" t="s">
        <v>1212</v>
      </c>
      <c r="D4" s="3233" t="s">
        <v>3185</v>
      </c>
      <c r="E4" s="3233" t="s">
        <v>905</v>
      </c>
      <c r="F4" s="3233" t="s">
        <v>3190</v>
      </c>
    </row>
    <row r="5" spans="1:6">
      <c r="A5" s="3234" t="s">
        <v>2761</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2762</v>
      </c>
      <c r="B16" s="3236">
        <v>2230</v>
      </c>
      <c r="C16" s="3236">
        <v>2200</v>
      </c>
      <c r="D16" s="3236">
        <v>2180</v>
      </c>
      <c r="E16" s="3236">
        <v>570</v>
      </c>
      <c r="F16" s="3236">
        <v>1330</v>
      </c>
    </row>
    <row r="17" spans="1:6">
      <c r="A17" s="3234" t="s">
        <v>2763</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56.25">
      <c r="A4" s="1487" t="str">
        <f>"受贵公司委托，我公司对"&amp;项目基本情况!K2&amp;项目基本情况!B9&amp;"进行了预评估。"</f>
        <v>受贵公司委托，我公司对北京市延庆区南辛堡村、民主村、百眼泉村棚户区改造项目YQ00-0309-0017地块R2二类居住用地出让国有建设用地使用权抵押价格进行了预评估。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延庆区南辛堡村、民主村、百眼泉村棚户区改造项目YQ00-0309-0017地块R2二类居住用地出让国有建设用地使用权。根据《国有土地使用证》[]，估价对象（分摊）出让国有建设用地使用权面积为12997.77平方米。根据《建设工程规划许可证》[]、《出让合同》[]，估价对象规划建筑面积为28699.4252平方米。</v>
      </c>
    </row>
    <row r="7" spans="1:4" ht="56.25">
      <c r="A7" s="1491" t="s">
        <v>2028</v>
      </c>
    </row>
    <row r="8" spans="1:4" ht="18.75">
      <c r="A8" s="1490" t="s">
        <v>1430</v>
      </c>
    </row>
    <row r="9" spans="1:4" ht="93.75">
      <c r="A9" s="1487" t="str">
        <f>IF(项目基本情况!B8="抵押",IF(项目基本情况!B5=项目基本情况!B6,定义!C51,定义!B51),定义!D51)</f>
        <v>拟使用北京市延庆区南辛堡村、民主村、百眼泉村棚户区改造项目YQ00-0309-0017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2024年11月19日（评估专业人员勘察现场之日）</v>
      </c>
    </row>
    <row r="12" spans="1:4" ht="18.75">
      <c r="A12" s="1492" t="s">
        <v>1543</v>
      </c>
    </row>
    <row r="13" spans="1:4" ht="18.75">
      <c r="A13" s="1487" t="s">
        <v>2202</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根据《国有土地使用证》[]，估价对象（分摊）出让国有建设用地使用权面积为12997.77平方米。根据《建设工程规划许可证》[]、《出让合同》[]，估价对象规划建筑面积为28699.4252平方米。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10月21日车库2074年10月21日、仓储2074年10月21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93.75">
      <c r="A25" s="1487" t="str">
        <f>定义!C53</f>
        <v>本次估价的“出让国有建设用地使用权价格”是指在估价对象土地所有权为国家所有，使用权性质为出让，在公开市场条件下、于估价期日2024年11月19日，在规划利用条件下、设定土地开发程度为红线外“七通”、宗地内场地平整，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2775</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2762</v>
      </c>
      <c r="M2" s="924" t="s">
        <v>2763</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2776</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2762</v>
      </c>
      <c r="M94" s="930" t="s">
        <v>2763</v>
      </c>
      <c r="N94" s="920" t="e">
        <f>SUMPRODUCT((A95:A184=ROUNDDOWN([2]基准地价修正!G3,1))*(B94:M94=[2]基准地价修正!G2)*(B95:M184))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2777</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2762</v>
      </c>
      <c r="M186" s="930" t="s">
        <v>2763</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2778</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2762</v>
      </c>
      <c r="M278" s="930" t="s">
        <v>2763</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2779</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2762</v>
      </c>
      <c r="M370" s="930" t="s">
        <v>2763</v>
      </c>
      <c r="N370" s="920" t="e">
        <f>SUMPRODUCT((A371:A460=ROUNDDOWN([2]基准地价修正!G3,1))*(B370:M370=[2]基准地价修正!G2)*(B371:M460))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71" t="s">
        <v>3024</v>
      </c>
      <c r="B1" s="3771"/>
    </row>
    <row r="2" spans="1:7" ht="14.25" thickBot="1">
      <c r="A2" s="3197"/>
      <c r="B2" s="3197"/>
    </row>
    <row r="3" spans="1:7" ht="14.25" thickBot="1">
      <c r="A3" s="3197"/>
      <c r="B3" s="3197"/>
      <c r="C3" s="3198" t="s">
        <v>3025</v>
      </c>
      <c r="D3" s="3198" t="s">
        <v>3026</v>
      </c>
      <c r="E3" s="3198" t="s">
        <v>3027</v>
      </c>
      <c r="F3" s="3198" t="s">
        <v>3028</v>
      </c>
      <c r="G3" s="3198" t="s">
        <v>3029</v>
      </c>
    </row>
    <row r="4" spans="1:7" ht="14.25" thickBot="1">
      <c r="A4" s="3199" t="s">
        <v>3030</v>
      </c>
      <c r="B4" s="3200" t="s">
        <v>3031</v>
      </c>
      <c r="C4" s="3198"/>
      <c r="D4" s="3198"/>
      <c r="E4" s="3198"/>
      <c r="F4" s="3198"/>
      <c r="G4" s="3198"/>
    </row>
    <row r="5" spans="1:7">
      <c r="A5" s="3201" t="s">
        <v>3032</v>
      </c>
      <c r="B5" s="3202" t="s">
        <v>3033</v>
      </c>
      <c r="C5" s="3203">
        <v>9.8000000000000004E-2</v>
      </c>
      <c r="D5" s="3203">
        <v>8.6999999999999994E-2</v>
      </c>
      <c r="E5" s="3203">
        <v>8.6999999999999994E-2</v>
      </c>
      <c r="F5" s="3203">
        <v>9.8000000000000004E-2</v>
      </c>
      <c r="G5" s="3204">
        <v>9.5000000000000001E-2</v>
      </c>
    </row>
    <row r="6" spans="1:7">
      <c r="A6" s="3205" t="s">
        <v>990</v>
      </c>
      <c r="B6" s="3206" t="s">
        <v>3034</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3035</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3036</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2822</v>
      </c>
      <c r="C29" s="3215"/>
      <c r="D29" s="3211">
        <v>5.1999999999999998E-2</v>
      </c>
      <c r="E29" s="3211">
        <v>7.0000000000000007E-2</v>
      </c>
      <c r="F29" s="3215"/>
      <c r="G29" s="3213">
        <v>7.0999999999999994E-2</v>
      </c>
    </row>
    <row r="30" spans="1:7">
      <c r="A30" s="3216" t="s">
        <v>1145</v>
      </c>
      <c r="B30" s="3202" t="s">
        <v>3037</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3038</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2824</v>
      </c>
      <c r="C50" s="3207">
        <v>9.8000000000000004E-2</v>
      </c>
      <c r="D50" s="3207">
        <v>7.2999999999999995E-2</v>
      </c>
      <c r="E50" s="3207">
        <v>7.0999999999999994E-2</v>
      </c>
      <c r="F50" s="3218"/>
      <c r="G50" s="3208">
        <v>7.2999999999999995E-2</v>
      </c>
    </row>
    <row r="51" spans="1:7">
      <c r="A51" s="3217" t="s">
        <v>1145</v>
      </c>
      <c r="B51" s="3206" t="s">
        <v>2825</v>
      </c>
      <c r="C51" s="3207">
        <v>9.9000000000000005E-2</v>
      </c>
      <c r="D51" s="3207">
        <v>8.5000000000000006E-2</v>
      </c>
      <c r="E51" s="3207">
        <v>6.3E-2</v>
      </c>
      <c r="F51" s="3218"/>
      <c r="G51" s="3208">
        <v>9.6000000000000002E-2</v>
      </c>
    </row>
    <row r="52" spans="1:7">
      <c r="A52" s="3217" t="s">
        <v>1145</v>
      </c>
      <c r="B52" s="3206" t="s">
        <v>2826</v>
      </c>
      <c r="C52" s="3207">
        <v>7.3999999999999996E-2</v>
      </c>
      <c r="D52" s="3207">
        <v>9.6000000000000002E-2</v>
      </c>
      <c r="E52" s="3207">
        <v>0.05</v>
      </c>
      <c r="F52" s="3218"/>
      <c r="G52" s="3208">
        <v>9.8000000000000004E-2</v>
      </c>
    </row>
    <row r="53" spans="1:7">
      <c r="A53" s="3217" t="s">
        <v>1145</v>
      </c>
      <c r="B53" s="3206" t="s">
        <v>2827</v>
      </c>
      <c r="C53" s="3207">
        <v>8.5999999999999993E-2</v>
      </c>
      <c r="D53" s="3218"/>
      <c r="E53" s="3207">
        <v>9.1999999999999998E-2</v>
      </c>
      <c r="F53" s="3218"/>
      <c r="G53" s="3219"/>
    </row>
    <row r="54" spans="1:7" ht="14.25" thickBot="1">
      <c r="A54" s="3220" t="s">
        <v>1145</v>
      </c>
      <c r="B54" s="3210" t="s">
        <v>2828</v>
      </c>
      <c r="C54" s="3211">
        <v>9.6000000000000002E-2</v>
      </c>
      <c r="D54" s="3212"/>
      <c r="E54" s="3221"/>
      <c r="F54" s="3212"/>
      <c r="G54" s="3222"/>
    </row>
    <row r="55" spans="1:7">
      <c r="A55" s="3216" t="s">
        <v>853</v>
      </c>
      <c r="B55" s="3202" t="s">
        <v>3039</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2830</v>
      </c>
      <c r="C78" s="3207">
        <v>0.1</v>
      </c>
      <c r="D78" s="3207">
        <v>8.5000000000000006E-2</v>
      </c>
      <c r="E78" s="3207">
        <v>9.6000000000000002E-2</v>
      </c>
      <c r="F78" s="3218"/>
      <c r="G78" s="3208">
        <v>9.6000000000000002E-2</v>
      </c>
    </row>
    <row r="79" spans="1:7">
      <c r="A79" s="3217" t="s">
        <v>853</v>
      </c>
      <c r="B79" s="3206" t="s">
        <v>2831</v>
      </c>
      <c r="C79" s="3207">
        <v>0.05</v>
      </c>
      <c r="D79" s="3207">
        <v>9.6000000000000002E-2</v>
      </c>
      <c r="E79" s="3207">
        <v>9.5000000000000001E-2</v>
      </c>
      <c r="F79" s="3218"/>
      <c r="G79" s="3208">
        <v>9.8000000000000004E-2</v>
      </c>
    </row>
    <row r="80" spans="1:7">
      <c r="A80" s="3217" t="s">
        <v>853</v>
      </c>
      <c r="B80" s="3206" t="s">
        <v>2832</v>
      </c>
      <c r="C80" s="3207">
        <v>8.5999999999999993E-2</v>
      </c>
      <c r="D80" s="3223"/>
      <c r="E80" s="3207">
        <v>0.1</v>
      </c>
      <c r="F80" s="3218"/>
      <c r="G80" s="3219"/>
    </row>
    <row r="81" spans="1:7">
      <c r="A81" s="3217" t="s">
        <v>853</v>
      </c>
      <c r="B81" s="3206" t="s">
        <v>2833</v>
      </c>
      <c r="C81" s="3207">
        <v>9.6000000000000002E-2</v>
      </c>
      <c r="D81" s="3218"/>
      <c r="E81" s="3207">
        <v>9.8000000000000004E-2</v>
      </c>
      <c r="F81" s="3218"/>
      <c r="G81" s="3219"/>
    </row>
    <row r="82" spans="1:7">
      <c r="A82" s="3217" t="s">
        <v>853</v>
      </c>
      <c r="B82" s="3206" t="s">
        <v>2834</v>
      </c>
      <c r="C82" s="3223"/>
      <c r="D82" s="3218"/>
      <c r="E82" s="3207">
        <v>7.6999999999999999E-2</v>
      </c>
      <c r="F82" s="3218"/>
      <c r="G82" s="3219"/>
    </row>
    <row r="83" spans="1:7">
      <c r="A83" s="3217" t="s">
        <v>853</v>
      </c>
      <c r="B83" s="3206" t="s">
        <v>3040</v>
      </c>
      <c r="C83" s="3218"/>
      <c r="D83" s="3218"/>
      <c r="E83" s="3218"/>
      <c r="F83" s="3207">
        <v>0.1</v>
      </c>
      <c r="G83" s="3224"/>
    </row>
    <row r="84" spans="1:7">
      <c r="A84" s="3217" t="s">
        <v>853</v>
      </c>
      <c r="B84" s="3206" t="s">
        <v>3041</v>
      </c>
      <c r="C84" s="3218"/>
      <c r="D84" s="3218"/>
      <c r="E84" s="3218"/>
      <c r="F84" s="3207">
        <v>0.1</v>
      </c>
      <c r="G84" s="3224"/>
    </row>
    <row r="85" spans="1:7">
      <c r="A85" s="3217" t="s">
        <v>853</v>
      </c>
      <c r="B85" s="3206" t="s">
        <v>3042</v>
      </c>
      <c r="C85" s="3218"/>
      <c r="D85" s="3218"/>
      <c r="E85" s="3218"/>
      <c r="F85" s="3207">
        <v>0.1</v>
      </c>
      <c r="G85" s="3224"/>
    </row>
    <row r="86" spans="1:7" ht="14.25" thickBot="1">
      <c r="A86" s="3220" t="s">
        <v>853</v>
      </c>
      <c r="B86" s="3210" t="s">
        <v>3043</v>
      </c>
      <c r="C86" s="3211">
        <v>9.8000000000000004E-2</v>
      </c>
      <c r="D86" s="3211">
        <v>9.8000000000000004E-2</v>
      </c>
      <c r="E86" s="3211">
        <v>9.6000000000000002E-2</v>
      </c>
      <c r="F86" s="3221"/>
      <c r="G86" s="3213">
        <v>0.1</v>
      </c>
    </row>
    <row r="87" spans="1:7">
      <c r="A87" s="3216" t="s">
        <v>1152</v>
      </c>
      <c r="B87" s="3202" t="s">
        <v>3044</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2840</v>
      </c>
      <c r="C113" s="3207">
        <v>0.1</v>
      </c>
      <c r="D113" s="3207">
        <v>0.1</v>
      </c>
      <c r="E113" s="3218"/>
      <c r="F113" s="3218"/>
      <c r="G113" s="3208">
        <v>0.1</v>
      </c>
    </row>
    <row r="114" spans="1:7">
      <c r="A114" s="3217" t="s">
        <v>1152</v>
      </c>
      <c r="B114" s="3206" t="s">
        <v>2841</v>
      </c>
      <c r="C114" s="3207">
        <v>9.7000000000000003E-2</v>
      </c>
      <c r="D114" s="3207">
        <v>9.7000000000000003E-2</v>
      </c>
      <c r="E114" s="3218"/>
      <c r="F114" s="3218"/>
      <c r="G114" s="3208">
        <v>9.9000000000000005E-2</v>
      </c>
    </row>
    <row r="115" spans="1:7">
      <c r="A115" s="3217" t="s">
        <v>1152</v>
      </c>
      <c r="B115" s="3206" t="s">
        <v>2842</v>
      </c>
      <c r="C115" s="3207">
        <v>0.1</v>
      </c>
      <c r="D115" s="3207">
        <v>0.1</v>
      </c>
      <c r="E115" s="3218"/>
      <c r="F115" s="3218"/>
      <c r="G115" s="3208">
        <v>0.1</v>
      </c>
    </row>
    <row r="116" spans="1:7">
      <c r="A116" s="3217" t="s">
        <v>1152</v>
      </c>
      <c r="B116" s="3206" t="s">
        <v>2843</v>
      </c>
      <c r="C116" s="3207">
        <v>0.1</v>
      </c>
      <c r="D116" s="3207">
        <v>0.1</v>
      </c>
      <c r="E116" s="3218"/>
      <c r="F116" s="3218"/>
      <c r="G116" s="3208">
        <v>0.1</v>
      </c>
    </row>
    <row r="117" spans="1:7">
      <c r="A117" s="3217" t="s">
        <v>1152</v>
      </c>
      <c r="B117" s="3206" t="s">
        <v>2844</v>
      </c>
      <c r="C117" s="3207">
        <v>9.7000000000000003E-2</v>
      </c>
      <c r="D117" s="3207">
        <v>9.7000000000000003E-2</v>
      </c>
      <c r="E117" s="3218"/>
      <c r="F117" s="3218"/>
      <c r="G117" s="3208">
        <v>9.7000000000000003E-2</v>
      </c>
    </row>
    <row r="118" spans="1:7">
      <c r="A118" s="3217" t="s">
        <v>1152</v>
      </c>
      <c r="B118" s="3206" t="s">
        <v>2845</v>
      </c>
      <c r="C118" s="3207">
        <v>0.1</v>
      </c>
      <c r="D118" s="3207">
        <v>0.1</v>
      </c>
      <c r="E118" s="3218"/>
      <c r="F118" s="3218"/>
      <c r="G118" s="3208">
        <v>0.1</v>
      </c>
    </row>
    <row r="119" spans="1:7">
      <c r="A119" s="3217" t="s">
        <v>1152</v>
      </c>
      <c r="B119" s="3206" t="s">
        <v>2846</v>
      </c>
      <c r="C119" s="3207">
        <v>5.0999999999999997E-2</v>
      </c>
      <c r="D119" s="3207">
        <v>5.1999999999999998E-2</v>
      </c>
      <c r="E119" s="3218"/>
      <c r="F119" s="3223"/>
      <c r="G119" s="3208">
        <v>0.06</v>
      </c>
    </row>
    <row r="120" spans="1:7">
      <c r="A120" s="3217" t="s">
        <v>1152</v>
      </c>
      <c r="B120" s="3206" t="s">
        <v>3045</v>
      </c>
      <c r="C120" s="3218"/>
      <c r="D120" s="3218"/>
      <c r="E120" s="3218"/>
      <c r="F120" s="3207">
        <v>0.1</v>
      </c>
      <c r="G120" s="3224"/>
    </row>
    <row r="121" spans="1:7">
      <c r="A121" s="3217" t="s">
        <v>1152</v>
      </c>
      <c r="B121" s="3206" t="s">
        <v>3046</v>
      </c>
      <c r="C121" s="3218"/>
      <c r="D121" s="3218"/>
      <c r="E121" s="3218"/>
      <c r="F121" s="3207">
        <v>0.1</v>
      </c>
      <c r="G121" s="3224"/>
    </row>
    <row r="122" spans="1:7">
      <c r="A122" s="3217" t="s">
        <v>1152</v>
      </c>
      <c r="B122" s="3206" t="s">
        <v>3047</v>
      </c>
      <c r="C122" s="3207">
        <v>0.1</v>
      </c>
      <c r="D122" s="3207">
        <v>0.1</v>
      </c>
      <c r="E122" s="3207">
        <v>9.8000000000000004E-2</v>
      </c>
      <c r="F122" s="3207">
        <v>0.1</v>
      </c>
      <c r="G122" s="3208">
        <v>0.1</v>
      </c>
    </row>
    <row r="123" spans="1:7">
      <c r="A123" s="3217" t="s">
        <v>1152</v>
      </c>
      <c r="B123" s="3206" t="s">
        <v>2850</v>
      </c>
      <c r="C123" s="3207">
        <v>0.1</v>
      </c>
      <c r="D123" s="3207">
        <v>0.1</v>
      </c>
      <c r="E123" s="3207">
        <v>9.8000000000000004E-2</v>
      </c>
      <c r="F123" s="3207">
        <v>0.1</v>
      </c>
      <c r="G123" s="3208">
        <v>0.1</v>
      </c>
    </row>
    <row r="124" spans="1:7">
      <c r="A124" s="3217" t="s">
        <v>1152</v>
      </c>
      <c r="B124" s="3206" t="s">
        <v>2851</v>
      </c>
      <c r="C124" s="3207">
        <v>0.1</v>
      </c>
      <c r="D124" s="3207">
        <v>0.1</v>
      </c>
      <c r="E124" s="3207">
        <v>9.8000000000000004E-2</v>
      </c>
      <c r="F124" s="3223"/>
      <c r="G124" s="3208">
        <v>0.1</v>
      </c>
    </row>
    <row r="125" spans="1:7">
      <c r="A125" s="3217" t="s">
        <v>1152</v>
      </c>
      <c r="B125" s="3206" t="s">
        <v>2852</v>
      </c>
      <c r="C125" s="3207">
        <v>9.8000000000000004E-2</v>
      </c>
      <c r="D125" s="3207">
        <v>9.8000000000000004E-2</v>
      </c>
      <c r="E125" s="3207">
        <v>9.6000000000000002E-2</v>
      </c>
      <c r="F125" s="3223"/>
      <c r="G125" s="3208">
        <v>0.1</v>
      </c>
    </row>
    <row r="126" spans="1:7" ht="14.25" thickBot="1">
      <c r="A126" s="3220" t="s">
        <v>1152</v>
      </c>
      <c r="B126" s="3210" t="s">
        <v>3048</v>
      </c>
      <c r="C126" s="3211">
        <v>0.1</v>
      </c>
      <c r="D126" s="3211">
        <v>0.1</v>
      </c>
      <c r="E126" s="3211">
        <v>9.8000000000000004E-2</v>
      </c>
      <c r="F126" s="3211">
        <v>0.1</v>
      </c>
      <c r="G126" s="3213">
        <v>0.1</v>
      </c>
    </row>
    <row r="127" spans="1:7">
      <c r="A127" s="3216" t="s">
        <v>1153</v>
      </c>
      <c r="B127" s="3202" t="s">
        <v>3049</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3050</v>
      </c>
      <c r="C148" s="3207">
        <v>0.13</v>
      </c>
      <c r="D148" s="3207">
        <v>0.13</v>
      </c>
      <c r="E148" s="3207">
        <v>0.13</v>
      </c>
      <c r="F148" s="3218"/>
      <c r="G148" s="3208">
        <v>0.13</v>
      </c>
    </row>
    <row r="149" spans="1:7">
      <c r="A149" s="3217" t="s">
        <v>1153</v>
      </c>
      <c r="B149" s="3206" t="s">
        <v>3051</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2857</v>
      </c>
      <c r="C153" s="3207">
        <v>0.13</v>
      </c>
      <c r="D153" s="3207">
        <v>0.13</v>
      </c>
      <c r="E153" s="3207">
        <v>0.13</v>
      </c>
      <c r="F153" s="3207">
        <v>0.13</v>
      </c>
      <c r="G153" s="3208">
        <v>0.13</v>
      </c>
    </row>
    <row r="154" spans="1:7">
      <c r="A154" s="3217" t="s">
        <v>1153</v>
      </c>
      <c r="B154" s="3206" t="s">
        <v>3052</v>
      </c>
      <c r="C154" s="3207">
        <v>0.121</v>
      </c>
      <c r="D154" s="3207">
        <v>0.121</v>
      </c>
      <c r="E154" s="3207">
        <v>0.105</v>
      </c>
      <c r="F154" s="3207">
        <v>0.121</v>
      </c>
      <c r="G154" s="3208">
        <v>0.123</v>
      </c>
    </row>
    <row r="155" spans="1:7">
      <c r="A155" s="3217" t="s">
        <v>1153</v>
      </c>
      <c r="B155" s="3206" t="s">
        <v>2859</v>
      </c>
      <c r="C155" s="3207">
        <v>0.1</v>
      </c>
      <c r="D155" s="3207">
        <v>0.1</v>
      </c>
      <c r="E155" s="3207">
        <v>0.1</v>
      </c>
      <c r="F155" s="3207">
        <v>0.1</v>
      </c>
      <c r="G155" s="3208">
        <v>0.1</v>
      </c>
    </row>
    <row r="156" spans="1:7">
      <c r="A156" s="3217" t="s">
        <v>1153</v>
      </c>
      <c r="B156" s="3206" t="s">
        <v>3053</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3054</v>
      </c>
      <c r="C160" s="3207">
        <v>0.13</v>
      </c>
      <c r="D160" s="3207">
        <v>0.13</v>
      </c>
      <c r="E160" s="3207">
        <v>0.124</v>
      </c>
      <c r="F160" s="3207">
        <v>0.126</v>
      </c>
      <c r="G160" s="3208">
        <v>0.13</v>
      </c>
    </row>
    <row r="161" spans="1:7">
      <c r="A161" s="3217" t="s">
        <v>1153</v>
      </c>
      <c r="B161" s="3206" t="s">
        <v>2862</v>
      </c>
      <c r="C161" s="3207">
        <v>0.13</v>
      </c>
      <c r="D161" s="3207">
        <v>0.13</v>
      </c>
      <c r="E161" s="3207">
        <v>0.124</v>
      </c>
      <c r="F161" s="3207">
        <v>0.127</v>
      </c>
      <c r="G161" s="3208">
        <v>0.13</v>
      </c>
    </row>
    <row r="162" spans="1:7">
      <c r="A162" s="3217" t="s">
        <v>1153</v>
      </c>
      <c r="B162" s="3206" t="s">
        <v>2863</v>
      </c>
      <c r="C162" s="3207">
        <v>0.1</v>
      </c>
      <c r="D162" s="3207">
        <v>0.1</v>
      </c>
      <c r="E162" s="3207">
        <v>0.1</v>
      </c>
      <c r="F162" s="3207">
        <v>0.121</v>
      </c>
      <c r="G162" s="3208">
        <v>0.105</v>
      </c>
    </row>
    <row r="163" spans="1:7">
      <c r="A163" s="3217" t="s">
        <v>1153</v>
      </c>
      <c r="B163" s="3206" t="s">
        <v>2864</v>
      </c>
      <c r="C163" s="3207">
        <v>0.1</v>
      </c>
      <c r="D163" s="3207">
        <v>0.1</v>
      </c>
      <c r="E163" s="3207">
        <v>0.1</v>
      </c>
      <c r="F163" s="3207">
        <v>0.1</v>
      </c>
      <c r="G163" s="3208">
        <v>0.1</v>
      </c>
    </row>
    <row r="164" spans="1:7">
      <c r="A164" s="3217" t="s">
        <v>1153</v>
      </c>
      <c r="B164" s="3206" t="s">
        <v>2865</v>
      </c>
      <c r="C164" s="3223"/>
      <c r="D164" s="3223"/>
      <c r="E164" s="3223"/>
      <c r="F164" s="3207">
        <v>0.1</v>
      </c>
      <c r="G164" s="3219"/>
    </row>
    <row r="165" spans="1:7">
      <c r="A165" s="3217" t="s">
        <v>1153</v>
      </c>
      <c r="B165" s="3206" t="s">
        <v>3055</v>
      </c>
      <c r="C165" s="3207">
        <v>0.126</v>
      </c>
      <c r="D165" s="3207">
        <v>0.126</v>
      </c>
      <c r="E165" s="3207">
        <v>0.11899999999999999</v>
      </c>
      <c r="F165" s="3207">
        <v>0.13</v>
      </c>
      <c r="G165" s="3208">
        <v>0.128</v>
      </c>
    </row>
    <row r="166" spans="1:7">
      <c r="A166" s="3217" t="s">
        <v>1153</v>
      </c>
      <c r="B166" s="3206" t="s">
        <v>2867</v>
      </c>
      <c r="C166" s="3207">
        <v>0.129</v>
      </c>
      <c r="D166" s="3207">
        <v>0.129</v>
      </c>
      <c r="E166" s="3207">
        <v>0.123</v>
      </c>
      <c r="F166" s="3207">
        <v>0.128</v>
      </c>
      <c r="G166" s="3208">
        <v>0.13</v>
      </c>
    </row>
    <row r="167" spans="1:7">
      <c r="A167" s="3217" t="s">
        <v>1153</v>
      </c>
      <c r="B167" s="3206" t="s">
        <v>2868</v>
      </c>
      <c r="C167" s="3207">
        <v>0.125</v>
      </c>
      <c r="D167" s="3207">
        <v>0.125</v>
      </c>
      <c r="E167" s="3207">
        <v>0.11700000000000001</v>
      </c>
      <c r="F167" s="3207">
        <v>0.13</v>
      </c>
      <c r="G167" s="3208">
        <v>0.126</v>
      </c>
    </row>
    <row r="168" spans="1:7">
      <c r="A168" s="3217" t="s">
        <v>1153</v>
      </c>
      <c r="B168" s="3206" t="s">
        <v>2869</v>
      </c>
      <c r="C168" s="3207">
        <v>0.128</v>
      </c>
      <c r="D168" s="3207">
        <v>0.128</v>
      </c>
      <c r="E168" s="3207">
        <v>0.123</v>
      </c>
      <c r="F168" s="3218"/>
      <c r="G168" s="3208">
        <v>0.13</v>
      </c>
    </row>
    <row r="169" spans="1:7">
      <c r="A169" s="3217" t="s">
        <v>1153</v>
      </c>
      <c r="B169" s="3206" t="s">
        <v>3056</v>
      </c>
      <c r="C169" s="3223"/>
      <c r="D169" s="3223"/>
      <c r="E169" s="3223"/>
      <c r="F169" s="3207">
        <v>0.05</v>
      </c>
      <c r="G169" s="3219"/>
    </row>
    <row r="170" spans="1:7">
      <c r="A170" s="3217" t="s">
        <v>1153</v>
      </c>
      <c r="B170" s="3206" t="s">
        <v>3057</v>
      </c>
      <c r="C170" s="3223"/>
      <c r="D170" s="3223"/>
      <c r="E170" s="3223"/>
      <c r="F170" s="3207">
        <v>0.05</v>
      </c>
      <c r="G170" s="3219"/>
    </row>
    <row r="171" spans="1:7">
      <c r="A171" s="3217" t="s">
        <v>1153</v>
      </c>
      <c r="B171" s="3206" t="s">
        <v>3058</v>
      </c>
      <c r="C171" s="3223"/>
      <c r="D171" s="3223"/>
      <c r="E171" s="3223"/>
      <c r="F171" s="3207">
        <v>0.05</v>
      </c>
      <c r="G171" s="3224"/>
    </row>
    <row r="172" spans="1:7">
      <c r="A172" s="3217" t="s">
        <v>1153</v>
      </c>
      <c r="B172" s="3206" t="s">
        <v>3059</v>
      </c>
      <c r="C172" s="3223"/>
      <c r="D172" s="3223"/>
      <c r="E172" s="3223"/>
      <c r="F172" s="3207">
        <v>0.05</v>
      </c>
      <c r="G172" s="3224"/>
    </row>
    <row r="173" spans="1:7">
      <c r="A173" s="3217" t="s">
        <v>1153</v>
      </c>
      <c r="B173" s="3206" t="s">
        <v>3060</v>
      </c>
      <c r="C173" s="3223"/>
      <c r="D173" s="3223"/>
      <c r="E173" s="3223"/>
      <c r="F173" s="3207">
        <v>0.05</v>
      </c>
      <c r="G173" s="3219"/>
    </row>
    <row r="174" spans="1:7">
      <c r="A174" s="3217" t="s">
        <v>1153</v>
      </c>
      <c r="B174" s="3206" t="s">
        <v>3061</v>
      </c>
      <c r="C174" s="3223"/>
      <c r="D174" s="3223"/>
      <c r="E174" s="3223"/>
      <c r="F174" s="3207">
        <v>0.05</v>
      </c>
      <c r="G174" s="3219"/>
    </row>
    <row r="175" spans="1:7">
      <c r="A175" s="3217" t="s">
        <v>1153</v>
      </c>
      <c r="B175" s="3206" t="s">
        <v>3062</v>
      </c>
      <c r="C175" s="3223"/>
      <c r="D175" s="3223"/>
      <c r="E175" s="3223"/>
      <c r="F175" s="3207">
        <v>0.05</v>
      </c>
      <c r="G175" s="3219"/>
    </row>
    <row r="176" spans="1:7">
      <c r="A176" s="3217" t="s">
        <v>1153</v>
      </c>
      <c r="B176" s="3206" t="s">
        <v>3063</v>
      </c>
      <c r="C176" s="3223"/>
      <c r="D176" s="3223"/>
      <c r="E176" s="3223"/>
      <c r="F176" s="3207">
        <v>0.05</v>
      </c>
      <c r="G176" s="3219"/>
    </row>
    <row r="177" spans="1:7">
      <c r="A177" s="3217" t="s">
        <v>1153</v>
      </c>
      <c r="B177" s="3206" t="s">
        <v>3064</v>
      </c>
      <c r="C177" s="3218"/>
      <c r="D177" s="3218"/>
      <c r="E177" s="3218"/>
      <c r="F177" s="3207">
        <v>0.05</v>
      </c>
      <c r="G177" s="3224"/>
    </row>
    <row r="178" spans="1:7">
      <c r="A178" s="3217" t="s">
        <v>1153</v>
      </c>
      <c r="B178" s="3206" t="s">
        <v>3065</v>
      </c>
      <c r="C178" s="3218"/>
      <c r="D178" s="3218"/>
      <c r="E178" s="3218"/>
      <c r="F178" s="3207">
        <v>0.05</v>
      </c>
      <c r="G178" s="3224"/>
    </row>
    <row r="179" spans="1:7">
      <c r="A179" s="3217" t="s">
        <v>1153</v>
      </c>
      <c r="B179" s="3206" t="s">
        <v>3066</v>
      </c>
      <c r="C179" s="3218"/>
      <c r="D179" s="3218"/>
      <c r="E179" s="3218"/>
      <c r="F179" s="3207">
        <v>0.05</v>
      </c>
      <c r="G179" s="3224"/>
    </row>
    <row r="180" spans="1:7">
      <c r="A180" s="3217" t="s">
        <v>1153</v>
      </c>
      <c r="B180" s="3206" t="s">
        <v>3067</v>
      </c>
      <c r="C180" s="3218"/>
      <c r="D180" s="3218"/>
      <c r="E180" s="3218"/>
      <c r="F180" s="3207">
        <v>0.05</v>
      </c>
      <c r="G180" s="3224"/>
    </row>
    <row r="181" spans="1:7">
      <c r="A181" s="3217" t="s">
        <v>1153</v>
      </c>
      <c r="B181" s="3206" t="s">
        <v>3068</v>
      </c>
      <c r="C181" s="3218"/>
      <c r="D181" s="3218"/>
      <c r="E181" s="3218"/>
      <c r="F181" s="3207">
        <v>0.05</v>
      </c>
      <c r="G181" s="3224"/>
    </row>
    <row r="182" spans="1:7">
      <c r="A182" s="3217" t="s">
        <v>1153</v>
      </c>
      <c r="B182" s="3206" t="s">
        <v>3069</v>
      </c>
      <c r="C182" s="3218"/>
      <c r="D182" s="3218"/>
      <c r="E182" s="3218"/>
      <c r="F182" s="3207">
        <v>0.05</v>
      </c>
      <c r="G182" s="3224"/>
    </row>
    <row r="183" spans="1:7">
      <c r="A183" s="3217" t="s">
        <v>1153</v>
      </c>
      <c r="B183" s="3206" t="s">
        <v>3070</v>
      </c>
      <c r="C183" s="3218"/>
      <c r="D183" s="3218"/>
      <c r="E183" s="3218"/>
      <c r="F183" s="3207">
        <v>0.05</v>
      </c>
      <c r="G183" s="3224"/>
    </row>
    <row r="184" spans="1:7">
      <c r="A184" s="3217" t="s">
        <v>1153</v>
      </c>
      <c r="B184" s="3206" t="s">
        <v>3071</v>
      </c>
      <c r="C184" s="3218"/>
      <c r="D184" s="3218"/>
      <c r="E184" s="3218"/>
      <c r="F184" s="3207">
        <v>0.05</v>
      </c>
      <c r="G184" s="3224"/>
    </row>
    <row r="185" spans="1:7">
      <c r="A185" s="3217" t="s">
        <v>1153</v>
      </c>
      <c r="B185" s="3206" t="s">
        <v>3072</v>
      </c>
      <c r="C185" s="3218"/>
      <c r="D185" s="3218"/>
      <c r="E185" s="3218"/>
      <c r="F185" s="3207">
        <v>0.05</v>
      </c>
      <c r="G185" s="3224"/>
    </row>
    <row r="186" spans="1:7">
      <c r="A186" s="3217" t="s">
        <v>1153</v>
      </c>
      <c r="B186" s="3206" t="s">
        <v>3073</v>
      </c>
      <c r="C186" s="3218"/>
      <c r="D186" s="3218"/>
      <c r="E186" s="3218"/>
      <c r="F186" s="3207">
        <v>0.05</v>
      </c>
      <c r="G186" s="3224"/>
    </row>
    <row r="187" spans="1:7">
      <c r="A187" s="3217" t="s">
        <v>1153</v>
      </c>
      <c r="B187" s="3206" t="s">
        <v>3074</v>
      </c>
      <c r="C187" s="3218"/>
      <c r="D187" s="3218"/>
      <c r="E187" s="3218"/>
      <c r="F187" s="3207">
        <v>0.05</v>
      </c>
      <c r="G187" s="3224"/>
    </row>
    <row r="188" spans="1:7">
      <c r="A188" s="3217" t="s">
        <v>1153</v>
      </c>
      <c r="B188" s="3206" t="s">
        <v>3075</v>
      </c>
      <c r="C188" s="3218"/>
      <c r="D188" s="3218"/>
      <c r="E188" s="3218"/>
      <c r="F188" s="3207">
        <v>0.05</v>
      </c>
      <c r="G188" s="3224"/>
    </row>
    <row r="189" spans="1:7" ht="14.25" thickBot="1">
      <c r="A189" s="3220" t="s">
        <v>1153</v>
      </c>
      <c r="B189" s="3210" t="s">
        <v>3076</v>
      </c>
      <c r="C189" s="3212"/>
      <c r="D189" s="3212"/>
      <c r="E189" s="3212"/>
      <c r="F189" s="3211">
        <v>0.05</v>
      </c>
      <c r="G189" s="3225"/>
    </row>
    <row r="190" spans="1:7">
      <c r="A190" s="3216" t="s">
        <v>1154</v>
      </c>
      <c r="B190" s="3202" t="s">
        <v>3077</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3078</v>
      </c>
      <c r="C199" s="3207">
        <v>0.13</v>
      </c>
      <c r="D199" s="3207">
        <v>0.13</v>
      </c>
      <c r="E199" s="3207">
        <v>0.13</v>
      </c>
      <c r="F199" s="3207">
        <v>0.13</v>
      </c>
      <c r="G199" s="3208">
        <v>0.13</v>
      </c>
    </row>
    <row r="200" spans="1:7">
      <c r="A200" s="3217" t="s">
        <v>1154</v>
      </c>
      <c r="B200" s="3206" t="s">
        <v>2893</v>
      </c>
      <c r="C200" s="3223"/>
      <c r="D200" s="3223"/>
      <c r="E200" s="3223"/>
      <c r="F200" s="3207">
        <v>0.13</v>
      </c>
      <c r="G200" s="3219"/>
    </row>
    <row r="201" spans="1:7">
      <c r="A201" s="3217" t="s">
        <v>1154</v>
      </c>
      <c r="B201" s="3206" t="s">
        <v>3079</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3080</v>
      </c>
      <c r="C203" s="3207">
        <v>0.129</v>
      </c>
      <c r="D203" s="3207">
        <v>0.129</v>
      </c>
      <c r="E203" s="3207">
        <v>0.13</v>
      </c>
      <c r="F203" s="3207">
        <v>0.13</v>
      </c>
      <c r="G203" s="3208">
        <v>0.13</v>
      </c>
    </row>
    <row r="204" spans="1:7">
      <c r="A204" s="3217" t="s">
        <v>1154</v>
      </c>
      <c r="B204" s="3206" t="s">
        <v>2896</v>
      </c>
      <c r="C204" s="3207">
        <v>0.129</v>
      </c>
      <c r="D204" s="3207">
        <v>0.129</v>
      </c>
      <c r="E204" s="3207">
        <v>0.123</v>
      </c>
      <c r="F204" s="3207">
        <v>0.13</v>
      </c>
      <c r="G204" s="3208">
        <v>0.13</v>
      </c>
    </row>
    <row r="205" spans="1:7">
      <c r="A205" s="3217" t="s">
        <v>1154</v>
      </c>
      <c r="B205" s="3206" t="s">
        <v>2897</v>
      </c>
      <c r="C205" s="3207">
        <v>0.13</v>
      </c>
      <c r="D205" s="3207">
        <v>0.13</v>
      </c>
      <c r="E205" s="3207">
        <v>0.13</v>
      </c>
      <c r="F205" s="3207">
        <v>0.13</v>
      </c>
      <c r="G205" s="3208">
        <v>0.13</v>
      </c>
    </row>
    <row r="206" spans="1:7">
      <c r="A206" s="3217" t="s">
        <v>1154</v>
      </c>
      <c r="B206" s="3206" t="s">
        <v>2898</v>
      </c>
      <c r="C206" s="3207">
        <v>0.13</v>
      </c>
      <c r="D206" s="3207">
        <v>0.13</v>
      </c>
      <c r="E206" s="3207">
        <v>0.13</v>
      </c>
      <c r="F206" s="3207">
        <v>0.128</v>
      </c>
      <c r="G206" s="3208">
        <v>0.13</v>
      </c>
    </row>
    <row r="207" spans="1:7">
      <c r="A207" s="3217" t="s">
        <v>1154</v>
      </c>
      <c r="B207" s="3206" t="s">
        <v>2899</v>
      </c>
      <c r="C207" s="3207">
        <v>0.13</v>
      </c>
      <c r="D207" s="3207">
        <v>0.13</v>
      </c>
      <c r="E207" s="3207">
        <v>0.13</v>
      </c>
      <c r="F207" s="3207">
        <v>0.13</v>
      </c>
      <c r="G207" s="3208">
        <v>0.13</v>
      </c>
    </row>
    <row r="208" spans="1:7">
      <c r="A208" s="3217" t="s">
        <v>1154</v>
      </c>
      <c r="B208" s="3206" t="s">
        <v>3081</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2901</v>
      </c>
      <c r="C210" s="3207">
        <v>0.121</v>
      </c>
      <c r="D210" s="3207">
        <v>0.121</v>
      </c>
      <c r="E210" s="3207">
        <v>0.125</v>
      </c>
      <c r="F210" s="3207">
        <v>0.13</v>
      </c>
      <c r="G210" s="3208">
        <v>0.123</v>
      </c>
    </row>
    <row r="211" spans="1:7">
      <c r="A211" s="3217" t="s">
        <v>1154</v>
      </c>
      <c r="B211" s="3206" t="s">
        <v>3082</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3083</v>
      </c>
      <c r="C214" s="3207">
        <v>0.128</v>
      </c>
      <c r="D214" s="3207">
        <v>0.128</v>
      </c>
      <c r="E214" s="3207">
        <v>0.13</v>
      </c>
      <c r="F214" s="3207">
        <v>0.13</v>
      </c>
      <c r="G214" s="3208">
        <v>0.13</v>
      </c>
    </row>
    <row r="215" spans="1:7">
      <c r="A215" s="3217" t="s">
        <v>1154</v>
      </c>
      <c r="B215" s="3206" t="s">
        <v>3084</v>
      </c>
      <c r="C215" s="3207">
        <v>0.13</v>
      </c>
      <c r="D215" s="3207">
        <v>0.13</v>
      </c>
      <c r="E215" s="3207">
        <v>0.13</v>
      </c>
      <c r="F215" s="3207">
        <v>0.129</v>
      </c>
      <c r="G215" s="3208">
        <v>0.13</v>
      </c>
    </row>
    <row r="216" spans="1:7">
      <c r="A216" s="3217" t="s">
        <v>1154</v>
      </c>
      <c r="B216" s="3206" t="s">
        <v>3085</v>
      </c>
      <c r="C216" s="3207">
        <v>0.13</v>
      </c>
      <c r="D216" s="3207">
        <v>0.13</v>
      </c>
      <c r="E216" s="3207">
        <v>0.13</v>
      </c>
      <c r="F216" s="3207">
        <v>0.13</v>
      </c>
      <c r="G216" s="3208">
        <v>0.13</v>
      </c>
    </row>
    <row r="217" spans="1:7">
      <c r="A217" s="3217" t="s">
        <v>1154</v>
      </c>
      <c r="B217" s="3206" t="s">
        <v>2905</v>
      </c>
      <c r="C217" s="3207">
        <v>0.129</v>
      </c>
      <c r="D217" s="3207">
        <v>0.129</v>
      </c>
      <c r="E217" s="3207">
        <v>0.13</v>
      </c>
      <c r="F217" s="3207">
        <v>0.13</v>
      </c>
      <c r="G217" s="3208">
        <v>0.13</v>
      </c>
    </row>
    <row r="218" spans="1:7">
      <c r="A218" s="3217" t="s">
        <v>1154</v>
      </c>
      <c r="B218" s="3206" t="s">
        <v>3086</v>
      </c>
      <c r="C218" s="3218"/>
      <c r="D218" s="3218"/>
      <c r="E218" s="3218"/>
      <c r="F218" s="3207">
        <v>0.05</v>
      </c>
      <c r="G218" s="3224"/>
    </row>
    <row r="219" spans="1:7">
      <c r="A219" s="3217" t="s">
        <v>1154</v>
      </c>
      <c r="B219" s="3206" t="s">
        <v>3087</v>
      </c>
      <c r="C219" s="3218"/>
      <c r="D219" s="3218"/>
      <c r="E219" s="3218"/>
      <c r="F219" s="3207">
        <v>0.05</v>
      </c>
      <c r="G219" s="3224"/>
    </row>
    <row r="220" spans="1:7">
      <c r="A220" s="3217" t="s">
        <v>1154</v>
      </c>
      <c r="B220" s="3206" t="s">
        <v>3088</v>
      </c>
      <c r="C220" s="3218"/>
      <c r="D220" s="3218"/>
      <c r="E220" s="3218"/>
      <c r="F220" s="3207">
        <v>0.05</v>
      </c>
      <c r="G220" s="3224"/>
    </row>
    <row r="221" spans="1:7">
      <c r="A221" s="3217" t="s">
        <v>1154</v>
      </c>
      <c r="B221" s="3206" t="s">
        <v>3089</v>
      </c>
      <c r="C221" s="3218"/>
      <c r="D221" s="3218"/>
      <c r="E221" s="3218"/>
      <c r="F221" s="3207">
        <v>0.05</v>
      </c>
      <c r="G221" s="3224"/>
    </row>
    <row r="222" spans="1:7">
      <c r="A222" s="3217" t="s">
        <v>1154</v>
      </c>
      <c r="B222" s="3206" t="s">
        <v>3090</v>
      </c>
      <c r="C222" s="3218"/>
      <c r="D222" s="3218"/>
      <c r="E222" s="3218"/>
      <c r="F222" s="3207">
        <v>0.05</v>
      </c>
      <c r="G222" s="3224"/>
    </row>
    <row r="223" spans="1:7">
      <c r="A223" s="3217" t="s">
        <v>1154</v>
      </c>
      <c r="B223" s="3206" t="s">
        <v>3091</v>
      </c>
      <c r="C223" s="3218"/>
      <c r="D223" s="3218"/>
      <c r="E223" s="3218"/>
      <c r="F223" s="3207">
        <v>0.05</v>
      </c>
      <c r="G223" s="3224"/>
    </row>
    <row r="224" spans="1:7">
      <c r="A224" s="3217" t="s">
        <v>1154</v>
      </c>
      <c r="B224" s="3206" t="s">
        <v>3092</v>
      </c>
      <c r="C224" s="3218"/>
      <c r="D224" s="3218"/>
      <c r="E224" s="3218"/>
      <c r="F224" s="3207">
        <v>0.05</v>
      </c>
      <c r="G224" s="3224"/>
    </row>
    <row r="225" spans="1:7">
      <c r="A225" s="3217" t="s">
        <v>1154</v>
      </c>
      <c r="B225" s="3206" t="s">
        <v>3093</v>
      </c>
      <c r="C225" s="3218"/>
      <c r="D225" s="3218"/>
      <c r="E225" s="3218"/>
      <c r="F225" s="3207">
        <v>0.05</v>
      </c>
      <c r="G225" s="3224"/>
    </row>
    <row r="226" spans="1:7">
      <c r="A226" s="3217" t="s">
        <v>1154</v>
      </c>
      <c r="B226" s="3206" t="s">
        <v>3094</v>
      </c>
      <c r="C226" s="3218"/>
      <c r="D226" s="3218"/>
      <c r="E226" s="3218"/>
      <c r="F226" s="3207">
        <v>0.05</v>
      </c>
      <c r="G226" s="3224"/>
    </row>
    <row r="227" spans="1:7">
      <c r="A227" s="3217" t="s">
        <v>1154</v>
      </c>
      <c r="B227" s="3206" t="s">
        <v>3095</v>
      </c>
      <c r="C227" s="3218"/>
      <c r="D227" s="3218"/>
      <c r="E227" s="3218"/>
      <c r="F227" s="3207">
        <v>0.05</v>
      </c>
      <c r="G227" s="3224"/>
    </row>
    <row r="228" spans="1:7">
      <c r="A228" s="3217" t="s">
        <v>1154</v>
      </c>
      <c r="B228" s="3206" t="s">
        <v>3096</v>
      </c>
      <c r="C228" s="3218"/>
      <c r="D228" s="3218"/>
      <c r="E228" s="3218"/>
      <c r="F228" s="3207">
        <v>0.05</v>
      </c>
      <c r="G228" s="3224"/>
    </row>
    <row r="229" spans="1:7">
      <c r="A229" s="3217" t="s">
        <v>1154</v>
      </c>
      <c r="B229" s="3206" t="s">
        <v>3097</v>
      </c>
      <c r="C229" s="3218"/>
      <c r="D229" s="3218"/>
      <c r="E229" s="3218"/>
      <c r="F229" s="3207">
        <v>0.05</v>
      </c>
      <c r="G229" s="3224"/>
    </row>
    <row r="230" spans="1:7">
      <c r="A230" s="3217" t="s">
        <v>1154</v>
      </c>
      <c r="B230" s="3206" t="s">
        <v>3098</v>
      </c>
      <c r="C230" s="3218"/>
      <c r="D230" s="3218"/>
      <c r="E230" s="3218"/>
      <c r="F230" s="3207">
        <v>0.05</v>
      </c>
      <c r="G230" s="3224"/>
    </row>
    <row r="231" spans="1:7">
      <c r="A231" s="3217" t="s">
        <v>1154</v>
      </c>
      <c r="B231" s="3206" t="s">
        <v>3099</v>
      </c>
      <c r="C231" s="3218"/>
      <c r="D231" s="3218"/>
      <c r="E231" s="3218"/>
      <c r="F231" s="3207">
        <v>0.05</v>
      </c>
      <c r="G231" s="3224"/>
    </row>
    <row r="232" spans="1:7">
      <c r="A232" s="3217" t="s">
        <v>1154</v>
      </c>
      <c r="B232" s="3206" t="s">
        <v>3100</v>
      </c>
      <c r="C232" s="3218"/>
      <c r="D232" s="3218"/>
      <c r="E232" s="3218"/>
      <c r="F232" s="3207">
        <v>0.05</v>
      </c>
      <c r="G232" s="3224"/>
    </row>
    <row r="233" spans="1:7" ht="14.25" thickBot="1">
      <c r="A233" s="3220" t="s">
        <v>1154</v>
      </c>
      <c r="B233" s="3210" t="s">
        <v>3101</v>
      </c>
      <c r="C233" s="3212"/>
      <c r="D233" s="3212"/>
      <c r="E233" s="3212"/>
      <c r="F233" s="3211">
        <v>0.05</v>
      </c>
      <c r="G233" s="3225"/>
    </row>
    <row r="234" spans="1:7">
      <c r="A234" s="3216" t="s">
        <v>1155</v>
      </c>
      <c r="B234" s="3202" t="s">
        <v>3102</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2923</v>
      </c>
      <c r="C238" s="3207">
        <v>0.14899999999999999</v>
      </c>
      <c r="D238" s="3207">
        <v>0.14899999999999999</v>
      </c>
      <c r="E238" s="3207">
        <v>0.15</v>
      </c>
      <c r="F238" s="3207">
        <v>0.15</v>
      </c>
      <c r="G238" s="3208">
        <v>0.15</v>
      </c>
    </row>
    <row r="239" spans="1:7">
      <c r="A239" s="3217" t="s">
        <v>1155</v>
      </c>
      <c r="B239" s="3206" t="s">
        <v>3103</v>
      </c>
      <c r="C239" s="3207">
        <v>0.15</v>
      </c>
      <c r="D239" s="3207">
        <v>0.15</v>
      </c>
      <c r="E239" s="3207">
        <v>0.15</v>
      </c>
      <c r="F239" s="3207">
        <v>0.15</v>
      </c>
      <c r="G239" s="3208">
        <v>0.15</v>
      </c>
    </row>
    <row r="240" spans="1:7">
      <c r="A240" s="3217" t="s">
        <v>1155</v>
      </c>
      <c r="B240" s="3206" t="s">
        <v>3104</v>
      </c>
      <c r="C240" s="3207">
        <v>0.15</v>
      </c>
      <c r="D240" s="3207">
        <v>0.15</v>
      </c>
      <c r="E240" s="3207">
        <v>0.15</v>
      </c>
      <c r="F240" s="3207">
        <v>0.15</v>
      </c>
      <c r="G240" s="3208">
        <v>0.15</v>
      </c>
    </row>
    <row r="241" spans="1:7">
      <c r="A241" s="3217" t="s">
        <v>1155</v>
      </c>
      <c r="B241" s="3206" t="s">
        <v>3105</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3106</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3107</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3108</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3109</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3110</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2932</v>
      </c>
      <c r="C258" s="3207">
        <v>0.14299999999999999</v>
      </c>
      <c r="D258" s="3207">
        <v>0.14299999999999999</v>
      </c>
      <c r="E258" s="3207">
        <v>0.15</v>
      </c>
      <c r="F258" s="3207">
        <v>0.14799999999999999</v>
      </c>
      <c r="G258" s="3208">
        <v>0.14599999999999999</v>
      </c>
    </row>
    <row r="259" spans="1:7">
      <c r="A259" s="3217" t="s">
        <v>1155</v>
      </c>
      <c r="B259" s="3206" t="s">
        <v>3111</v>
      </c>
      <c r="C259" s="3207">
        <v>0.14399999999999999</v>
      </c>
      <c r="D259" s="3207">
        <v>0.14399999999999999</v>
      </c>
      <c r="E259" s="3207">
        <v>0.14899999999999999</v>
      </c>
      <c r="F259" s="3207">
        <v>0.14699999999999999</v>
      </c>
      <c r="G259" s="3208">
        <v>0.14599999999999999</v>
      </c>
    </row>
    <row r="260" spans="1:7">
      <c r="A260" s="3217" t="s">
        <v>1155</v>
      </c>
      <c r="B260" s="3206" t="s">
        <v>3112</v>
      </c>
      <c r="C260" s="3207">
        <v>0.109</v>
      </c>
      <c r="D260" s="3207">
        <v>0.111</v>
      </c>
      <c r="E260" s="3207">
        <v>0.13100000000000001</v>
      </c>
      <c r="F260" s="3207">
        <v>0.126</v>
      </c>
      <c r="G260" s="3208">
        <v>0.11899999999999999</v>
      </c>
    </row>
    <row r="261" spans="1:7">
      <c r="A261" s="3217" t="s">
        <v>1155</v>
      </c>
      <c r="B261" s="3206" t="s">
        <v>3113</v>
      </c>
      <c r="C261" s="3207">
        <v>0.1</v>
      </c>
      <c r="D261" s="3207">
        <v>0.1</v>
      </c>
      <c r="E261" s="3207">
        <v>0.11799999999999999</v>
      </c>
      <c r="F261" s="3207">
        <v>0.108</v>
      </c>
      <c r="G261" s="3208">
        <v>0.107</v>
      </c>
    </row>
    <row r="262" spans="1:7">
      <c r="A262" s="3217" t="s">
        <v>1155</v>
      </c>
      <c r="B262" s="3206" t="s">
        <v>3114</v>
      </c>
      <c r="C262" s="3207">
        <v>0.1</v>
      </c>
      <c r="D262" s="3207">
        <v>0.1</v>
      </c>
      <c r="E262" s="3207">
        <v>0.1</v>
      </c>
      <c r="F262" s="3207">
        <v>0.14099999999999999</v>
      </c>
      <c r="G262" s="3208">
        <v>0.1</v>
      </c>
    </row>
    <row r="263" spans="1:7">
      <c r="A263" s="3217" t="s">
        <v>1155</v>
      </c>
      <c r="B263" s="3206" t="s">
        <v>3115</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3116</v>
      </c>
      <c r="C265" s="3218"/>
      <c r="D265" s="3218"/>
      <c r="E265" s="3218"/>
      <c r="F265" s="3207">
        <v>0.05</v>
      </c>
      <c r="G265" s="3224"/>
    </row>
    <row r="266" spans="1:7">
      <c r="A266" s="3217" t="s">
        <v>1155</v>
      </c>
      <c r="B266" s="3206" t="s">
        <v>3117</v>
      </c>
      <c r="C266" s="3218"/>
      <c r="D266" s="3218"/>
      <c r="E266" s="3218"/>
      <c r="F266" s="3207">
        <v>0.05</v>
      </c>
      <c r="G266" s="3224"/>
    </row>
    <row r="267" spans="1:7">
      <c r="A267" s="3217" t="s">
        <v>1155</v>
      </c>
      <c r="B267" s="3206" t="s">
        <v>3118</v>
      </c>
      <c r="C267" s="3218"/>
      <c r="D267" s="3218"/>
      <c r="E267" s="3218"/>
      <c r="F267" s="3207">
        <v>0.05</v>
      </c>
      <c r="G267" s="3224"/>
    </row>
    <row r="268" spans="1:7">
      <c r="A268" s="3217" t="s">
        <v>1155</v>
      </c>
      <c r="B268" s="3206" t="s">
        <v>3119</v>
      </c>
      <c r="C268" s="3218"/>
      <c r="D268" s="3218"/>
      <c r="E268" s="3218"/>
      <c r="F268" s="3207">
        <v>0.05</v>
      </c>
      <c r="G268" s="3224"/>
    </row>
    <row r="269" spans="1:7">
      <c r="A269" s="3217" t="s">
        <v>1155</v>
      </c>
      <c r="B269" s="3206" t="s">
        <v>3120</v>
      </c>
      <c r="C269" s="3218"/>
      <c r="D269" s="3218"/>
      <c r="E269" s="3218"/>
      <c r="F269" s="3207">
        <v>0.05</v>
      </c>
      <c r="G269" s="3224"/>
    </row>
    <row r="270" spans="1:7">
      <c r="A270" s="3217" t="s">
        <v>1155</v>
      </c>
      <c r="B270" s="3206" t="s">
        <v>3121</v>
      </c>
      <c r="C270" s="3218"/>
      <c r="D270" s="3218"/>
      <c r="E270" s="3218"/>
      <c r="F270" s="3207">
        <v>0.05</v>
      </c>
      <c r="G270" s="3224"/>
    </row>
    <row r="271" spans="1:7">
      <c r="A271" s="3217" t="s">
        <v>1155</v>
      </c>
      <c r="B271" s="3206" t="s">
        <v>3122</v>
      </c>
      <c r="C271" s="3218"/>
      <c r="D271" s="3218"/>
      <c r="E271" s="3218"/>
      <c r="F271" s="3207">
        <v>0.05</v>
      </c>
      <c r="G271" s="3224"/>
    </row>
    <row r="272" spans="1:7">
      <c r="A272" s="3217" t="s">
        <v>1155</v>
      </c>
      <c r="B272" s="3206" t="s">
        <v>3123</v>
      </c>
      <c r="C272" s="3218"/>
      <c r="D272" s="3218"/>
      <c r="E272" s="3218"/>
      <c r="F272" s="3207">
        <v>0.05</v>
      </c>
      <c r="G272" s="3224"/>
    </row>
    <row r="273" spans="1:7">
      <c r="A273" s="3217" t="s">
        <v>1155</v>
      </c>
      <c r="B273" s="3206" t="s">
        <v>3124</v>
      </c>
      <c r="C273" s="3218"/>
      <c r="D273" s="3218"/>
      <c r="E273" s="3218"/>
      <c r="F273" s="3207">
        <v>0.05</v>
      </c>
      <c r="G273" s="3224"/>
    </row>
    <row r="274" spans="1:7">
      <c r="A274" s="3217" t="s">
        <v>1155</v>
      </c>
      <c r="B274" s="3206" t="s">
        <v>3125</v>
      </c>
      <c r="C274" s="3218"/>
      <c r="D274" s="3218"/>
      <c r="E274" s="3218"/>
      <c r="F274" s="3207">
        <v>0.05</v>
      </c>
      <c r="G274" s="3224"/>
    </row>
    <row r="275" spans="1:7">
      <c r="A275" s="3217" t="s">
        <v>1155</v>
      </c>
      <c r="B275" s="3206" t="s">
        <v>3126</v>
      </c>
      <c r="C275" s="3218"/>
      <c r="D275" s="3218"/>
      <c r="E275" s="3218"/>
      <c r="F275" s="3207">
        <v>0.05</v>
      </c>
      <c r="G275" s="3224"/>
    </row>
    <row r="276" spans="1:7" ht="14.25" thickBot="1">
      <c r="A276" s="3220" t="s">
        <v>1155</v>
      </c>
      <c r="B276" s="3210" t="s">
        <v>3127</v>
      </c>
      <c r="C276" s="3212"/>
      <c r="D276" s="3212"/>
      <c r="E276" s="3212"/>
      <c r="F276" s="3211">
        <v>0.05</v>
      </c>
      <c r="G276" s="3225"/>
    </row>
    <row r="277" spans="1:7">
      <c r="A277" s="3216" t="s">
        <v>1156</v>
      </c>
      <c r="B277" s="3202" t="s">
        <v>3128</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3129</v>
      </c>
      <c r="C279" s="3207">
        <v>0.15</v>
      </c>
      <c r="D279" s="3207">
        <v>0.15</v>
      </c>
      <c r="E279" s="3207">
        <v>0.15</v>
      </c>
      <c r="F279" s="3207">
        <v>0.15</v>
      </c>
      <c r="G279" s="3208">
        <v>0.15</v>
      </c>
    </row>
    <row r="280" spans="1:7">
      <c r="A280" s="3217" t="s">
        <v>1156</v>
      </c>
      <c r="B280" s="3206" t="s">
        <v>3130</v>
      </c>
      <c r="C280" s="3207">
        <v>0.15</v>
      </c>
      <c r="D280" s="3207">
        <v>0.15</v>
      </c>
      <c r="E280" s="3207">
        <v>0.15</v>
      </c>
      <c r="F280" s="3207">
        <v>0.15</v>
      </c>
      <c r="G280" s="3208">
        <v>0.15</v>
      </c>
    </row>
    <row r="281" spans="1:7">
      <c r="A281" s="3217" t="s">
        <v>1156</v>
      </c>
      <c r="B281" s="3206" t="s">
        <v>3131</v>
      </c>
      <c r="C281" s="3207">
        <v>0.15</v>
      </c>
      <c r="D281" s="3207">
        <v>0.15</v>
      </c>
      <c r="E281" s="3207">
        <v>0.15</v>
      </c>
      <c r="F281" s="3207">
        <v>0.15</v>
      </c>
      <c r="G281" s="3208">
        <v>0.15</v>
      </c>
    </row>
    <row r="282" spans="1:7">
      <c r="A282" s="3217" t="s">
        <v>1156</v>
      </c>
      <c r="B282" s="3206" t="s">
        <v>3132</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3133</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3134</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2957</v>
      </c>
      <c r="C293" s="3207">
        <v>0.15</v>
      </c>
      <c r="D293" s="3207">
        <v>0.15</v>
      </c>
      <c r="E293" s="3207">
        <v>0.15</v>
      </c>
      <c r="F293" s="3207">
        <v>0.14499999999999999</v>
      </c>
      <c r="G293" s="3208">
        <v>0.15</v>
      </c>
    </row>
    <row r="294" spans="1:7">
      <c r="A294" s="3217" t="s">
        <v>1156</v>
      </c>
      <c r="B294" s="3206" t="s">
        <v>3135</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2959</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3136</v>
      </c>
      <c r="C302" s="3207">
        <v>0.15</v>
      </c>
      <c r="D302" s="3207">
        <v>0.15</v>
      </c>
      <c r="E302" s="3207">
        <v>0.15</v>
      </c>
      <c r="F302" s="3207">
        <v>0.14699999999999999</v>
      </c>
      <c r="G302" s="3208">
        <v>0.15</v>
      </c>
    </row>
    <row r="303" spans="1:7">
      <c r="A303" s="3217" t="s">
        <v>1156</v>
      </c>
      <c r="B303" s="3206" t="s">
        <v>2961</v>
      </c>
      <c r="C303" s="3207">
        <v>0.15</v>
      </c>
      <c r="D303" s="3207">
        <v>0.15</v>
      </c>
      <c r="E303" s="3207">
        <v>0.15</v>
      </c>
      <c r="F303" s="3207">
        <v>0.14199999999999999</v>
      </c>
      <c r="G303" s="3208">
        <v>0.15</v>
      </c>
    </row>
    <row r="304" spans="1:7">
      <c r="A304" s="3217" t="s">
        <v>1156</v>
      </c>
      <c r="B304" s="3206" t="s">
        <v>2962</v>
      </c>
      <c r="C304" s="3207">
        <v>0.15</v>
      </c>
      <c r="D304" s="3207">
        <v>0.15</v>
      </c>
      <c r="E304" s="3207">
        <v>0.15</v>
      </c>
      <c r="F304" s="3207">
        <v>0.14499999999999999</v>
      </c>
      <c r="G304" s="3208">
        <v>0.15</v>
      </c>
    </row>
    <row r="305" spans="1:7">
      <c r="A305" s="3217" t="s">
        <v>1156</v>
      </c>
      <c r="B305" s="3206" t="s">
        <v>2963</v>
      </c>
      <c r="C305" s="3207">
        <v>0.15</v>
      </c>
      <c r="D305" s="3207">
        <v>0.15</v>
      </c>
      <c r="E305" s="3207">
        <v>0.15</v>
      </c>
      <c r="F305" s="3207">
        <v>0.111</v>
      </c>
      <c r="G305" s="3208">
        <v>0.15</v>
      </c>
    </row>
    <row r="306" spans="1:7">
      <c r="A306" s="3217" t="s">
        <v>1156</v>
      </c>
      <c r="B306" s="3206" t="s">
        <v>3137</v>
      </c>
      <c r="C306" s="3207">
        <v>0.15</v>
      </c>
      <c r="D306" s="3207">
        <v>0.15</v>
      </c>
      <c r="E306" s="3207">
        <v>0.15</v>
      </c>
      <c r="F306" s="3207">
        <v>0.126</v>
      </c>
      <c r="G306" s="3208">
        <v>0.15</v>
      </c>
    </row>
    <row r="307" spans="1:7">
      <c r="A307" s="3217" t="s">
        <v>1156</v>
      </c>
      <c r="B307" s="3206" t="s">
        <v>2965</v>
      </c>
      <c r="C307" s="3207">
        <v>0.15</v>
      </c>
      <c r="D307" s="3207">
        <v>0.15</v>
      </c>
      <c r="E307" s="3207">
        <v>0.15</v>
      </c>
      <c r="F307" s="3207">
        <v>0.12</v>
      </c>
      <c r="G307" s="3208">
        <v>0.15</v>
      </c>
    </row>
    <row r="308" spans="1:7">
      <c r="A308" s="3217" t="s">
        <v>1156</v>
      </c>
      <c r="B308" s="3206" t="s">
        <v>3138</v>
      </c>
      <c r="C308" s="3207">
        <v>0.15</v>
      </c>
      <c r="D308" s="3207">
        <v>0.15</v>
      </c>
      <c r="E308" s="3207">
        <v>0.15</v>
      </c>
      <c r="F308" s="3207">
        <v>0.13</v>
      </c>
      <c r="G308" s="3208">
        <v>0.15</v>
      </c>
    </row>
    <row r="309" spans="1:7">
      <c r="A309" s="3217" t="s">
        <v>1156</v>
      </c>
      <c r="B309" s="3206" t="s">
        <v>3139</v>
      </c>
      <c r="C309" s="3207">
        <v>0.15</v>
      </c>
      <c r="D309" s="3207">
        <v>0.15</v>
      </c>
      <c r="E309" s="3207">
        <v>0.15</v>
      </c>
      <c r="F309" s="3207">
        <v>0.14099999999999999</v>
      </c>
      <c r="G309" s="3208">
        <v>0.15</v>
      </c>
    </row>
    <row r="310" spans="1:7">
      <c r="A310" s="3217" t="s">
        <v>1156</v>
      </c>
      <c r="B310" s="3206" t="s">
        <v>2968</v>
      </c>
      <c r="C310" s="3207">
        <v>0.15</v>
      </c>
      <c r="D310" s="3207">
        <v>0.15</v>
      </c>
      <c r="E310" s="3207">
        <v>0.15</v>
      </c>
      <c r="F310" s="3207">
        <v>0.15</v>
      </c>
      <c r="G310" s="3208">
        <v>0.15</v>
      </c>
    </row>
    <row r="311" spans="1:7">
      <c r="A311" s="3217" t="s">
        <v>1156</v>
      </c>
      <c r="B311" s="3206" t="s">
        <v>3140</v>
      </c>
      <c r="C311" s="3207">
        <v>0.13200000000000001</v>
      </c>
      <c r="D311" s="3207">
        <v>0.13300000000000001</v>
      </c>
      <c r="E311" s="3207">
        <v>0.14499999999999999</v>
      </c>
      <c r="F311" s="3207">
        <v>0.14199999999999999</v>
      </c>
      <c r="G311" s="3208">
        <v>0.14000000000000001</v>
      </c>
    </row>
    <row r="312" spans="1:7">
      <c r="A312" s="3217" t="s">
        <v>1156</v>
      </c>
      <c r="B312" s="3206" t="s">
        <v>2970</v>
      </c>
      <c r="C312" s="3207">
        <v>0.13800000000000001</v>
      </c>
      <c r="D312" s="3207">
        <v>0.14000000000000001</v>
      </c>
      <c r="E312" s="3207">
        <v>0.14599999999999999</v>
      </c>
      <c r="F312" s="3207">
        <v>0.14899999999999999</v>
      </c>
      <c r="G312" s="3208">
        <v>0.14199999999999999</v>
      </c>
    </row>
    <row r="313" spans="1:7">
      <c r="A313" s="3217" t="s">
        <v>1156</v>
      </c>
      <c r="B313" s="3206" t="s">
        <v>2971</v>
      </c>
      <c r="C313" s="3207">
        <v>0.125</v>
      </c>
      <c r="D313" s="3207">
        <v>0.127</v>
      </c>
      <c r="E313" s="3207">
        <v>0.14399999999999999</v>
      </c>
      <c r="F313" s="3207">
        <v>0.115</v>
      </c>
      <c r="G313" s="3208">
        <v>0.13600000000000001</v>
      </c>
    </row>
    <row r="314" spans="1:7">
      <c r="A314" s="3217" t="s">
        <v>1156</v>
      </c>
      <c r="B314" s="3206" t="s">
        <v>3141</v>
      </c>
      <c r="C314" s="3223"/>
      <c r="D314" s="3223"/>
      <c r="E314" s="3223"/>
      <c r="F314" s="3207">
        <v>0.05</v>
      </c>
      <c r="G314" s="3224"/>
    </row>
    <row r="315" spans="1:7">
      <c r="A315" s="3217" t="s">
        <v>1156</v>
      </c>
      <c r="B315" s="3206" t="s">
        <v>3142</v>
      </c>
      <c r="C315" s="3223"/>
      <c r="D315" s="3223"/>
      <c r="E315" s="3223"/>
      <c r="F315" s="3207">
        <v>0.05</v>
      </c>
      <c r="G315" s="3224"/>
    </row>
    <row r="316" spans="1:7">
      <c r="A316" s="3217" t="s">
        <v>1156</v>
      </c>
      <c r="B316" s="3206" t="s">
        <v>3143</v>
      </c>
      <c r="C316" s="3218"/>
      <c r="D316" s="3218"/>
      <c r="E316" s="3218"/>
      <c r="F316" s="3207">
        <v>0.05</v>
      </c>
      <c r="G316" s="3224"/>
    </row>
    <row r="317" spans="1:7">
      <c r="A317" s="3217" t="s">
        <v>1156</v>
      </c>
      <c r="B317" s="3206" t="s">
        <v>3144</v>
      </c>
      <c r="C317" s="3218"/>
      <c r="D317" s="3218"/>
      <c r="E317" s="3218"/>
      <c r="F317" s="3207">
        <v>0.05</v>
      </c>
      <c r="G317" s="3224"/>
    </row>
    <row r="318" spans="1:7">
      <c r="A318" s="3217" t="s">
        <v>1156</v>
      </c>
      <c r="B318" s="3206" t="s">
        <v>3145</v>
      </c>
      <c r="C318" s="3218"/>
      <c r="D318" s="3218"/>
      <c r="E318" s="3218"/>
      <c r="F318" s="3207">
        <v>0.05</v>
      </c>
      <c r="G318" s="3224"/>
    </row>
    <row r="319" spans="1:7">
      <c r="A319" s="3217" t="s">
        <v>1156</v>
      </c>
      <c r="B319" s="3206" t="s">
        <v>3146</v>
      </c>
      <c r="C319" s="3218"/>
      <c r="D319" s="3218"/>
      <c r="E319" s="3218"/>
      <c r="F319" s="3207">
        <v>0.05</v>
      </c>
      <c r="G319" s="3224"/>
    </row>
    <row r="320" spans="1:7">
      <c r="A320" s="3217" t="s">
        <v>1156</v>
      </c>
      <c r="B320" s="3206" t="s">
        <v>3147</v>
      </c>
      <c r="C320" s="3218"/>
      <c r="D320" s="3218"/>
      <c r="E320" s="3218"/>
      <c r="F320" s="3207">
        <v>0.05</v>
      </c>
      <c r="G320" s="3224"/>
    </row>
    <row r="321" spans="1:7">
      <c r="A321" s="3217" t="s">
        <v>1156</v>
      </c>
      <c r="B321" s="3206" t="s">
        <v>3148</v>
      </c>
      <c r="C321" s="3218"/>
      <c r="D321" s="3218"/>
      <c r="E321" s="3218"/>
      <c r="F321" s="3207">
        <v>0.05</v>
      </c>
      <c r="G321" s="3224"/>
    </row>
    <row r="322" spans="1:7">
      <c r="A322" s="3217" t="s">
        <v>1156</v>
      </c>
      <c r="B322" s="3206" t="s">
        <v>3149</v>
      </c>
      <c r="C322" s="3218"/>
      <c r="D322" s="3218"/>
      <c r="E322" s="3218"/>
      <c r="F322" s="3207">
        <v>0.05</v>
      </c>
      <c r="G322" s="3224"/>
    </row>
    <row r="323" spans="1:7">
      <c r="A323" s="3217" t="s">
        <v>1156</v>
      </c>
      <c r="B323" s="3206" t="s">
        <v>3150</v>
      </c>
      <c r="C323" s="3218"/>
      <c r="D323" s="3218"/>
      <c r="E323" s="3218"/>
      <c r="F323" s="3207">
        <v>0.05</v>
      </c>
      <c r="G323" s="3224"/>
    </row>
    <row r="324" spans="1:7">
      <c r="A324" s="3217" t="s">
        <v>1156</v>
      </c>
      <c r="B324" s="3206" t="s">
        <v>3151</v>
      </c>
      <c r="C324" s="3218"/>
      <c r="D324" s="3218"/>
      <c r="E324" s="3218"/>
      <c r="F324" s="3207">
        <v>0.05</v>
      </c>
      <c r="G324" s="3224"/>
    </row>
    <row r="325" spans="1:7">
      <c r="A325" s="3217" t="s">
        <v>1156</v>
      </c>
      <c r="B325" s="3206" t="s">
        <v>3152</v>
      </c>
      <c r="C325" s="3218"/>
      <c r="D325" s="3218"/>
      <c r="E325" s="3218"/>
      <c r="F325" s="3207">
        <v>0.05</v>
      </c>
      <c r="G325" s="3224"/>
    </row>
    <row r="326" spans="1:7" ht="14.25" thickBot="1">
      <c r="A326" s="3220" t="s">
        <v>1156</v>
      </c>
      <c r="B326" s="3210" t="s">
        <v>3153</v>
      </c>
      <c r="C326" s="3212"/>
      <c r="D326" s="3212"/>
      <c r="E326" s="3212"/>
      <c r="F326" s="3211">
        <v>0.05</v>
      </c>
      <c r="G326" s="3225"/>
    </row>
    <row r="327" spans="1:7">
      <c r="A327" s="3216" t="s">
        <v>1157</v>
      </c>
      <c r="B327" s="3202" t="s">
        <v>3154</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3155</v>
      </c>
      <c r="C329" s="3207">
        <v>0.15</v>
      </c>
      <c r="D329" s="3207">
        <v>0.15</v>
      </c>
      <c r="E329" s="3207">
        <v>0.15</v>
      </c>
      <c r="F329" s="3207">
        <v>0.15</v>
      </c>
      <c r="G329" s="3208">
        <v>0.15</v>
      </c>
    </row>
    <row r="330" spans="1:7">
      <c r="A330" s="3217" t="s">
        <v>1157</v>
      </c>
      <c r="B330" s="3206" t="s">
        <v>3156</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2988</v>
      </c>
      <c r="C332" s="3207">
        <v>0.15</v>
      </c>
      <c r="D332" s="3207">
        <v>0.15</v>
      </c>
      <c r="E332" s="3207">
        <v>0.15</v>
      </c>
      <c r="F332" s="3207">
        <v>0.15</v>
      </c>
      <c r="G332" s="3208">
        <v>0.15</v>
      </c>
    </row>
    <row r="333" spans="1:7">
      <c r="A333" s="3217" t="s">
        <v>1157</v>
      </c>
      <c r="B333" s="3206" t="s">
        <v>3157</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2990</v>
      </c>
      <c r="C336" s="3207">
        <v>0.15</v>
      </c>
      <c r="D336" s="3207">
        <v>0.15</v>
      </c>
      <c r="E336" s="3207">
        <v>0.15</v>
      </c>
      <c r="F336" s="3207">
        <v>0.14199999999999999</v>
      </c>
      <c r="G336" s="3208">
        <v>0.15</v>
      </c>
    </row>
    <row r="337" spans="1:7">
      <c r="A337" s="3217" t="s">
        <v>1157</v>
      </c>
      <c r="B337" s="3206" t="s">
        <v>3158</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3159</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3160</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2994</v>
      </c>
      <c r="C345" s="3207">
        <v>0.15</v>
      </c>
      <c r="D345" s="3207">
        <v>0.15</v>
      </c>
      <c r="E345" s="3207">
        <v>0.15</v>
      </c>
      <c r="F345" s="3207">
        <v>0.13800000000000001</v>
      </c>
      <c r="G345" s="3208">
        <v>0.15</v>
      </c>
    </row>
    <row r="346" spans="1:7">
      <c r="A346" s="3217" t="s">
        <v>1157</v>
      </c>
      <c r="B346" s="3206" t="s">
        <v>3161</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2996</v>
      </c>
      <c r="C348" s="3207">
        <v>0.15</v>
      </c>
      <c r="D348" s="3207">
        <v>0.15</v>
      </c>
      <c r="E348" s="3207">
        <v>0.15</v>
      </c>
      <c r="F348" s="3207">
        <v>0.14399999999999999</v>
      </c>
      <c r="G348" s="3208">
        <v>0.15</v>
      </c>
    </row>
    <row r="349" spans="1:7">
      <c r="A349" s="3217" t="s">
        <v>1157</v>
      </c>
      <c r="B349" s="3206" t="s">
        <v>2997</v>
      </c>
      <c r="C349" s="3207">
        <v>0.15</v>
      </c>
      <c r="D349" s="3207">
        <v>0.15</v>
      </c>
      <c r="E349" s="3207">
        <v>0.15</v>
      </c>
      <c r="F349" s="3207">
        <v>0.15</v>
      </c>
      <c r="G349" s="3208">
        <v>0.15</v>
      </c>
    </row>
    <row r="350" spans="1:7">
      <c r="A350" s="3217" t="s">
        <v>1157</v>
      </c>
      <c r="B350" s="3206" t="s">
        <v>3162</v>
      </c>
      <c r="C350" s="3207">
        <v>0.15</v>
      </c>
      <c r="D350" s="3207">
        <v>0.15</v>
      </c>
      <c r="E350" s="3207">
        <v>0.15</v>
      </c>
      <c r="F350" s="3207">
        <v>0.14699999999999999</v>
      </c>
      <c r="G350" s="3208">
        <v>0.15</v>
      </c>
    </row>
    <row r="351" spans="1:7">
      <c r="A351" s="3217" t="s">
        <v>1157</v>
      </c>
      <c r="B351" s="3206" t="s">
        <v>2999</v>
      </c>
      <c r="C351" s="3207">
        <v>0.15</v>
      </c>
      <c r="D351" s="3207">
        <v>0.15</v>
      </c>
      <c r="E351" s="3207">
        <v>0.15</v>
      </c>
      <c r="F351" s="3207">
        <v>0.13</v>
      </c>
      <c r="G351" s="3208">
        <v>0.15</v>
      </c>
    </row>
    <row r="352" spans="1:7">
      <c r="A352" s="3217" t="s">
        <v>1157</v>
      </c>
      <c r="B352" s="3206" t="s">
        <v>3000</v>
      </c>
      <c r="C352" s="3207">
        <v>0.15</v>
      </c>
      <c r="D352" s="3207">
        <v>0.15</v>
      </c>
      <c r="E352" s="3207">
        <v>0.15</v>
      </c>
      <c r="F352" s="3207">
        <v>0.14599999999999999</v>
      </c>
      <c r="G352" s="3208">
        <v>0.15</v>
      </c>
    </row>
    <row r="353" spans="1:7">
      <c r="A353" s="3217" t="s">
        <v>1157</v>
      </c>
      <c r="B353" s="3206" t="s">
        <v>3163</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3002</v>
      </c>
      <c r="C355" s="3207">
        <v>0.15</v>
      </c>
      <c r="D355" s="3207">
        <v>0.15</v>
      </c>
      <c r="E355" s="3207">
        <v>0.15</v>
      </c>
      <c r="F355" s="3207">
        <v>0.15</v>
      </c>
      <c r="G355" s="3208">
        <v>0.15</v>
      </c>
    </row>
    <row r="356" spans="1:7">
      <c r="A356" s="3217" t="s">
        <v>1157</v>
      </c>
      <c r="B356" s="3206" t="s">
        <v>3003</v>
      </c>
      <c r="C356" s="3207">
        <v>0.15</v>
      </c>
      <c r="D356" s="3207">
        <v>0.15</v>
      </c>
      <c r="E356" s="3207">
        <v>0.15</v>
      </c>
      <c r="F356" s="3207">
        <v>0.15</v>
      </c>
      <c r="G356" s="3208">
        <v>0.15</v>
      </c>
    </row>
    <row r="357" spans="1:7" ht="14.25" thickBot="1">
      <c r="A357" s="3220" t="s">
        <v>1157</v>
      </c>
      <c r="B357" s="3210" t="s">
        <v>3164</v>
      </c>
      <c r="C357" s="3211">
        <v>0.126</v>
      </c>
      <c r="D357" s="3211">
        <v>0.127</v>
      </c>
      <c r="E357" s="3211">
        <v>0.14299999999999999</v>
      </c>
      <c r="F357" s="3211">
        <v>0.125</v>
      </c>
      <c r="G357" s="3213">
        <v>0.129</v>
      </c>
    </row>
    <row r="358" spans="1:7">
      <c r="A358" s="3216" t="s">
        <v>3165</v>
      </c>
      <c r="B358" s="3202" t="s">
        <v>3166</v>
      </c>
      <c r="C358" s="3203">
        <v>0.15</v>
      </c>
      <c r="D358" s="3203">
        <v>0.15</v>
      </c>
      <c r="E358" s="3203">
        <v>0.15</v>
      </c>
      <c r="F358" s="3203">
        <v>0.15</v>
      </c>
      <c r="G358" s="3204">
        <v>0.15</v>
      </c>
    </row>
    <row r="359" spans="1:7">
      <c r="A359" s="3217" t="s">
        <v>3165</v>
      </c>
      <c r="B359" s="3206" t="s">
        <v>3167</v>
      </c>
      <c r="C359" s="3207">
        <v>0.1</v>
      </c>
      <c r="D359" s="3207">
        <v>0.1</v>
      </c>
      <c r="E359" s="3207">
        <v>0.1</v>
      </c>
      <c r="F359" s="3207">
        <v>0.1</v>
      </c>
      <c r="G359" s="3208">
        <v>0.1</v>
      </c>
    </row>
    <row r="360" spans="1:7">
      <c r="A360" s="3217" t="s">
        <v>3165</v>
      </c>
      <c r="B360" s="3206" t="s">
        <v>3168</v>
      </c>
      <c r="C360" s="3207">
        <v>0.15</v>
      </c>
      <c r="D360" s="3207">
        <v>0.15</v>
      </c>
      <c r="E360" s="3207">
        <v>0.15</v>
      </c>
      <c r="F360" s="3207">
        <v>0.14899999999999999</v>
      </c>
      <c r="G360" s="3208">
        <v>0.15</v>
      </c>
    </row>
    <row r="361" spans="1:7">
      <c r="A361" s="3217" t="s">
        <v>3165</v>
      </c>
      <c r="B361" s="3206" t="s">
        <v>999</v>
      </c>
      <c r="C361" s="3207">
        <v>0.15</v>
      </c>
      <c r="D361" s="3207">
        <v>0.15</v>
      </c>
      <c r="E361" s="3207">
        <v>0.15</v>
      </c>
      <c r="F361" s="3207">
        <v>0.115</v>
      </c>
      <c r="G361" s="3208">
        <v>0.15</v>
      </c>
    </row>
    <row r="362" spans="1:7">
      <c r="A362" s="3217" t="s">
        <v>3165</v>
      </c>
      <c r="B362" s="3206" t="s">
        <v>3169</v>
      </c>
      <c r="C362" s="3207">
        <v>0.15</v>
      </c>
      <c r="D362" s="3207">
        <v>0.15</v>
      </c>
      <c r="E362" s="3207">
        <v>0.15</v>
      </c>
      <c r="F362" s="3207">
        <v>0.106</v>
      </c>
      <c r="G362" s="3208">
        <v>0.15</v>
      </c>
    </row>
    <row r="363" spans="1:7">
      <c r="A363" s="3217" t="s">
        <v>3165</v>
      </c>
      <c r="B363" s="3206" t="s">
        <v>3009</v>
      </c>
      <c r="C363" s="3207">
        <v>0.15</v>
      </c>
      <c r="D363" s="3207">
        <v>0.15</v>
      </c>
      <c r="E363" s="3207">
        <v>0.15</v>
      </c>
      <c r="F363" s="3207">
        <v>0.14699999999999999</v>
      </c>
      <c r="G363" s="3208">
        <v>0.15</v>
      </c>
    </row>
    <row r="364" spans="1:7">
      <c r="A364" s="3217" t="s">
        <v>3165</v>
      </c>
      <c r="B364" s="3206" t="s">
        <v>3170</v>
      </c>
      <c r="C364" s="3207">
        <v>0.15</v>
      </c>
      <c r="D364" s="3207">
        <v>0.15</v>
      </c>
      <c r="E364" s="3207">
        <v>0.15</v>
      </c>
      <c r="F364" s="3207">
        <v>0.14799999999999999</v>
      </c>
      <c r="G364" s="3208">
        <v>0.15</v>
      </c>
    </row>
    <row r="365" spans="1:7">
      <c r="A365" s="3217" t="s">
        <v>3165</v>
      </c>
      <c r="B365" s="3206" t="s">
        <v>1047</v>
      </c>
      <c r="C365" s="3207">
        <v>0.15</v>
      </c>
      <c r="D365" s="3207">
        <v>0.15</v>
      </c>
      <c r="E365" s="3207">
        <v>0.15</v>
      </c>
      <c r="F365" s="3207">
        <v>0.15</v>
      </c>
      <c r="G365" s="3208">
        <v>0.15</v>
      </c>
    </row>
    <row r="366" spans="1:7">
      <c r="A366" s="3217" t="s">
        <v>3165</v>
      </c>
      <c r="B366" s="3206" t="s">
        <v>3011</v>
      </c>
      <c r="C366" s="3207">
        <v>0.15</v>
      </c>
      <c r="D366" s="3207">
        <v>0.15</v>
      </c>
      <c r="E366" s="3207">
        <v>0.15</v>
      </c>
      <c r="F366" s="3207">
        <v>0.15</v>
      </c>
      <c r="G366" s="3208">
        <v>0.15</v>
      </c>
    </row>
    <row r="367" spans="1:7">
      <c r="A367" s="3217" t="s">
        <v>3165</v>
      </c>
      <c r="B367" s="3206" t="s">
        <v>3171</v>
      </c>
      <c r="C367" s="3207">
        <v>0.15</v>
      </c>
      <c r="D367" s="3207">
        <v>0.15</v>
      </c>
      <c r="E367" s="3207">
        <v>0.15</v>
      </c>
      <c r="F367" s="3207">
        <v>0.14699999999999999</v>
      </c>
      <c r="G367" s="3208">
        <v>0.15</v>
      </c>
    </row>
    <row r="368" spans="1:7">
      <c r="A368" s="3217" t="s">
        <v>3165</v>
      </c>
      <c r="B368" s="3206" t="s">
        <v>3172</v>
      </c>
      <c r="C368" s="3207">
        <v>0.15</v>
      </c>
      <c r="D368" s="3207">
        <v>0.15</v>
      </c>
      <c r="E368" s="3207">
        <v>0.15</v>
      </c>
      <c r="F368" s="3207">
        <v>0.13600000000000001</v>
      </c>
      <c r="G368" s="3208">
        <v>0.15</v>
      </c>
    </row>
    <row r="369" spans="1:7">
      <c r="A369" s="3217" t="s">
        <v>3165</v>
      </c>
      <c r="B369" s="3206" t="s">
        <v>1061</v>
      </c>
      <c r="C369" s="3207">
        <v>0.15</v>
      </c>
      <c r="D369" s="3207">
        <v>0.15</v>
      </c>
      <c r="E369" s="3207">
        <v>0.15</v>
      </c>
      <c r="F369" s="3207">
        <v>0.14399999999999999</v>
      </c>
      <c r="G369" s="3208">
        <v>0.15</v>
      </c>
    </row>
    <row r="370" spans="1:7">
      <c r="A370" s="3217" t="s">
        <v>3165</v>
      </c>
      <c r="B370" s="3206" t="s">
        <v>1069</v>
      </c>
      <c r="C370" s="3207">
        <v>0.15</v>
      </c>
      <c r="D370" s="3207">
        <v>0.15</v>
      </c>
      <c r="E370" s="3207">
        <v>0.15</v>
      </c>
      <c r="F370" s="3207">
        <v>0.14599999999999999</v>
      </c>
      <c r="G370" s="3208">
        <v>0.15</v>
      </c>
    </row>
    <row r="371" spans="1:7">
      <c r="A371" s="3217" t="s">
        <v>3165</v>
      </c>
      <c r="B371" s="3206" t="s">
        <v>1077</v>
      </c>
      <c r="C371" s="3207">
        <v>0.15</v>
      </c>
      <c r="D371" s="3207">
        <v>0.15</v>
      </c>
      <c r="E371" s="3207">
        <v>0.15</v>
      </c>
      <c r="F371" s="3207">
        <v>0.12</v>
      </c>
      <c r="G371" s="3208">
        <v>0.15</v>
      </c>
    </row>
    <row r="372" spans="1:7">
      <c r="A372" s="3217" t="s">
        <v>3165</v>
      </c>
      <c r="B372" s="3206" t="s">
        <v>3173</v>
      </c>
      <c r="C372" s="3207">
        <v>0.15</v>
      </c>
      <c r="D372" s="3207">
        <v>0.15</v>
      </c>
      <c r="E372" s="3207">
        <v>0.15</v>
      </c>
      <c r="F372" s="3207">
        <v>0.14299999999999999</v>
      </c>
      <c r="G372" s="3208">
        <v>0.15</v>
      </c>
    </row>
    <row r="373" spans="1:7">
      <c r="A373" s="3217" t="s">
        <v>3165</v>
      </c>
      <c r="B373" s="3206" t="s">
        <v>1106</v>
      </c>
      <c r="C373" s="3207">
        <v>0.15</v>
      </c>
      <c r="D373" s="3207">
        <v>0.15</v>
      </c>
      <c r="E373" s="3207">
        <v>0.15</v>
      </c>
      <c r="F373" s="3207">
        <v>0.14599999999999999</v>
      </c>
      <c r="G373" s="3208">
        <v>0.15</v>
      </c>
    </row>
    <row r="374" spans="1:7">
      <c r="A374" s="3217" t="s">
        <v>3165</v>
      </c>
      <c r="B374" s="3206" t="s">
        <v>1114</v>
      </c>
      <c r="C374" s="3207">
        <v>0.15</v>
      </c>
      <c r="D374" s="3207">
        <v>0.15</v>
      </c>
      <c r="E374" s="3207">
        <v>0.15</v>
      </c>
      <c r="F374" s="3207">
        <v>0.14399999999999999</v>
      </c>
      <c r="G374" s="3208">
        <v>0.15</v>
      </c>
    </row>
    <row r="375" spans="1:7">
      <c r="A375" s="3217" t="s">
        <v>3165</v>
      </c>
      <c r="B375" s="3206" t="s">
        <v>3174</v>
      </c>
      <c r="C375" s="3207">
        <v>0.15</v>
      </c>
      <c r="D375" s="3207">
        <v>0.15</v>
      </c>
      <c r="E375" s="3207">
        <v>0.15</v>
      </c>
      <c r="F375" s="3207">
        <v>0.13</v>
      </c>
      <c r="G375" s="3208">
        <v>0.15</v>
      </c>
    </row>
    <row r="376" spans="1:7">
      <c r="A376" s="3217" t="s">
        <v>3165</v>
      </c>
      <c r="B376" s="3206" t="s">
        <v>1126</v>
      </c>
      <c r="C376" s="3207">
        <v>0.15</v>
      </c>
      <c r="D376" s="3207">
        <v>0.15</v>
      </c>
      <c r="E376" s="3207">
        <v>0.15</v>
      </c>
      <c r="F376" s="3207">
        <v>0.14199999999999999</v>
      </c>
      <c r="G376" s="3208">
        <v>0.15</v>
      </c>
    </row>
    <row r="377" spans="1:7" ht="14.25" thickBot="1">
      <c r="A377" s="3220" t="s">
        <v>3165</v>
      </c>
      <c r="B377" s="3210" t="s">
        <v>3016</v>
      </c>
      <c r="C377" s="3211">
        <v>0.15</v>
      </c>
      <c r="D377" s="3211">
        <v>0.15</v>
      </c>
      <c r="E377" s="3211">
        <v>0.15</v>
      </c>
      <c r="F377" s="3211">
        <v>0.14000000000000001</v>
      </c>
      <c r="G377" s="3213">
        <v>0.15</v>
      </c>
    </row>
    <row r="378" spans="1:7">
      <c r="A378" s="3216" t="s">
        <v>3175</v>
      </c>
      <c r="B378" s="3202" t="s">
        <v>3176</v>
      </c>
      <c r="C378" s="3203">
        <v>0.15</v>
      </c>
      <c r="D378" s="3203">
        <v>0.15</v>
      </c>
      <c r="E378" s="3203">
        <v>0.15</v>
      </c>
      <c r="F378" s="3203">
        <v>0.107</v>
      </c>
      <c r="G378" s="3204">
        <v>0.15</v>
      </c>
    </row>
    <row r="379" spans="1:7">
      <c r="A379" s="3217" t="s">
        <v>3175</v>
      </c>
      <c r="B379" s="3206" t="s">
        <v>3177</v>
      </c>
      <c r="C379" s="3207">
        <v>0.15</v>
      </c>
      <c r="D379" s="3207">
        <v>0.15</v>
      </c>
      <c r="E379" s="3207">
        <v>0.15</v>
      </c>
      <c r="F379" s="3207">
        <v>0.115</v>
      </c>
      <c r="G379" s="3208">
        <v>0.14899999999999999</v>
      </c>
    </row>
    <row r="380" spans="1:7">
      <c r="A380" s="3217" t="s">
        <v>3178</v>
      </c>
      <c r="B380" s="3206" t="s">
        <v>3179</v>
      </c>
      <c r="C380" s="3207">
        <v>0.15</v>
      </c>
      <c r="D380" s="3207">
        <v>0.15</v>
      </c>
      <c r="E380" s="3207">
        <v>0.15</v>
      </c>
      <c r="F380" s="3207">
        <v>0.1</v>
      </c>
      <c r="G380" s="3208">
        <v>0.14799999999999999</v>
      </c>
    </row>
    <row r="381" spans="1:7">
      <c r="A381" s="3217" t="s">
        <v>3178</v>
      </c>
      <c r="B381" s="3206" t="s">
        <v>3180</v>
      </c>
      <c r="C381" s="3207">
        <v>0.15</v>
      </c>
      <c r="D381" s="3207">
        <v>0.15</v>
      </c>
      <c r="E381" s="3207">
        <v>0.15</v>
      </c>
      <c r="F381" s="3207">
        <v>0.126</v>
      </c>
      <c r="G381" s="3208">
        <v>0.15</v>
      </c>
    </row>
    <row r="382" spans="1:7">
      <c r="A382" s="3217" t="s">
        <v>3178</v>
      </c>
      <c r="B382" s="3206" t="s">
        <v>3181</v>
      </c>
      <c r="C382" s="3207">
        <v>0.15</v>
      </c>
      <c r="D382" s="3207">
        <v>0.15</v>
      </c>
      <c r="E382" s="3207">
        <v>0.15</v>
      </c>
      <c r="F382" s="3207">
        <v>0.15</v>
      </c>
      <c r="G382" s="3208">
        <v>0.15</v>
      </c>
    </row>
    <row r="383" spans="1:7">
      <c r="A383" s="3217" t="s">
        <v>3178</v>
      </c>
      <c r="B383" s="3206" t="s">
        <v>3182</v>
      </c>
      <c r="C383" s="3207">
        <v>0.15</v>
      </c>
      <c r="D383" s="3207">
        <v>0.15</v>
      </c>
      <c r="E383" s="3207">
        <v>0.15</v>
      </c>
      <c r="F383" s="3207">
        <v>0.14699999999999999</v>
      </c>
      <c r="G383" s="3208">
        <v>0.15</v>
      </c>
    </row>
    <row r="384" spans="1:7" ht="14.25" thickBot="1">
      <c r="A384" s="3227" t="s">
        <v>3178</v>
      </c>
      <c r="B384" s="3228" t="s">
        <v>3183</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79" t="s">
        <v>1858</v>
      </c>
      <c r="C1" s="3779"/>
      <c r="D1" s="3779"/>
      <c r="E1" s="3779"/>
      <c r="F1" s="3779"/>
      <c r="G1" s="3778" t="s">
        <v>1859</v>
      </c>
      <c r="H1" s="3778"/>
      <c r="I1" s="3778"/>
      <c r="J1" s="3778"/>
      <c r="K1" s="3778"/>
      <c r="L1" s="3778"/>
      <c r="N1" s="3778" t="s">
        <v>1860</v>
      </c>
      <c r="O1" s="3778"/>
      <c r="P1" s="3778"/>
      <c r="Q1" s="3778"/>
      <c r="S1" s="3778" t="s">
        <v>1861</v>
      </c>
      <c r="T1" s="3778"/>
      <c r="U1" s="3778"/>
      <c r="V1" s="3778"/>
      <c r="X1" s="3777" t="s">
        <v>1921</v>
      </c>
      <c r="Y1" s="3778"/>
      <c r="Z1" s="3778"/>
      <c r="AA1" s="3778"/>
      <c r="AB1" s="3778"/>
      <c r="AD1" s="3777" t="s">
        <v>1925</v>
      </c>
      <c r="AE1" s="3778"/>
      <c r="AF1" s="3778"/>
      <c r="AG1" s="3778"/>
      <c r="AH1" s="3778"/>
    </row>
    <row r="2" spans="1:34" s="2422" customFormat="1" ht="14.25" thickBot="1">
      <c r="B2" s="2423" t="s">
        <v>1862</v>
      </c>
      <c r="C2" s="2423" t="s">
        <v>1923</v>
      </c>
      <c r="D2" s="2424" t="s">
        <v>1179</v>
      </c>
      <c r="E2" s="2424" t="s">
        <v>1469</v>
      </c>
      <c r="F2" s="2423" t="s">
        <v>1924</v>
      </c>
      <c r="G2" s="2425"/>
      <c r="I2" s="2423" t="s">
        <v>2215</v>
      </c>
      <c r="J2" s="2424" t="s">
        <v>2217</v>
      </c>
      <c r="K2" s="2424" t="s">
        <v>2218</v>
      </c>
      <c r="L2" s="2423" t="s">
        <v>2219</v>
      </c>
      <c r="N2" s="2423" t="s">
        <v>1862</v>
      </c>
      <c r="O2" s="2424" t="s">
        <v>2216</v>
      </c>
      <c r="P2" s="2424" t="s">
        <v>1469</v>
      </c>
      <c r="Q2" s="2423" t="s">
        <v>1924</v>
      </c>
      <c r="S2" s="2423" t="s">
        <v>1862</v>
      </c>
      <c r="T2" s="2424" t="s">
        <v>2216</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2226</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2446</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2445</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2444</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2443</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2442</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2291</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2290</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2289</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2288</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2285</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2284</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2251</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2249</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2247</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2246</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2244</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2243</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2242</v>
      </c>
      <c r="B22" s="2453">
        <f t="shared" si="11"/>
        <v>464.37293017158942</v>
      </c>
      <c r="C22" s="2453">
        <f t="shared" si="12"/>
        <v>344.73679941385956</v>
      </c>
      <c r="D22" s="2453">
        <f t="shared" si="2"/>
        <v>344.73679941385956</v>
      </c>
      <c r="E22" s="2453">
        <f t="shared" si="3"/>
        <v>663.2377795103107</v>
      </c>
      <c r="F22" s="2454">
        <f t="shared" si="4"/>
        <v>304.75936311478398</v>
      </c>
      <c r="G22" s="3773">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2235</v>
      </c>
      <c r="B23" s="2443">
        <f t="shared" si="11"/>
        <v>459.95733971036987</v>
      </c>
      <c r="C23" s="2443">
        <f t="shared" si="12"/>
        <v>341.22221064422405</v>
      </c>
      <c r="D23" s="2443">
        <f t="shared" si="2"/>
        <v>341.22221064422405</v>
      </c>
      <c r="E23" s="2443">
        <f t="shared" si="3"/>
        <v>657.19161663724799</v>
      </c>
      <c r="F23" s="2443">
        <f t="shared" si="4"/>
        <v>300.87803644464805</v>
      </c>
      <c r="G23" s="3773"/>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2236</v>
      </c>
      <c r="B24" s="2443">
        <f t="shared" si="11"/>
        <v>453.11529869999993</v>
      </c>
      <c r="C24" s="2443">
        <f t="shared" si="12"/>
        <v>336.47787264000004</v>
      </c>
      <c r="D24" s="2443">
        <f t="shared" si="2"/>
        <v>336.47787264000004</v>
      </c>
      <c r="E24" s="2443">
        <f t="shared" si="3"/>
        <v>647.35186823999993</v>
      </c>
      <c r="F24" s="2443">
        <f t="shared" si="4"/>
        <v>295.73229452000004</v>
      </c>
      <c r="G24" s="3773"/>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2232</v>
      </c>
      <c r="B25" s="2443">
        <f t="shared" si="11"/>
        <v>446.46299999999997</v>
      </c>
      <c r="C25" s="2443">
        <f t="shared" si="12"/>
        <v>333.27840000000003</v>
      </c>
      <c r="D25" s="2443">
        <f t="shared" ref="D25:D30" si="13">C25</f>
        <v>333.27840000000003</v>
      </c>
      <c r="E25" s="2443">
        <f t="shared" si="3"/>
        <v>637.28279999999995</v>
      </c>
      <c r="F25" s="2443">
        <f t="shared" si="4"/>
        <v>288.68830000000003</v>
      </c>
      <c r="G25" s="377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2225</v>
      </c>
      <c r="B26" s="2453">
        <v>439</v>
      </c>
      <c r="C26" s="2453">
        <v>327</v>
      </c>
      <c r="D26" s="2453">
        <f t="shared" si="13"/>
        <v>327</v>
      </c>
      <c r="E26" s="2453">
        <v>627</v>
      </c>
      <c r="F26" s="2454">
        <v>283</v>
      </c>
      <c r="G26" s="3772">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2227</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73"/>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773"/>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77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72">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73"/>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73"/>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76"/>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75">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73"/>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73"/>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76"/>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75">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73"/>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73"/>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76"/>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78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8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78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78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775">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773"/>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773"/>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776"/>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775">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73">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773">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776">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775">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73">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773">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776">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775">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73">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773">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776">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775">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73">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773">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776">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775">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73">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773">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776">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775">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73">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773">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776">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775">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73">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773">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776">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775">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73">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773">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776">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775">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773">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773">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776">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775">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773">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773">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776">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3">
        <f>基准地价!G23</f>
        <v>45615</v>
      </c>
      <c r="B1" s="3090" t="s">
        <v>3268</v>
      </c>
      <c r="C1" s="3091"/>
      <c r="D1" s="3091"/>
      <c r="E1" s="3091"/>
      <c r="F1" s="3091"/>
      <c r="G1" s="3091"/>
      <c r="H1" s="3091"/>
      <c r="I1" s="3091"/>
      <c r="J1" s="3092"/>
      <c r="K1" s="3091" t="s">
        <v>2789</v>
      </c>
      <c r="L1" s="3091"/>
      <c r="M1" s="3091"/>
      <c r="N1" s="3091"/>
      <c r="O1" s="3091"/>
      <c r="P1" s="3091"/>
      <c r="Q1" s="3092"/>
      <c r="R1" s="3783" t="s">
        <v>2797</v>
      </c>
      <c r="S1" s="3784"/>
      <c r="T1" s="3784"/>
      <c r="U1" s="3784"/>
      <c r="V1" s="3784"/>
      <c r="W1" s="3784"/>
      <c r="X1" s="3092"/>
      <c r="Y1" s="3783" t="s">
        <v>2808</v>
      </c>
      <c r="Z1" s="3784"/>
      <c r="AA1" s="3784"/>
      <c r="AB1" s="3784"/>
      <c r="AC1" s="3784"/>
      <c r="AD1" s="3784"/>
    </row>
    <row r="2" spans="1:30" ht="14.25" thickBot="1">
      <c r="A2" s="3085"/>
      <c r="B2" s="3093"/>
      <c r="C2" s="3094"/>
      <c r="D2" s="2423" t="s">
        <v>2791</v>
      </c>
      <c r="E2" s="2424" t="s">
        <v>2792</v>
      </c>
      <c r="F2" s="2424" t="s">
        <v>2793</v>
      </c>
      <c r="G2" s="2424" t="s">
        <v>2794</v>
      </c>
      <c r="H2" s="2424" t="s">
        <v>2795</v>
      </c>
      <c r="I2" s="2424" t="s">
        <v>2737</v>
      </c>
      <c r="J2" s="3095"/>
      <c r="K2" s="2423" t="s">
        <v>2791</v>
      </c>
      <c r="L2" s="2424" t="s">
        <v>2792</v>
      </c>
      <c r="M2" s="2424" t="s">
        <v>2793</v>
      </c>
      <c r="N2" s="2424" t="s">
        <v>2794</v>
      </c>
      <c r="O2" s="2424" t="s">
        <v>2795</v>
      </c>
      <c r="P2" s="2424" t="s">
        <v>2737</v>
      </c>
      <c r="Q2" s="3095"/>
      <c r="R2" s="2423" t="s">
        <v>2798</v>
      </c>
      <c r="S2" s="2424" t="s">
        <v>2799</v>
      </c>
      <c r="T2" s="2424" t="s">
        <v>2800</v>
      </c>
      <c r="U2" s="2424" t="s">
        <v>2801</v>
      </c>
      <c r="V2" s="2424" t="s">
        <v>2802</v>
      </c>
      <c r="W2" s="2424" t="s">
        <v>2803</v>
      </c>
      <c r="X2" s="3095"/>
      <c r="Y2" s="2423" t="s">
        <v>2791</v>
      </c>
      <c r="Z2" s="2424" t="s">
        <v>1470</v>
      </c>
      <c r="AA2" s="2424" t="s">
        <v>2809</v>
      </c>
      <c r="AB2" s="2424" t="s">
        <v>1469</v>
      </c>
      <c r="AC2" s="2424" t="s">
        <v>2795</v>
      </c>
      <c r="AD2" s="2424" t="s">
        <v>2454</v>
      </c>
    </row>
    <row r="3" spans="1:30">
      <c r="A3" s="3086" t="s">
        <v>2780</v>
      </c>
      <c r="B3" s="3096"/>
      <c r="C3" s="3097"/>
      <c r="D3" s="3097">
        <f>ROUND(AVERAGEIF(D4:D21,"&lt;&gt;0"),2)</f>
        <v>0.47</v>
      </c>
      <c r="E3" s="3097">
        <f>ROUND(AVERAGEIF(E4:E21,"&lt;&gt;0"),2)</f>
        <v>0.3</v>
      </c>
      <c r="F3" s="3097">
        <f>ROUND(AVERAGEIF(F4:F21,"&lt;&gt;0"),2)</f>
        <v>0.04</v>
      </c>
      <c r="G3" s="3097">
        <f>ROUND(AVERAGEIF(G4:G21,"&lt;&gt;0"),2)</f>
        <v>0.51</v>
      </c>
      <c r="H3" s="3097">
        <f>ROUND(AVERAGEIF(H4:H21,"&lt;&gt;0"),2)</f>
        <v>0.55000000000000004</v>
      </c>
      <c r="I3" s="3097">
        <f>F3</f>
        <v>0.04</v>
      </c>
      <c r="J3" s="3098"/>
      <c r="K3" s="3099">
        <f>ROUND(AVERAGEIF(K4:K21,"&lt;&gt;0"),4)</f>
        <v>4.7000000000000002E-3</v>
      </c>
      <c r="L3" s="3100">
        <f>ROUND(AVERAGEIF(L4:L21,"&lt;&gt;0"),4)</f>
        <v>3.0000000000000001E-3</v>
      </c>
      <c r="M3" s="3100">
        <f>ROUND(AVERAGEIF(M4:M21,"&lt;&gt;0"),4)</f>
        <v>4.0000000000000002E-4</v>
      </c>
      <c r="N3" s="3100">
        <f>ROUND(AVERAGEIF(N4:N21,"&lt;&gt;0"),4)</f>
        <v>5.1000000000000004E-3</v>
      </c>
      <c r="O3" s="3100">
        <f>ROUND(AVERAGEIF(O4:O21,"&lt;&gt;0"),4)</f>
        <v>5.4999999999999997E-3</v>
      </c>
      <c r="P3" s="3100">
        <f>M3</f>
        <v>4.0000000000000002E-4</v>
      </c>
      <c r="Q3" s="3098"/>
      <c r="R3" s="3113">
        <f>ROUND(SUMPRODUCT(PRODUCT(1+K4:K21)),4)</f>
        <v>1.0723</v>
      </c>
      <c r="S3" s="3114">
        <f>ROUND(SUMPRODUCT(PRODUCT(1+L4:L21)),4)</f>
        <v>1.0465</v>
      </c>
      <c r="T3" s="3114">
        <f>ROUND(SUMPRODUCT(PRODUCT(1+M4:M21)),4)</f>
        <v>1.0054000000000001</v>
      </c>
      <c r="U3" s="3114">
        <f>ROUND(SUMPRODUCT(PRODUCT(1+N4:N21)),4)</f>
        <v>1.0790999999999999</v>
      </c>
      <c r="V3" s="3114">
        <f>ROUND(SUMPRODUCT(PRODUCT(1+O4:O21)),4)</f>
        <v>1.0857000000000001</v>
      </c>
      <c r="W3" s="3113">
        <f>T3</f>
        <v>1.0054000000000001</v>
      </c>
      <c r="X3" s="3098"/>
      <c r="Y3" s="3120">
        <f>ROUND(AVERAGEIF(Y8:Y21,"&lt;&gt;0"),4)</f>
        <v>8.0999999999999996E-3</v>
      </c>
      <c r="Z3" s="3121">
        <f>ROUND(AVERAGEIF(Z8:Z21,"&lt;&gt;0"),4)</f>
        <v>3.7000000000000002E-3</v>
      </c>
      <c r="AA3" s="3122">
        <f>ROUND(AVERAGEIF(AA8:AA21,"&lt;&gt;0"),4)</f>
        <v>1.2999999999999999E-3</v>
      </c>
      <c r="AB3" s="3120">
        <f>ROUND(AVERAGEIF(AB8:AB21,"&lt;&gt;0"),4)</f>
        <v>8.8000000000000005E-3</v>
      </c>
      <c r="AC3" s="3123">
        <f>ROUND(AVERAGEIF(AC8:AC21,"&lt;&gt;0"),4)</f>
        <v>6.1999999999999998E-3</v>
      </c>
      <c r="AD3" s="3120">
        <f>AA3</f>
        <v>1.2999999999999999E-3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3263</v>
      </c>
      <c r="B5" s="3136">
        <v>2025</v>
      </c>
      <c r="C5" s="3137">
        <v>1</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ROUND(IF(项目基本情况!$B$8="出让",SUMPRODUCT(PRODUCT(1+K5:$K$21)),SUMPRODUCT(PRODUCT(1+K5:$K$20))),4)</f>
        <v>1.0620000000000001</v>
      </c>
      <c r="S5" s="3115">
        <f>ROUND(IF(项目基本情况!$B$8="出让",SUMPRODUCT(PRODUCT(1+L5:$L$21)),SUMPRODUCT(PRODUCT(1+L5:$L$20))),4)</f>
        <v>1.0448</v>
      </c>
      <c r="T5" s="3115">
        <f>ROUND(IF(项目基本情况!$B$8="出让",SUMPRODUCT(PRODUCT(1+M5:$M$21)),SUMPRODUCT(PRODUCT(1+M5:$M$20))),4)</f>
        <v>1.0079</v>
      </c>
      <c r="U5" s="3115">
        <f>ROUND(IF(项目基本情况!$B$8="出让",SUMPRODUCT(PRODUCT(1+N5:$N$21)),SUMPRODUCT(PRODUCT(1+N5:$N$20))),4)</f>
        <v>1.0672999999999999</v>
      </c>
      <c r="V5" s="3115">
        <f>ROUND(IF(项目基本情况!$B$8="出让",SUMPRODUCT(PRODUCT(1+O5:$O$21)),SUMPRODUCT(PRODUCT(1+O5:$O$20))),4)</f>
        <v>1.0818000000000001</v>
      </c>
      <c r="W5" s="3115">
        <f>T5</f>
        <v>1.0079</v>
      </c>
      <c r="X5" s="3104"/>
      <c r="Y5" s="3106">
        <f t="shared" ref="Y5" si="6">IF(D5=0,0,ROUND(AVERAGE(D5:D18)/100,4))</f>
        <v>0</v>
      </c>
      <c r="Z5" s="3106">
        <f t="shared" ref="Z5" si="7">IF(E5=0,0,ROUND(AVERAGE(E5:E18)/100,4))</f>
        <v>0</v>
      </c>
      <c r="AA5" s="3106">
        <f t="shared" ref="AA5" si="8">IF(F5=0,0,ROUND(AVERAGE(F5:F18)/100,4))</f>
        <v>0</v>
      </c>
      <c r="AB5" s="3106">
        <f t="shared" ref="AB5" si="9">IF(G5=0,0,ROUND(AVERAGE(G5:G18)/100,4))</f>
        <v>0</v>
      </c>
      <c r="AC5" s="3106">
        <f t="shared" ref="AC5" si="10">IF(H5=0,0,ROUND(AVERAGE(H5:H18)/100,4))</f>
        <v>0</v>
      </c>
      <c r="AD5" s="3106">
        <f t="shared" ref="AD5" si="11">AA5</f>
        <v>0</v>
      </c>
    </row>
    <row r="6" spans="1:30">
      <c r="A6" s="3088" t="s">
        <v>3264</v>
      </c>
      <c r="B6" s="3139">
        <v>2024</v>
      </c>
      <c r="C6" s="3140">
        <v>4</v>
      </c>
      <c r="D6" s="3140">
        <v>0</v>
      </c>
      <c r="E6" s="3140">
        <v>0</v>
      </c>
      <c r="F6" s="3140">
        <v>0</v>
      </c>
      <c r="G6" s="3140">
        <v>0</v>
      </c>
      <c r="H6" s="3141">
        <v>0</v>
      </c>
      <c r="I6" s="3142">
        <f t="shared" ref="I6" si="12">F6</f>
        <v>0</v>
      </c>
      <c r="J6" s="3107"/>
      <c r="K6" s="3108">
        <f t="shared" ref="K6" si="13">D6/100</f>
        <v>0</v>
      </c>
      <c r="L6" s="3109">
        <f t="shared" ref="L6" si="14">E6/100</f>
        <v>0</v>
      </c>
      <c r="M6" s="3109">
        <f t="shared" ref="M6" si="15">F6/100</f>
        <v>0</v>
      </c>
      <c r="N6" s="3109">
        <f t="shared" ref="N6" si="16">G6/100</f>
        <v>0</v>
      </c>
      <c r="O6" s="3109">
        <f t="shared" ref="O6" si="17">H6/100</f>
        <v>0</v>
      </c>
      <c r="P6" s="3109">
        <f>M6</f>
        <v>0</v>
      </c>
      <c r="Q6" s="3107"/>
      <c r="R6" s="3107">
        <f>ROUND(IF(项目基本情况!$B$8="出让",SUMPRODUCT(PRODUCT(1+K6:$K$21)),SUMPRODUCT(PRODUCT(1+K6:$K$20))),4)</f>
        <v>1.0620000000000001</v>
      </c>
      <c r="S6" s="3107">
        <f>ROUND(IF(项目基本情况!$B$8="出让",SUMPRODUCT(PRODUCT(1+L6:$L$21)),SUMPRODUCT(PRODUCT(1+L6:$L$20))),4)</f>
        <v>1.0448</v>
      </c>
      <c r="T6" s="3107">
        <f>ROUND(IF(项目基本情况!$B$8="出让",SUMPRODUCT(PRODUCT(1+M6:$M$21)),SUMPRODUCT(PRODUCT(1+M6:$M$20))),4)</f>
        <v>1.0079</v>
      </c>
      <c r="U6" s="3107">
        <f>ROUND(IF(项目基本情况!$B$8="出让",SUMPRODUCT(PRODUCT(1+N6:$N$21)),SUMPRODUCT(PRODUCT(1+N6:$N$20))),4)</f>
        <v>1.0672999999999999</v>
      </c>
      <c r="V6" s="3107">
        <f>ROUND(IF(项目基本情况!$B$8="出让",SUMPRODUCT(PRODUCT(1+O6:$O$21)),SUMPRODUCT(PRODUCT(1+O6:$O$20))),4)</f>
        <v>1.0818000000000001</v>
      </c>
      <c r="W6" s="3107">
        <f>T6</f>
        <v>1.0079</v>
      </c>
      <c r="X6" s="3107"/>
      <c r="Y6" s="3109">
        <f t="shared" ref="Y6" si="18">IF(D6=0,0,ROUND(AVERAGE(D6:D19)/100,4))</f>
        <v>0</v>
      </c>
      <c r="Z6" s="3109">
        <f t="shared" ref="Z6" si="19">IF(E6=0,0,ROUND(AVERAGE(E6:E19)/100,4))</f>
        <v>0</v>
      </c>
      <c r="AA6" s="3109">
        <f t="shared" ref="AA6" si="20">IF(F6=0,0,ROUND(AVERAGE(F6:F19)/100,4))</f>
        <v>0</v>
      </c>
      <c r="AB6" s="3109">
        <f t="shared" ref="AB6" si="21">IF(G6=0,0,ROUND(AVERAGE(G6:G19)/100,4))</f>
        <v>0</v>
      </c>
      <c r="AC6" s="3109">
        <f t="shared" ref="AC6" si="22">IF(H6=0,0,ROUND(AVERAGE(H6:H19)/100,4))</f>
        <v>0</v>
      </c>
      <c r="AD6" s="3109">
        <f t="shared" ref="AD6" si="23">AA6</f>
        <v>0</v>
      </c>
    </row>
    <row r="7" spans="1:30">
      <c r="A7" s="3389" t="s">
        <v>3256</v>
      </c>
      <c r="B7" s="3136">
        <v>2024</v>
      </c>
      <c r="C7" s="3137">
        <v>3</v>
      </c>
      <c r="D7" s="3137">
        <v>-1.19</v>
      </c>
      <c r="E7" s="3137">
        <v>-0.47</v>
      </c>
      <c r="F7" s="3137">
        <v>-0.28999999999999998</v>
      </c>
      <c r="G7" s="3137">
        <v>-0.74</v>
      </c>
      <c r="H7" s="3137">
        <v>-0.21</v>
      </c>
      <c r="I7" s="3138">
        <f t="shared" ref="I7" si="24">F7</f>
        <v>-0.28999999999999998</v>
      </c>
      <c r="J7" s="3104"/>
      <c r="K7" s="3105">
        <f t="shared" ref="K7" si="25">D7/100</f>
        <v>-1.1899999999999999E-2</v>
      </c>
      <c r="L7" s="3106">
        <f t="shared" ref="L7" si="26">E7/100</f>
        <v>-4.6999999999999993E-3</v>
      </c>
      <c r="M7" s="3106">
        <f t="shared" ref="M7" si="27">F7/100</f>
        <v>-2.8999999999999998E-3</v>
      </c>
      <c r="N7" s="3106">
        <f t="shared" ref="N7" si="28">G7/100</f>
        <v>-7.4000000000000003E-3</v>
      </c>
      <c r="O7" s="3106">
        <f t="shared" ref="O7" si="29">H7/100</f>
        <v>-2.0999999999999999E-3</v>
      </c>
      <c r="P7" s="3106">
        <f>M7</f>
        <v>-2.8999999999999998E-3</v>
      </c>
      <c r="Q7" s="3104"/>
      <c r="R7" s="3115">
        <f>ROUND(IF(项目基本情况!$B$8="出让",SUMPRODUCT(PRODUCT(1+K7:$K$21)),SUMPRODUCT(PRODUCT(1+K7:$K$20))),4)</f>
        <v>1.0620000000000001</v>
      </c>
      <c r="S7" s="3115">
        <f>ROUND(IF(项目基本情况!$B$8="出让",SUMPRODUCT(PRODUCT(1+L7:$L$21)),SUMPRODUCT(PRODUCT(1+L7:$L$20))),4)</f>
        <v>1.0448</v>
      </c>
      <c r="T7" s="3115">
        <f>ROUND(IF(项目基本情况!$B$8="出让",SUMPRODUCT(PRODUCT(1+M7:$M$21)),SUMPRODUCT(PRODUCT(1+M7:$M$20))),4)</f>
        <v>1.0079</v>
      </c>
      <c r="U7" s="3115">
        <f>ROUND(IF(项目基本情况!$B$8="出让",SUMPRODUCT(PRODUCT(1+N7:$N$21)),SUMPRODUCT(PRODUCT(1+N7:$N$20))),4)</f>
        <v>1.0672999999999999</v>
      </c>
      <c r="V7" s="3115">
        <f>ROUND(IF(项目基本情况!$B$8="出让",SUMPRODUCT(PRODUCT(1+O7:$O$21)),SUMPRODUCT(PRODUCT(1+O7:$O$20))),4)</f>
        <v>1.0818000000000001</v>
      </c>
      <c r="W7" s="3115">
        <f>T7</f>
        <v>1.0079</v>
      </c>
      <c r="X7" s="3104"/>
      <c r="Y7" s="3106">
        <f t="shared" ref="Y7:AC8" si="30">IF(D7=0,0,ROUND(AVERAGE(D7:D20)/100,4))</f>
        <v>4.3E-3</v>
      </c>
      <c r="Z7" s="3106">
        <f t="shared" si="30"/>
        <v>3.0999999999999999E-3</v>
      </c>
      <c r="AA7" s="3106">
        <f t="shared" si="30"/>
        <v>5.9999999999999995E-4</v>
      </c>
      <c r="AB7" s="3106">
        <f t="shared" si="30"/>
        <v>4.7000000000000002E-3</v>
      </c>
      <c r="AC7" s="3106">
        <f t="shared" si="30"/>
        <v>5.5999999999999999E-3</v>
      </c>
      <c r="AD7" s="3106">
        <f t="shared" ref="AD7" si="31">AA7</f>
        <v>5.9999999999999995E-4</v>
      </c>
    </row>
    <row r="8" spans="1:30">
      <c r="A8" s="3087" t="s">
        <v>3265</v>
      </c>
      <c r="B8" s="3136">
        <v>2024</v>
      </c>
      <c r="C8" s="3137">
        <v>2</v>
      </c>
      <c r="D8" s="3137">
        <v>-0.59</v>
      </c>
      <c r="E8" s="3137">
        <v>-0.21</v>
      </c>
      <c r="F8" s="3137">
        <v>-1.38</v>
      </c>
      <c r="G8" s="3137">
        <v>-1.24</v>
      </c>
      <c r="H8" s="3143">
        <v>0.34</v>
      </c>
      <c r="I8" s="3138">
        <f t="shared" ref="I8:I21" si="32">F8</f>
        <v>-1.38</v>
      </c>
      <c r="J8" s="3104"/>
      <c r="K8" s="3105">
        <f t="shared" ref="K8:O21" si="33">D8/100</f>
        <v>-5.8999999999999999E-3</v>
      </c>
      <c r="L8" s="3106">
        <f t="shared" si="33"/>
        <v>-2.0999999999999999E-3</v>
      </c>
      <c r="M8" s="3106">
        <f t="shared" si="33"/>
        <v>-1.38E-2</v>
      </c>
      <c r="N8" s="3106">
        <f t="shared" si="33"/>
        <v>-1.24E-2</v>
      </c>
      <c r="O8" s="3106">
        <f t="shared" si="33"/>
        <v>3.4000000000000002E-3</v>
      </c>
      <c r="P8" s="3106">
        <f>M8</f>
        <v>-1.38E-2</v>
      </c>
      <c r="Q8" s="3104"/>
      <c r="R8" s="3115">
        <f>ROUND(IF(项目基本情况!$B$8="出让",SUMPRODUCT(PRODUCT(1+K8:$K$21)),SUMPRODUCT(PRODUCT(1+K8:$K$20))),4)</f>
        <v>1.0748</v>
      </c>
      <c r="S8" s="3115">
        <f>ROUND(IF(项目基本情况!$B$8="出让",SUMPRODUCT(PRODUCT(1+L8:$L$21)),SUMPRODUCT(PRODUCT(1+L8:$L$20))),4)</f>
        <v>1.0498000000000001</v>
      </c>
      <c r="T8" s="3115">
        <f>ROUND(IF(项目基本情况!$B$8="出让",SUMPRODUCT(PRODUCT(1+M8:$M$21)),SUMPRODUCT(PRODUCT(1+M8:$M$20))),4)</f>
        <v>1.0107999999999999</v>
      </c>
      <c r="U8" s="3115">
        <f>ROUND(IF(项目基本情况!$B$8="出让",SUMPRODUCT(PRODUCT(1+N8:$N$21)),SUMPRODUCT(PRODUCT(1+N8:$N$20))),4)</f>
        <v>1.0752999999999999</v>
      </c>
      <c r="V8" s="3115">
        <f>ROUND(IF(项目基本情况!$B$8="出让",SUMPRODUCT(PRODUCT(1+O8:$O$21)),SUMPRODUCT(PRODUCT(1+O8:$O$20))),4)</f>
        <v>1.0841000000000001</v>
      </c>
      <c r="W8" s="3115">
        <f>T8</f>
        <v>1.0107999999999999</v>
      </c>
      <c r="X8" s="3104"/>
      <c r="Y8" s="3106">
        <f t="shared" si="30"/>
        <v>5.8999999999999999E-3</v>
      </c>
      <c r="Z8" s="3106">
        <f t="shared" si="30"/>
        <v>3.5999999999999999E-3</v>
      </c>
      <c r="AA8" s="3106">
        <f t="shared" si="30"/>
        <v>5.9999999999999995E-4</v>
      </c>
      <c r="AB8" s="3106">
        <f t="shared" si="30"/>
        <v>6.0000000000000001E-3</v>
      </c>
      <c r="AC8" s="3106">
        <f t="shared" si="30"/>
        <v>6.0000000000000001E-3</v>
      </c>
      <c r="AD8" s="3106">
        <f t="shared" ref="AD8:AD20" si="34">AA8</f>
        <v>5.9999999999999995E-4</v>
      </c>
    </row>
    <row r="9" spans="1:30">
      <c r="A9" s="3087" t="s">
        <v>3259</v>
      </c>
      <c r="B9" s="3136">
        <v>2024</v>
      </c>
      <c r="C9" s="3137">
        <v>1</v>
      </c>
      <c r="D9" s="3137">
        <v>0.08</v>
      </c>
      <c r="E9" s="3137">
        <v>0.46</v>
      </c>
      <c r="F9" s="3137">
        <v>-0.16</v>
      </c>
      <c r="G9" s="3137">
        <v>0.26</v>
      </c>
      <c r="H9" s="3143">
        <v>0.59</v>
      </c>
      <c r="I9" s="3138">
        <f t="shared" si="32"/>
        <v>-0.16</v>
      </c>
      <c r="J9" s="3104"/>
      <c r="K9" s="3105">
        <f t="shared" ref="K9" si="35">D9/100</f>
        <v>8.0000000000000004E-4</v>
      </c>
      <c r="L9" s="3106">
        <f t="shared" ref="L9" si="36">E9/100</f>
        <v>4.5999999999999999E-3</v>
      </c>
      <c r="M9" s="3106">
        <f t="shared" ref="M9" si="37">F9/100</f>
        <v>-1.6000000000000001E-3</v>
      </c>
      <c r="N9" s="3106">
        <f t="shared" ref="N9" si="38">G9/100</f>
        <v>2.5999999999999999E-3</v>
      </c>
      <c r="O9" s="3106">
        <f t="shared" ref="O9" si="39">H9/100</f>
        <v>5.8999999999999999E-3</v>
      </c>
      <c r="P9" s="3106">
        <f t="shared" ref="P9" si="40">M9</f>
        <v>-1.6000000000000001E-3</v>
      </c>
      <c r="Q9" s="3104"/>
      <c r="R9" s="3115">
        <f>ROUND(IF(项目基本情况!$B$8="出让",SUMPRODUCT(PRODUCT(1+K9:$K$21)),SUMPRODUCT(PRODUCT(1+K9:$K$20))),4)</f>
        <v>1.0811999999999999</v>
      </c>
      <c r="S9" s="3115">
        <f>ROUND(IF(项目基本情况!$B$8="出让",SUMPRODUCT(PRODUCT(1+L9:$L$21)),SUMPRODUCT(PRODUCT(1+L9:$L$20))),4)</f>
        <v>1.052</v>
      </c>
      <c r="T9" s="3115">
        <f>ROUND(IF(项目基本情况!$B$8="出让",SUMPRODUCT(PRODUCT(1+M9:$M$21)),SUMPRODUCT(PRODUCT(1+M9:$M$20))),4)</f>
        <v>1.0249999999999999</v>
      </c>
      <c r="U9" s="3115">
        <f>ROUND(IF(项目基本情况!$B$8="出让",SUMPRODUCT(PRODUCT(1+N9:$N$21)),SUMPRODUCT(PRODUCT(1+N9:$N$20))),4)</f>
        <v>1.0888</v>
      </c>
      <c r="V9" s="3115">
        <f>ROUND(IF(项目基本情况!$B$8="出让",SUMPRODUCT(PRODUCT(1+O9:$O$21)),SUMPRODUCT(PRODUCT(1+O9:$O$20))),4)</f>
        <v>1.0804</v>
      </c>
      <c r="W9" s="3115">
        <f t="shared" ref="W9" si="41">T9</f>
        <v>1.0249999999999999</v>
      </c>
      <c r="X9" s="3104"/>
      <c r="Y9" s="3106">
        <f t="shared" ref="Y9" si="42">IF(D9=0,0,ROUND(AVERAGE(D9:D20)/100,4))</f>
        <v>6.4999999999999997E-3</v>
      </c>
      <c r="Z9" s="3106">
        <f t="shared" ref="Z9" si="43">IF(E9=0,0,ROUND(AVERAGE(E9:E20)/100,4))</f>
        <v>4.1999999999999997E-3</v>
      </c>
      <c r="AA9" s="3106">
        <f t="shared" ref="AA9" si="44">IF(F9=0,0,ROUND(AVERAGE(F9:F20)/100,4))</f>
        <v>2.0999999999999999E-3</v>
      </c>
      <c r="AB9" s="3106">
        <f t="shared" ref="AB9" si="45">IF(G9=0,0,ROUND(AVERAGE(G9:G20)/100,4))</f>
        <v>7.1000000000000004E-3</v>
      </c>
      <c r="AC9" s="3106">
        <f t="shared" ref="AC9" si="46">IF(H9=0,0,ROUND(AVERAGE(H9:H20)/100,4))</f>
        <v>6.4999999999999997E-3</v>
      </c>
      <c r="AD9" s="3106">
        <f t="shared" ref="AD9" si="47">AA9</f>
        <v>2.0999999999999999E-3</v>
      </c>
    </row>
    <row r="10" spans="1:30">
      <c r="A10" s="3087" t="s">
        <v>3254</v>
      </c>
      <c r="B10" s="3136">
        <v>2023</v>
      </c>
      <c r="C10" s="3137">
        <v>4</v>
      </c>
      <c r="D10" s="3137">
        <v>0.19</v>
      </c>
      <c r="E10" s="3137">
        <v>0.24</v>
      </c>
      <c r="F10" s="3137">
        <v>-0.16</v>
      </c>
      <c r="G10" s="3137">
        <v>0.17</v>
      </c>
      <c r="H10" s="3143">
        <v>0.61</v>
      </c>
      <c r="I10" s="3138">
        <f t="shared" ref="I10" si="48">F10</f>
        <v>-0.16</v>
      </c>
      <c r="J10" s="3104"/>
      <c r="K10" s="3105">
        <f t="shared" si="33"/>
        <v>1.9E-3</v>
      </c>
      <c r="L10" s="3106">
        <f t="shared" si="33"/>
        <v>2.3999999999999998E-3</v>
      </c>
      <c r="M10" s="3106">
        <f t="shared" si="33"/>
        <v>-1.6000000000000001E-3</v>
      </c>
      <c r="N10" s="3106">
        <f t="shared" si="33"/>
        <v>1.7000000000000001E-3</v>
      </c>
      <c r="O10" s="3106">
        <f t="shared" si="33"/>
        <v>6.0999999999999995E-3</v>
      </c>
      <c r="P10" s="3106">
        <f t="shared" ref="P10" si="49">M10</f>
        <v>-1.6000000000000001E-3</v>
      </c>
      <c r="Q10" s="3104"/>
      <c r="R10" s="3115">
        <f>ROUND(IF(项目基本情况!$B$8="出让",SUMPRODUCT(PRODUCT(1+K10:$K$21)),SUMPRODUCT(PRODUCT(1+K10:$K$20))),4)</f>
        <v>1.0804</v>
      </c>
      <c r="S10" s="3115">
        <f>ROUND(IF(项目基本情况!$B$8="出让",SUMPRODUCT(PRODUCT(1+L10:$L$21)),SUMPRODUCT(PRODUCT(1+L10:$L$20))),4)</f>
        <v>1.0471999999999999</v>
      </c>
      <c r="T10" s="3115">
        <f>ROUND(IF(项目基本情况!$B$8="出让",SUMPRODUCT(PRODUCT(1+M10:$M$21)),SUMPRODUCT(PRODUCT(1+M10:$M$20))),4)</f>
        <v>1.0266</v>
      </c>
      <c r="U10" s="3115">
        <f>ROUND(IF(项目基本情况!$B$8="出让",SUMPRODUCT(PRODUCT(1+N10:$N$21)),SUMPRODUCT(PRODUCT(1+N10:$N$20))),4)</f>
        <v>1.0859000000000001</v>
      </c>
      <c r="V10" s="3115">
        <f>ROUND(IF(项目基本情况!$B$8="出让",SUMPRODUCT(PRODUCT(1+O10:$O$21)),SUMPRODUCT(PRODUCT(1+O10:$O$20))),4)</f>
        <v>1.0741000000000001</v>
      </c>
      <c r="W10" s="3115">
        <f t="shared" ref="W10" si="50">T10</f>
        <v>1.0266</v>
      </c>
      <c r="X10" s="3104"/>
      <c r="Y10" s="3106">
        <f t="shared" ref="Y10" si="51">IF(D10=0,0,ROUND(AVERAGE(D10:D21)/100,4))</f>
        <v>7.3000000000000001E-3</v>
      </c>
      <c r="Z10" s="3106">
        <f t="shared" ref="Z10" si="52">IF(E10=0,0,ROUND(AVERAGE(E10:E21)/100,4))</f>
        <v>4.0000000000000001E-3</v>
      </c>
      <c r="AA10" s="3106">
        <f t="shared" ref="AA10" si="53">IF(F10=0,0,ROUND(AVERAGE(F10:F21)/100,4))</f>
        <v>2E-3</v>
      </c>
      <c r="AB10" s="3106">
        <f t="shared" ref="AB10" si="54">IF(G10=0,0,ROUND(AVERAGE(G10:G21)/100,4))</f>
        <v>7.7999999999999996E-3</v>
      </c>
      <c r="AC10" s="3106">
        <f t="shared" ref="AC10" si="55">IF(H10=0,0,ROUND(AVERAGE(H10:H21)/100,4))</f>
        <v>6.3E-3</v>
      </c>
      <c r="AD10" s="3106">
        <f t="shared" si="34"/>
        <v>2E-3</v>
      </c>
    </row>
    <row r="11" spans="1:30">
      <c r="A11" s="3087" t="s">
        <v>3253</v>
      </c>
      <c r="B11" s="3136">
        <v>2023</v>
      </c>
      <c r="C11" s="3137">
        <v>3</v>
      </c>
      <c r="D11" s="3137">
        <v>0.25</v>
      </c>
      <c r="E11" s="3137">
        <v>0.5</v>
      </c>
      <c r="F11" s="3137">
        <v>0.31</v>
      </c>
      <c r="G11" s="3137">
        <v>0.21</v>
      </c>
      <c r="H11" s="3143">
        <v>0.43</v>
      </c>
      <c r="I11" s="3138">
        <f t="shared" si="32"/>
        <v>0.31</v>
      </c>
      <c r="J11" s="3104"/>
      <c r="K11" s="3105">
        <f t="shared" ref="K11:K13" si="56">D11/100</f>
        <v>2.5000000000000001E-3</v>
      </c>
      <c r="L11" s="3106">
        <f t="shared" ref="L11:L13" si="57">E11/100</f>
        <v>5.0000000000000001E-3</v>
      </c>
      <c r="M11" s="3106">
        <f t="shared" ref="M11:M13" si="58">F11/100</f>
        <v>3.0999999999999999E-3</v>
      </c>
      <c r="N11" s="3106">
        <f t="shared" ref="N11:N13" si="59">G11/100</f>
        <v>2.0999999999999999E-3</v>
      </c>
      <c r="O11" s="3106">
        <f t="shared" ref="O11:O13" si="60">H11/100</f>
        <v>4.3E-3</v>
      </c>
      <c r="P11" s="3106">
        <f t="shared" ref="P11:P13" si="61">M11</f>
        <v>3.0999999999999999E-3</v>
      </c>
      <c r="Q11" s="3104"/>
      <c r="R11" s="3115">
        <f>ROUND(IF(项目基本情况!$B$8="出让",SUMPRODUCT(PRODUCT(1+K11:$K$21)),SUMPRODUCT(PRODUCT(1+K11:$K$20))),4)</f>
        <v>1.0783</v>
      </c>
      <c r="S11" s="3115">
        <f>ROUND(IF(项目基本情况!$B$8="出让",SUMPRODUCT(PRODUCT(1+L11:$L$21)),SUMPRODUCT(PRODUCT(1+L11:$L$20))),4)</f>
        <v>1.0447</v>
      </c>
      <c r="T11" s="3115">
        <f>ROUND(IF(项目基本情况!$B$8="出让",SUMPRODUCT(PRODUCT(1+M11:$M$21)),SUMPRODUCT(PRODUCT(1+M11:$M$20))),4)</f>
        <v>1.0282</v>
      </c>
      <c r="U11" s="3115">
        <f>ROUND(IF(项目基本情况!$B$8="出让",SUMPRODUCT(PRODUCT(1+N11:$N$21)),SUMPRODUCT(PRODUCT(1+N11:$N$20))),4)</f>
        <v>1.0841000000000001</v>
      </c>
      <c r="V11" s="3115">
        <f>ROUND(IF(项目基本情况!$B$8="出让",SUMPRODUCT(PRODUCT(1+O11:$O$21)),SUMPRODUCT(PRODUCT(1+O11:$O$20))),4)</f>
        <v>1.0674999999999999</v>
      </c>
      <c r="W11" s="3115">
        <f t="shared" ref="W11:W13" si="62">T11</f>
        <v>1.0282</v>
      </c>
      <c r="X11" s="3104"/>
      <c r="Y11" s="3106">
        <f t="shared" ref="Y11:AC11" si="63">IF(D11=0,0,ROUND(AVERAGE(D11:D22)/100,4))</f>
        <v>7.7999999999999996E-3</v>
      </c>
      <c r="Z11" s="3106">
        <f t="shared" si="63"/>
        <v>4.1000000000000003E-3</v>
      </c>
      <c r="AA11" s="3106">
        <f t="shared" si="63"/>
        <v>2.3E-3</v>
      </c>
      <c r="AB11" s="3106">
        <f t="shared" si="63"/>
        <v>8.3999999999999995E-3</v>
      </c>
      <c r="AC11" s="3106">
        <f t="shared" si="63"/>
        <v>6.3E-3</v>
      </c>
      <c r="AD11" s="3106">
        <f t="shared" ref="AD11:AD13" si="64">AA11</f>
        <v>2.3E-3</v>
      </c>
    </row>
    <row r="12" spans="1:30">
      <c r="A12" s="3087" t="s">
        <v>3251</v>
      </c>
      <c r="B12" s="3136">
        <v>2023</v>
      </c>
      <c r="C12" s="3137">
        <v>2</v>
      </c>
      <c r="D12" s="3137">
        <v>0.91</v>
      </c>
      <c r="E12" s="3137">
        <v>0.66</v>
      </c>
      <c r="F12" s="3137">
        <v>0.47</v>
      </c>
      <c r="G12" s="3137">
        <v>0.96</v>
      </c>
      <c r="H12" s="3143">
        <v>0.71</v>
      </c>
      <c r="I12" s="3138">
        <f t="shared" si="32"/>
        <v>0.47</v>
      </c>
      <c r="J12" s="3104"/>
      <c r="K12" s="3105">
        <f t="shared" si="56"/>
        <v>9.1000000000000004E-3</v>
      </c>
      <c r="L12" s="3106">
        <f t="shared" si="57"/>
        <v>6.6E-3</v>
      </c>
      <c r="M12" s="3106">
        <f t="shared" si="58"/>
        <v>4.6999999999999993E-3</v>
      </c>
      <c r="N12" s="3106">
        <f t="shared" si="59"/>
        <v>9.5999999999999992E-3</v>
      </c>
      <c r="O12" s="3106">
        <f t="shared" si="60"/>
        <v>7.0999999999999995E-3</v>
      </c>
      <c r="P12" s="3106">
        <f t="shared" si="61"/>
        <v>4.6999999999999993E-3</v>
      </c>
      <c r="Q12" s="3104"/>
      <c r="R12" s="3115">
        <f>ROUND(IF(项目基本情况!$B$8="出让",SUMPRODUCT(PRODUCT(1+K12:$K$21)),SUMPRODUCT(PRODUCT(1+K12:$K$20))),4)</f>
        <v>1.0755999999999999</v>
      </c>
      <c r="S12" s="3115">
        <f>ROUND(IF(项目基本情况!$B$8="出让",SUMPRODUCT(PRODUCT(1+L12:$L$21)),SUMPRODUCT(PRODUCT(1+L12:$L$20))),4)</f>
        <v>1.0395000000000001</v>
      </c>
      <c r="T12" s="3115">
        <f>ROUND(IF(项目基本情况!$B$8="出让",SUMPRODUCT(PRODUCT(1+M12:$M$21)),SUMPRODUCT(PRODUCT(1+M12:$M$20))),4)</f>
        <v>1.0250999999999999</v>
      </c>
      <c r="U12" s="3115">
        <f>ROUND(IF(项目基本情况!$B$8="出让",SUMPRODUCT(PRODUCT(1+N12:$N$21)),SUMPRODUCT(PRODUCT(1+N12:$N$20))),4)</f>
        <v>1.0818000000000001</v>
      </c>
      <c r="V12" s="3115">
        <f>ROUND(IF(项目基本情况!$B$8="出让",SUMPRODUCT(PRODUCT(1+O12:$O$21)),SUMPRODUCT(PRODUCT(1+O12:$O$20))),4)</f>
        <v>1.0629999999999999</v>
      </c>
      <c r="W12" s="3115">
        <f t="shared" si="62"/>
        <v>1.0250999999999999</v>
      </c>
      <c r="X12" s="3104"/>
      <c r="Y12" s="3106">
        <f t="shared" ref="Y12:AC12" si="65">IF(D12=0,0,ROUND(AVERAGE(D12:D23)/100,4))</f>
        <v>8.3000000000000001E-3</v>
      </c>
      <c r="Z12" s="3106">
        <f t="shared" si="65"/>
        <v>4.0000000000000001E-3</v>
      </c>
      <c r="AA12" s="3106">
        <f t="shared" si="65"/>
        <v>2.2000000000000001E-3</v>
      </c>
      <c r="AB12" s="3106">
        <f t="shared" si="65"/>
        <v>8.9999999999999993E-3</v>
      </c>
      <c r="AC12" s="3106">
        <f t="shared" si="65"/>
        <v>6.4999999999999997E-3</v>
      </c>
      <c r="AD12" s="3106">
        <f t="shared" si="64"/>
        <v>2.2000000000000001E-3</v>
      </c>
    </row>
    <row r="13" spans="1:30">
      <c r="A13" s="3087" t="s">
        <v>3249</v>
      </c>
      <c r="B13" s="3136">
        <v>2023</v>
      </c>
      <c r="C13" s="3137">
        <v>1</v>
      </c>
      <c r="D13" s="3137">
        <v>0.89</v>
      </c>
      <c r="E13" s="3137">
        <v>0.74</v>
      </c>
      <c r="F13" s="3137">
        <v>0.56999999999999995</v>
      </c>
      <c r="G13" s="3137">
        <v>0.92</v>
      </c>
      <c r="H13" s="3143">
        <v>0.5</v>
      </c>
      <c r="I13" s="3138">
        <f t="shared" si="32"/>
        <v>0.56999999999999995</v>
      </c>
      <c r="J13" s="3104"/>
      <c r="K13" s="3105">
        <f t="shared" si="56"/>
        <v>8.8999999999999999E-3</v>
      </c>
      <c r="L13" s="3106">
        <f t="shared" si="57"/>
        <v>7.4000000000000003E-3</v>
      </c>
      <c r="M13" s="3106">
        <f t="shared" si="58"/>
        <v>5.6999999999999993E-3</v>
      </c>
      <c r="N13" s="3106">
        <f t="shared" si="59"/>
        <v>9.1999999999999998E-3</v>
      </c>
      <c r="O13" s="3106">
        <f t="shared" si="60"/>
        <v>5.0000000000000001E-3</v>
      </c>
      <c r="P13" s="3106">
        <f t="shared" si="61"/>
        <v>5.6999999999999993E-3</v>
      </c>
      <c r="Q13" s="3104"/>
      <c r="R13" s="3115">
        <f>ROUND(IF(项目基本情况!$B$8="出让",SUMPRODUCT(PRODUCT(1+K13:$K$21)),SUMPRODUCT(PRODUCT(1+K13:$K$20))),4)</f>
        <v>1.0659000000000001</v>
      </c>
      <c r="S13" s="3115">
        <f>ROUND(IF(项目基本情况!$B$8="出让",SUMPRODUCT(PRODUCT(1+L13:$L$21)),SUMPRODUCT(PRODUCT(1+L13:$L$20))),4)</f>
        <v>1.0326</v>
      </c>
      <c r="T13" s="3115">
        <f>ROUND(IF(项目基本情况!$B$8="出让",SUMPRODUCT(PRODUCT(1+M13:$M$21)),SUMPRODUCT(PRODUCT(1+M13:$M$20))),4)</f>
        <v>1.0203</v>
      </c>
      <c r="U13" s="3115">
        <f>ROUND(IF(项目基本情况!$B$8="出让",SUMPRODUCT(PRODUCT(1+N13:$N$21)),SUMPRODUCT(PRODUCT(1+N13:$N$20))),4)</f>
        <v>1.0714999999999999</v>
      </c>
      <c r="V13" s="3115">
        <f>ROUND(IF(项目基本情况!$B$8="出让",SUMPRODUCT(PRODUCT(1+O13:$O$21)),SUMPRODUCT(PRODUCT(1+O13:$O$20))),4)</f>
        <v>1.0555000000000001</v>
      </c>
      <c r="W13" s="3115">
        <f t="shared" si="62"/>
        <v>1.0203</v>
      </c>
      <c r="X13" s="3104"/>
      <c r="Y13" s="3106">
        <f t="shared" ref="Y13:AC13" si="66">IF(D13=0,0,ROUND(AVERAGE(D13:D24)/100,4))</f>
        <v>8.2000000000000007E-3</v>
      </c>
      <c r="Z13" s="3106">
        <f t="shared" si="66"/>
        <v>3.8E-3</v>
      </c>
      <c r="AA13" s="3106">
        <f t="shared" si="66"/>
        <v>2E-3</v>
      </c>
      <c r="AB13" s="3106">
        <f t="shared" si="66"/>
        <v>8.8999999999999999E-3</v>
      </c>
      <c r="AC13" s="3106">
        <f t="shared" si="66"/>
        <v>6.4000000000000003E-3</v>
      </c>
      <c r="AD13" s="3106">
        <f t="shared" si="64"/>
        <v>2E-3</v>
      </c>
    </row>
    <row r="14" spans="1:30">
      <c r="A14" s="3087" t="s">
        <v>3247</v>
      </c>
      <c r="B14" s="3136">
        <v>2022</v>
      </c>
      <c r="C14" s="3137">
        <v>4</v>
      </c>
      <c r="D14" s="3137">
        <v>0.62</v>
      </c>
      <c r="E14" s="3137">
        <v>0.2</v>
      </c>
      <c r="F14" s="3137">
        <v>0.11</v>
      </c>
      <c r="G14" s="3137">
        <v>0.69</v>
      </c>
      <c r="H14" s="3143">
        <v>0.53</v>
      </c>
      <c r="I14" s="3138">
        <f t="shared" si="32"/>
        <v>0.11</v>
      </c>
      <c r="J14" s="3104"/>
      <c r="K14" s="3105">
        <f t="shared" si="33"/>
        <v>6.1999999999999998E-3</v>
      </c>
      <c r="L14" s="3106">
        <f t="shared" si="33"/>
        <v>2E-3</v>
      </c>
      <c r="M14" s="3106">
        <f t="shared" si="33"/>
        <v>1.1000000000000001E-3</v>
      </c>
      <c r="N14" s="3106">
        <f t="shared" si="33"/>
        <v>6.8999999999999999E-3</v>
      </c>
      <c r="O14" s="3106">
        <f t="shared" si="33"/>
        <v>5.3E-3</v>
      </c>
      <c r="P14" s="3106">
        <f t="shared" ref="P14:P21" si="67">M14</f>
        <v>1.1000000000000001E-3</v>
      </c>
      <c r="Q14" s="3104"/>
      <c r="R14" s="3115">
        <f>ROUND(IF(项目基本情况!B8="出让",SUMPRODUCT(PRODUCT(1+K14:K21)),SUMPRODUCT(PRODUCT(1+K14:K20))),4)</f>
        <v>1.0565</v>
      </c>
      <c r="S14" s="3115">
        <f>ROUND(IF(项目基本情况!B8="出让",SUMPRODUCT(PRODUCT(1+L14:L21)),SUMPRODUCT(PRODUCT(1+L14:L20))),4)</f>
        <v>1.0250999999999999</v>
      </c>
      <c r="T14" s="3115">
        <f>ROUND(IF(项目基本情况!B8="出让",SUMPRODUCT(PRODUCT(1+M14:M21)),SUMPRODUCT(PRODUCT(1+M14:M20))),4)</f>
        <v>1.0145</v>
      </c>
      <c r="U14" s="3115">
        <f>ROUND(IF(项目基本情况!B8="出让",SUMPRODUCT(PRODUCT(1+N14:N21)),SUMPRODUCT(PRODUCT(1+N14:N20))),4)</f>
        <v>1.0618000000000001</v>
      </c>
      <c r="V14" s="3115">
        <f>ROUND(IF(项目基本情况!B8="出让",SUMPRODUCT(PRODUCT(1+O14:O21)),SUMPRODUCT(PRODUCT(1+O14:O20))),4)</f>
        <v>1.0502</v>
      </c>
      <c r="W14" s="3115">
        <f t="shared" ref="W14:W21" si="68">T14</f>
        <v>1.0145</v>
      </c>
      <c r="X14" s="3104"/>
      <c r="Y14" s="3106">
        <f>IF(D14=0,0,ROUND(AVERAGE(D14:D22)/100,4))</f>
        <v>8.0999999999999996E-3</v>
      </c>
      <c r="Z14" s="3106">
        <f>IF(E14=0,0,ROUND(AVERAGE(E14:E21)/100,4))</f>
        <v>3.3E-3</v>
      </c>
      <c r="AA14" s="3106">
        <f>IF(F14=0,0,ROUND(AVERAGE(F14:F21)/100,4))</f>
        <v>1.5E-3</v>
      </c>
      <c r="AB14" s="3106">
        <f>IF(G14=0,0,ROUND(AVERAGE(G14:G21)/100,4))</f>
        <v>8.8999999999999999E-3</v>
      </c>
      <c r="AC14" s="3106">
        <f>IF(H14=0,0,ROUND(AVERAGE(H14:H21)/100,4))</f>
        <v>6.6E-3</v>
      </c>
      <c r="AD14" s="3106">
        <f t="shared" si="34"/>
        <v>1.5E-3</v>
      </c>
    </row>
    <row r="15" spans="1:30">
      <c r="A15" s="3087" t="s">
        <v>3244</v>
      </c>
      <c r="B15" s="3136">
        <v>2022</v>
      </c>
      <c r="C15" s="3137">
        <v>3</v>
      </c>
      <c r="D15" s="3137">
        <v>0.66</v>
      </c>
      <c r="E15" s="3137">
        <v>0.32</v>
      </c>
      <c r="F15" s="3137">
        <v>0.23</v>
      </c>
      <c r="G15" s="3137">
        <v>0.72</v>
      </c>
      <c r="H15" s="3143">
        <v>0.63</v>
      </c>
      <c r="I15" s="3138">
        <f t="shared" si="32"/>
        <v>0.23</v>
      </c>
      <c r="J15" s="3104"/>
      <c r="K15" s="3105">
        <f t="shared" si="33"/>
        <v>6.6E-3</v>
      </c>
      <c r="L15" s="3106">
        <f t="shared" si="33"/>
        <v>3.2000000000000002E-3</v>
      </c>
      <c r="M15" s="3106">
        <f t="shared" si="33"/>
        <v>2.3E-3</v>
      </c>
      <c r="N15" s="3106">
        <f t="shared" si="33"/>
        <v>7.1999999999999998E-3</v>
      </c>
      <c r="O15" s="3106">
        <f t="shared" si="33"/>
        <v>6.3E-3</v>
      </c>
      <c r="P15" s="3106">
        <f t="shared" si="67"/>
        <v>2.3E-3</v>
      </c>
      <c r="Q15" s="3104"/>
      <c r="R15" s="3115">
        <f>ROUND(IF(项目基本情况!B8="出让",SUMPRODUCT(PRODUCT(1+K15:K21)),SUMPRODUCT(PRODUCT(1+K15:K20))),4)</f>
        <v>1.05</v>
      </c>
      <c r="S15" s="3115">
        <f>ROUND(IF(项目基本情况!B8="出让",SUMPRODUCT(PRODUCT(1+L15:L21)),SUMPRODUCT(PRODUCT(1+L15:L20))),4)</f>
        <v>1.0229999999999999</v>
      </c>
      <c r="T15" s="3115">
        <f>ROUND(IF(项目基本情况!B8="出让",SUMPRODUCT(PRODUCT(1+M15:M21)),SUMPRODUCT(PRODUCT(1+M15:M20))),4)</f>
        <v>1.0134000000000001</v>
      </c>
      <c r="U15" s="3115">
        <f>ROUND(IF(项目基本情况!B8="出让",SUMPRODUCT(PRODUCT(1+N15:N21)),SUMPRODUCT(PRODUCT(1+N15:N20))),4)</f>
        <v>1.0545</v>
      </c>
      <c r="V15" s="3115">
        <f>ROUND(IF(项目基本情况!B8="出让",SUMPRODUCT(PRODUCT(1+O15:O21)),SUMPRODUCT(PRODUCT(1+O15:O20))),4)</f>
        <v>1.0447</v>
      </c>
      <c r="W15" s="3115">
        <f t="shared" si="68"/>
        <v>1.0134000000000001</v>
      </c>
      <c r="X15" s="3104"/>
      <c r="Y15" s="3106">
        <f>IF(D15=0,0,ROUND(AVERAGE(D15:D21)/100,4))</f>
        <v>8.3999999999999995E-3</v>
      </c>
      <c r="Z15" s="3106">
        <f>IF(E15=0,0,ROUND(AVERAGE(E15:E21)/100,4))</f>
        <v>3.5000000000000001E-3</v>
      </c>
      <c r="AA15" s="3106">
        <f>IF(F15=0,0,ROUND(AVERAGE(F15:F21)/100,4))</f>
        <v>1.5E-3</v>
      </c>
      <c r="AB15" s="3106">
        <f>IF(G15=0,0,ROUND(AVERAGE(G15:G21)/100,4))</f>
        <v>9.1999999999999998E-3</v>
      </c>
      <c r="AC15" s="3106">
        <f>IF(H15=0,0,ROUND(AVERAGE(H15:H21)/100,4))</f>
        <v>6.7999999999999996E-3</v>
      </c>
      <c r="AD15" s="3106">
        <f t="shared" si="34"/>
        <v>1.5E-3</v>
      </c>
    </row>
    <row r="16" spans="1:30">
      <c r="A16" s="3087" t="s">
        <v>3245</v>
      </c>
      <c r="B16" s="3136">
        <v>2022</v>
      </c>
      <c r="C16" s="3137">
        <v>2</v>
      </c>
      <c r="D16" s="3137">
        <v>0.93</v>
      </c>
      <c r="E16" s="3137">
        <v>0.15</v>
      </c>
      <c r="F16" s="3137">
        <v>0.01</v>
      </c>
      <c r="G16" s="3137">
        <v>1.05</v>
      </c>
      <c r="H16" s="3143">
        <v>1.08</v>
      </c>
      <c r="I16" s="3138">
        <f t="shared" si="32"/>
        <v>0.01</v>
      </c>
      <c r="J16" s="3104"/>
      <c r="K16" s="3105">
        <f t="shared" si="33"/>
        <v>9.300000000000001E-3</v>
      </c>
      <c r="L16" s="3106">
        <f t="shared" si="33"/>
        <v>1.5E-3</v>
      </c>
      <c r="M16" s="3106">
        <f t="shared" si="33"/>
        <v>1E-4</v>
      </c>
      <c r="N16" s="3106">
        <f t="shared" si="33"/>
        <v>1.0500000000000001E-2</v>
      </c>
      <c r="O16" s="3106">
        <f t="shared" si="33"/>
        <v>1.0800000000000001E-2</v>
      </c>
      <c r="P16" s="3106">
        <f t="shared" si="67"/>
        <v>1E-4</v>
      </c>
      <c r="Q16" s="3104"/>
      <c r="R16" s="3115">
        <f>ROUND(IF(项目基本情况!B8="出让",SUMPRODUCT(PRODUCT(1+K16:K21)),SUMPRODUCT(PRODUCT(1+K16:K20))),4)</f>
        <v>1.0430999999999999</v>
      </c>
      <c r="S16" s="3115">
        <f>ROUND(IF(项目基本情况!B8="出让",SUMPRODUCT(PRODUCT(1+L16:L21)),SUMPRODUCT(PRODUCT(1+L16:L20))),4)</f>
        <v>1.0197000000000001</v>
      </c>
      <c r="T16" s="3115">
        <f>ROUND(IF(项目基本情况!B8="出让",SUMPRODUCT(PRODUCT(1+M16:M21)),SUMPRODUCT(PRODUCT(1+M16:M20))),4)</f>
        <v>1.0109999999999999</v>
      </c>
      <c r="U16" s="3115">
        <f>ROUND(IF(项目基本情况!B8="出让",SUMPRODUCT(PRODUCT(1+N16:N21)),SUMPRODUCT(PRODUCT(1+N16:N20))),4)</f>
        <v>1.0468999999999999</v>
      </c>
      <c r="V16" s="3115">
        <f>ROUND(IF(项目基本情况!B8="出让",SUMPRODUCT(PRODUCT(1+O16:O21)),SUMPRODUCT(PRODUCT(1+O16:O20))),4)</f>
        <v>1.0382</v>
      </c>
      <c r="W16" s="3115">
        <f t="shared" si="68"/>
        <v>1.0109999999999999</v>
      </c>
      <c r="X16" s="3104"/>
      <c r="Y16" s="3106">
        <f>IF(D16=0,0,ROUND(AVERAGE(D16:D21)/100,4))</f>
        <v>8.6999999999999994E-3</v>
      </c>
      <c r="Z16" s="3106">
        <f>IF(E16=0,0,ROUND(AVERAGE(E16:E21)/100,4))</f>
        <v>3.5000000000000001E-3</v>
      </c>
      <c r="AA16" s="3106">
        <f>IF(F16=0,0,ROUND(AVERAGE(F16:F21)/100,4))</f>
        <v>1.4E-3</v>
      </c>
      <c r="AB16" s="3106">
        <f>IF(G16=0,0,ROUND(AVERAGE(G16:G21)/100,4))</f>
        <v>9.4999999999999998E-3</v>
      </c>
      <c r="AC16" s="3106">
        <f>IF(H16=0,0,ROUND(AVERAGE(H16:H21)/100,4))</f>
        <v>6.8999999999999999E-3</v>
      </c>
      <c r="AD16" s="3106">
        <f t="shared" si="34"/>
        <v>1.4E-3</v>
      </c>
    </row>
    <row r="17" spans="1:30">
      <c r="A17" s="3087" t="s">
        <v>2781</v>
      </c>
      <c r="B17" s="3136">
        <v>2022</v>
      </c>
      <c r="C17" s="3137">
        <v>1</v>
      </c>
      <c r="D17" s="3137">
        <v>0.89</v>
      </c>
      <c r="E17" s="3137">
        <v>0.44</v>
      </c>
      <c r="F17" s="3137">
        <v>0.37</v>
      </c>
      <c r="G17" s="3137">
        <v>0.96</v>
      </c>
      <c r="H17" s="3143">
        <v>0.64</v>
      </c>
      <c r="I17" s="3138">
        <f t="shared" si="32"/>
        <v>0.37</v>
      </c>
      <c r="J17" s="3104"/>
      <c r="K17" s="3105">
        <f t="shared" si="33"/>
        <v>8.8999999999999999E-3</v>
      </c>
      <c r="L17" s="3106">
        <f t="shared" si="33"/>
        <v>4.4000000000000003E-3</v>
      </c>
      <c r="M17" s="3106">
        <f t="shared" si="33"/>
        <v>3.7000000000000002E-3</v>
      </c>
      <c r="N17" s="3106">
        <f t="shared" si="33"/>
        <v>9.5999999999999992E-3</v>
      </c>
      <c r="O17" s="3106">
        <f t="shared" si="33"/>
        <v>6.4000000000000003E-3</v>
      </c>
      <c r="P17" s="3106">
        <f t="shared" si="67"/>
        <v>3.7000000000000002E-3</v>
      </c>
      <c r="Q17" s="3104"/>
      <c r="R17" s="3115">
        <f>ROUND(IF(项目基本情况!B8="出让",SUMPRODUCT(PRODUCT(1+K17:K21)),SUMPRODUCT(PRODUCT(1+K17:K20))),4)</f>
        <v>1.0335000000000001</v>
      </c>
      <c r="S17" s="3115">
        <f>ROUND(IF(项目基本情况!B8="出让",SUMPRODUCT(PRODUCT(1+L17:L21)),SUMPRODUCT(PRODUCT(1+L17:L20))),4)</f>
        <v>1.0182</v>
      </c>
      <c r="T17" s="3115">
        <f>ROUND(IF(项目基本情况!B8="出让",SUMPRODUCT(PRODUCT(1+M17:M21)),SUMPRODUCT(PRODUCT(1+M17:M20))),4)</f>
        <v>1.0108999999999999</v>
      </c>
      <c r="U17" s="3115">
        <f>ROUND(IF(项目基本情况!B8="出让",SUMPRODUCT(PRODUCT(1+N17:N21)),SUMPRODUCT(PRODUCT(1+N17:N20))),4)</f>
        <v>1.0361</v>
      </c>
      <c r="V17" s="3115">
        <f>ROUND(IF(项目基本情况!B8="出让",SUMPRODUCT(PRODUCT(1+O17:O21)),SUMPRODUCT(PRODUCT(1+O17:O20))),4)</f>
        <v>1.0270999999999999</v>
      </c>
      <c r="W17" s="3115">
        <f t="shared" si="68"/>
        <v>1.0108999999999999</v>
      </c>
      <c r="X17" s="3104"/>
      <c r="Y17" s="3106">
        <f>IF(D17=0,0,ROUND(AVERAGE(D17:D21)/100,4))</f>
        <v>8.6E-3</v>
      </c>
      <c r="Z17" s="3106">
        <f>IF(E17=0,0,ROUND(AVERAGE(E17:E21)/100,4))</f>
        <v>3.8999999999999998E-3</v>
      </c>
      <c r="AA17" s="3106">
        <f>IF(F17=0,0,ROUND(AVERAGE(F17:F21)/100,4))</f>
        <v>1.6999999999999999E-3</v>
      </c>
      <c r="AB17" s="3106">
        <f>IF(G17=0,0,ROUND(AVERAGE(G17:G21)/100,4))</f>
        <v>9.2999999999999992E-3</v>
      </c>
      <c r="AC17" s="3106">
        <f>IF(H17=0,0,ROUND(AVERAGE(H17:H21)/100,4))</f>
        <v>6.1000000000000004E-3</v>
      </c>
      <c r="AD17" s="3106">
        <f t="shared" si="34"/>
        <v>1.6999999999999999E-3</v>
      </c>
    </row>
    <row r="18" spans="1:30">
      <c r="A18" s="3087" t="s">
        <v>2782</v>
      </c>
      <c r="B18" s="3136">
        <v>2021</v>
      </c>
      <c r="C18" s="3137">
        <v>4</v>
      </c>
      <c r="D18" s="3137">
        <v>1.03</v>
      </c>
      <c r="E18" s="3137">
        <v>0.24</v>
      </c>
      <c r="F18" s="3137">
        <v>7.0000000000000007E-2</v>
      </c>
      <c r="G18" s="3137">
        <v>1.17</v>
      </c>
      <c r="H18" s="3143">
        <v>0.55000000000000004</v>
      </c>
      <c r="I18" s="3138">
        <f t="shared" si="32"/>
        <v>7.0000000000000007E-2</v>
      </c>
      <c r="J18" s="3104"/>
      <c r="K18" s="3105">
        <f t="shared" si="33"/>
        <v>1.03E-2</v>
      </c>
      <c r="L18" s="3106">
        <f t="shared" si="33"/>
        <v>2.3999999999999998E-3</v>
      </c>
      <c r="M18" s="3106">
        <f t="shared" si="33"/>
        <v>7.000000000000001E-4</v>
      </c>
      <c r="N18" s="3106">
        <f t="shared" si="33"/>
        <v>1.1699999999999999E-2</v>
      </c>
      <c r="O18" s="3106">
        <f t="shared" si="33"/>
        <v>5.5000000000000005E-3</v>
      </c>
      <c r="P18" s="3106">
        <f t="shared" si="67"/>
        <v>7.000000000000001E-4</v>
      </c>
      <c r="Q18" s="3104"/>
      <c r="R18" s="3115">
        <f>ROUND(IF(项目基本情况!B8="出让",SUMPRODUCT(PRODUCT(1+K18:K21)),SUMPRODUCT(PRODUCT(1+K18:K20))),4)</f>
        <v>1.0244</v>
      </c>
      <c r="S18" s="3115">
        <f>ROUND(IF(项目基本情况!B8="出让",SUMPRODUCT(PRODUCT(1+L18:L21)),SUMPRODUCT(PRODUCT(1+L18:L20))),4)</f>
        <v>1.0138</v>
      </c>
      <c r="T18" s="3115">
        <f>ROUND(IF(项目基本情况!B8="出让",SUMPRODUCT(PRODUCT(1+M18:M21)),SUMPRODUCT(PRODUCT(1+M18:M20))),4)</f>
        <v>1.0072000000000001</v>
      </c>
      <c r="U18" s="3115">
        <f>ROUND(IF(项目基本情况!B8="出让",SUMPRODUCT(PRODUCT(1+N18:N21)),SUMPRODUCT(PRODUCT(1+N18:N20))),4)</f>
        <v>1.0262</v>
      </c>
      <c r="V18" s="3115">
        <f>ROUND(IF(项目基本情况!B8="出让",SUMPRODUCT(PRODUCT(1+O18:O21)),SUMPRODUCT(PRODUCT(1+O18:O20))),4)</f>
        <v>1.0205</v>
      </c>
      <c r="W18" s="3115">
        <f t="shared" si="68"/>
        <v>1.0072000000000001</v>
      </c>
      <c r="X18" s="3104"/>
      <c r="Y18" s="3106">
        <f>IF(D18=0,0,ROUND(AVERAGE(D18:D21)/100,4))</f>
        <v>8.5000000000000006E-3</v>
      </c>
      <c r="Z18" s="3106">
        <f>IF(E18=0,0,ROUND(AVERAGE(E18:E21)/100,4))</f>
        <v>3.8E-3</v>
      </c>
      <c r="AA18" s="3106">
        <f>IF(F18=0,0,ROUND(AVERAGE(F18:F21)/100,4))</f>
        <v>1.1999999999999999E-3</v>
      </c>
      <c r="AB18" s="3106">
        <f>IF(G18=0,0,ROUND(AVERAGE(G18:G21)/100,4))</f>
        <v>9.2999999999999992E-3</v>
      </c>
      <c r="AC18" s="3106">
        <f>IF(H18=0,0,ROUND(AVERAGE(H18:H21)/100,4))</f>
        <v>6.0000000000000001E-3</v>
      </c>
      <c r="AD18" s="3106">
        <f t="shared" si="34"/>
        <v>1.1999999999999999E-3</v>
      </c>
    </row>
    <row r="19" spans="1:30">
      <c r="A19" s="3087" t="s">
        <v>2783</v>
      </c>
      <c r="B19" s="3136">
        <v>2021</v>
      </c>
      <c r="C19" s="3137">
        <v>3</v>
      </c>
      <c r="D19" s="3137">
        <v>0.47</v>
      </c>
      <c r="E19" s="3137">
        <v>0.41</v>
      </c>
      <c r="F19" s="3137">
        <v>0.24</v>
      </c>
      <c r="G19" s="3137">
        <v>0.48</v>
      </c>
      <c r="H19" s="3143">
        <v>0.48</v>
      </c>
      <c r="I19" s="3138">
        <f t="shared" si="32"/>
        <v>0.24</v>
      </c>
      <c r="J19" s="3104"/>
      <c r="K19" s="3105">
        <f t="shared" si="33"/>
        <v>4.6999999999999993E-3</v>
      </c>
      <c r="L19" s="3106">
        <f t="shared" si="33"/>
        <v>4.0999999999999995E-3</v>
      </c>
      <c r="M19" s="3106">
        <f t="shared" si="33"/>
        <v>2.3999999999999998E-3</v>
      </c>
      <c r="N19" s="3106">
        <f t="shared" si="33"/>
        <v>4.7999999999999996E-3</v>
      </c>
      <c r="O19" s="3106">
        <f t="shared" si="33"/>
        <v>4.7999999999999996E-3</v>
      </c>
      <c r="P19" s="3106">
        <f t="shared" si="67"/>
        <v>2.3999999999999998E-3</v>
      </c>
      <c r="Q19" s="3104"/>
      <c r="R19" s="3115">
        <f>ROUND(IF(项目基本情况!B8="出让",SUMPRODUCT(PRODUCT(1+K19:K21)),SUMPRODUCT(PRODUCT(1+K19:K20))),4)</f>
        <v>1.0139</v>
      </c>
      <c r="S19" s="3115">
        <f>ROUND(IF(项目基本情况!B8="出让",SUMPRODUCT(PRODUCT(1+L19:L21)),SUMPRODUCT(PRODUCT(1+L19:L20))),4)</f>
        <v>1.0113000000000001</v>
      </c>
      <c r="T19" s="3115">
        <f>ROUND(IF(项目基本情况!B8="出让",SUMPRODUCT(PRODUCT(1+M19:M21)),SUMPRODUCT(PRODUCT(1+M19:M20))),4)</f>
        <v>1.0065</v>
      </c>
      <c r="U19" s="3115">
        <f>ROUND(IF(项目基本情况!B8="出让",SUMPRODUCT(PRODUCT(1+N19:N21)),SUMPRODUCT(PRODUCT(1+N19:N20))),4)</f>
        <v>1.0143</v>
      </c>
      <c r="V19" s="3115">
        <f>ROUND(IF(项目基本情况!B8="出让",SUMPRODUCT(PRODUCT(1+O19:O21)),SUMPRODUCT(PRODUCT(1+O19:O20))),4)</f>
        <v>1.0148999999999999</v>
      </c>
      <c r="W19" s="3115">
        <f t="shared" si="68"/>
        <v>1.0065</v>
      </c>
      <c r="X19" s="3104"/>
      <c r="Y19" s="3106">
        <f>IF(D19=0,0,ROUND(AVERAGE(D19:D21)/100,4))</f>
        <v>7.9000000000000008E-3</v>
      </c>
      <c r="Z19" s="3106">
        <f>IF(E19=0,0,ROUND(AVERAGE(E19:E21)/100,4))</f>
        <v>4.3E-3</v>
      </c>
      <c r="AA19" s="3106">
        <f>IF(F19=0,0,ROUND(AVERAGE(F19:F21)/100,4))</f>
        <v>1.2999999999999999E-3</v>
      </c>
      <c r="AB19" s="3106">
        <f>IF(G19=0,0,ROUND(AVERAGE(G19:G21)/100,4))</f>
        <v>8.5000000000000006E-3</v>
      </c>
      <c r="AC19" s="3106">
        <f>IF(H19=0,0,ROUND(AVERAGE(H19:H21)/100,4))</f>
        <v>6.1999999999999998E-3</v>
      </c>
      <c r="AD19" s="3106">
        <f t="shared" si="34"/>
        <v>1.2999999999999999E-3</v>
      </c>
    </row>
    <row r="20" spans="1:30">
      <c r="A20" s="3087" t="s">
        <v>2784</v>
      </c>
      <c r="B20" s="3136">
        <v>2021</v>
      </c>
      <c r="C20" s="3137">
        <v>2</v>
      </c>
      <c r="D20" s="3137">
        <v>0.92</v>
      </c>
      <c r="E20" s="3137">
        <v>0.72</v>
      </c>
      <c r="F20" s="3137">
        <v>0.41</v>
      </c>
      <c r="G20" s="3137">
        <v>0.95</v>
      </c>
      <c r="H20" s="3143">
        <v>1.01</v>
      </c>
      <c r="I20" s="3138">
        <f t="shared" si="32"/>
        <v>0.41</v>
      </c>
      <c r="J20" s="3104"/>
      <c r="K20" s="3105">
        <f t="shared" si="33"/>
        <v>9.1999999999999998E-3</v>
      </c>
      <c r="L20" s="3106">
        <f t="shared" si="33"/>
        <v>7.1999999999999998E-3</v>
      </c>
      <c r="M20" s="3106">
        <f t="shared" si="33"/>
        <v>4.0999999999999995E-3</v>
      </c>
      <c r="N20" s="3106">
        <f t="shared" si="33"/>
        <v>9.4999999999999998E-3</v>
      </c>
      <c r="O20" s="3106">
        <f t="shared" si="33"/>
        <v>1.01E-2</v>
      </c>
      <c r="P20" s="3106">
        <f t="shared" si="67"/>
        <v>4.0999999999999995E-3</v>
      </c>
      <c r="Q20" s="3104"/>
      <c r="R20" s="3115">
        <f>ROUND(IF(项目基本情况!B8="出让",SUMPRODUCT(PRODUCT(1+K20:K21)),SUMPRODUCT(PRODUCT(1+K20:K20))),4)</f>
        <v>1.0092000000000001</v>
      </c>
      <c r="S20" s="3115">
        <f>ROUND(IF(项目基本情况!B8="出让",SUMPRODUCT(PRODUCT(1+L20:L21)),SUMPRODUCT(PRODUCT(1+L20:L20))),4)</f>
        <v>1.0072000000000001</v>
      </c>
      <c r="T20" s="3115">
        <f>ROUND(IF(项目基本情况!B8="出让",SUMPRODUCT(PRODUCT(1+M20:M21)),SUMPRODUCT(PRODUCT(1+M20:M20))),4)</f>
        <v>1.0041</v>
      </c>
      <c r="U20" s="3115">
        <f>ROUND(IF(项目基本情况!B8="出让",SUMPRODUCT(PRODUCT(1+N20:N21)),SUMPRODUCT(PRODUCT(1+N20:N20))),4)</f>
        <v>1.0095000000000001</v>
      </c>
      <c r="V20" s="3115">
        <f>ROUND(IF(项目基本情况!B8="出让",SUMPRODUCT(PRODUCT(1+O20:O21)),SUMPRODUCT(PRODUCT(1+O20:O20))),4)</f>
        <v>1.0101</v>
      </c>
      <c r="W20" s="3115">
        <f t="shared" si="68"/>
        <v>1.0041</v>
      </c>
      <c r="X20" s="3104"/>
      <c r="Y20" s="3106">
        <f>IF(D20=0,0,ROUND(AVERAGE(D20:D21)/100,4))</f>
        <v>9.4999999999999998E-3</v>
      </c>
      <c r="Z20" s="3106">
        <f>IF(E20=0,0,ROUND(AVERAGE(E20:E21)/100,4))</f>
        <v>4.4000000000000003E-3</v>
      </c>
      <c r="AA20" s="3106">
        <f>IF(F20=0,0,ROUND(AVERAGE(F20:F21)/100,4))</f>
        <v>8.0000000000000004E-4</v>
      </c>
      <c r="AB20" s="3106">
        <f>IF(G20=0,0,ROUND(AVERAGE(G20:G21)/100,4))</f>
        <v>1.03E-2</v>
      </c>
      <c r="AC20" s="3106">
        <f>IF(H20=0,0,ROUND(AVERAGE(H20:H21)/100,4))</f>
        <v>6.8999999999999999E-3</v>
      </c>
      <c r="AD20" s="3106">
        <f t="shared" si="34"/>
        <v>8.0000000000000004E-4</v>
      </c>
    </row>
    <row r="21" spans="1:30" ht="14.25" thickBot="1">
      <c r="A21" s="3089" t="s">
        <v>2785</v>
      </c>
      <c r="B21" s="3144">
        <v>2021</v>
      </c>
      <c r="C21" s="3145">
        <v>1</v>
      </c>
      <c r="D21" s="3145">
        <v>0.97</v>
      </c>
      <c r="E21" s="3145">
        <v>0.16</v>
      </c>
      <c r="F21" s="3145">
        <v>-0.25</v>
      </c>
      <c r="G21" s="3145">
        <v>1.1100000000000001</v>
      </c>
      <c r="H21" s="3146">
        <v>0.36</v>
      </c>
      <c r="I21" s="3147">
        <f t="shared" si="32"/>
        <v>-0.25</v>
      </c>
      <c r="J21" s="3110"/>
      <c r="K21" s="3111">
        <f t="shared" si="33"/>
        <v>9.7000000000000003E-3</v>
      </c>
      <c r="L21" s="3112">
        <f t="shared" si="33"/>
        <v>1.6000000000000001E-3</v>
      </c>
      <c r="M21" s="3112">
        <f>F21/100</f>
        <v>-2.5000000000000001E-3</v>
      </c>
      <c r="N21" s="3112">
        <f t="shared" si="33"/>
        <v>1.11E-2</v>
      </c>
      <c r="O21" s="3112">
        <f t="shared" si="33"/>
        <v>3.5999999999999999E-3</v>
      </c>
      <c r="P21" s="3112">
        <f t="shared" si="67"/>
        <v>-2.5000000000000001E-3</v>
      </c>
      <c r="Q21" s="3110"/>
      <c r="R21" s="3119">
        <v>1</v>
      </c>
      <c r="S21" s="3119">
        <v>1</v>
      </c>
      <c r="T21" s="3119">
        <v>1</v>
      </c>
      <c r="U21" s="3119">
        <v>1</v>
      </c>
      <c r="V21" s="3119">
        <v>1</v>
      </c>
      <c r="W21" s="3119">
        <f t="shared" si="68"/>
        <v>1</v>
      </c>
      <c r="X21" s="3110"/>
      <c r="Y21" s="3112">
        <f>IF(D21=0,0,ROUND(AVERAGE(D21:D21)/100,4))</f>
        <v>9.7000000000000003E-3</v>
      </c>
      <c r="Z21" s="3112">
        <f>IF(E21=0,0,ROUND(AVERAGE(E21:E21)/100,4))</f>
        <v>1.6000000000000001E-3</v>
      </c>
      <c r="AA21" s="3112">
        <f>IF(F21=0,0,ROUND(AVERAGE(F21:F21)/100,4))</f>
        <v>-2.5000000000000001E-3</v>
      </c>
      <c r="AB21" s="3112">
        <f>IF(G21=0,0,ROUND(AVERAGE(G21:G21)/100,4))</f>
        <v>1.11E-2</v>
      </c>
      <c r="AC21" s="3112">
        <f>IF(H21=0,0,ROUND(AVERAGE(H21:H21)/100,4))</f>
        <v>3.5999999999999999E-3</v>
      </c>
      <c r="AD21" s="3112">
        <f>AA21</f>
        <v>-2.5000000000000001E-3</v>
      </c>
    </row>
    <row r="22" spans="1:30" ht="14.25" thickTop="1"/>
    <row r="23" spans="1:30">
      <c r="A23" s="3388" t="s">
        <v>3270</v>
      </c>
    </row>
    <row r="24" spans="1:30">
      <c r="I24" s="2748" t="s">
        <v>2796</v>
      </c>
    </row>
    <row r="26" spans="1:30">
      <c r="A26" s="2439"/>
      <c r="B26" s="3090" t="s">
        <v>3269</v>
      </c>
      <c r="C26" s="3091"/>
      <c r="D26" s="3091"/>
      <c r="E26" s="3091"/>
      <c r="F26" s="3091"/>
      <c r="G26" s="3091"/>
      <c r="H26" s="3091"/>
      <c r="I26" s="3091"/>
      <c r="J26" s="3092"/>
      <c r="K26" s="3091" t="s">
        <v>2789</v>
      </c>
      <c r="L26" s="3091"/>
      <c r="M26" s="3091"/>
      <c r="N26" s="3091"/>
      <c r="O26" s="3091"/>
      <c r="P26" s="3091"/>
      <c r="Q26" s="3092"/>
      <c r="R26" s="3783" t="s">
        <v>2804</v>
      </c>
      <c r="S26" s="3784"/>
      <c r="T26" s="3784"/>
      <c r="U26" s="3784"/>
      <c r="V26" s="3784"/>
      <c r="W26" s="3784"/>
      <c r="X26" s="3092"/>
      <c r="Y26" s="3783" t="s">
        <v>1925</v>
      </c>
      <c r="Z26" s="3784"/>
      <c r="AA26" s="3784"/>
      <c r="AB26" s="3784"/>
      <c r="AC26" s="3784"/>
      <c r="AD26" s="3784"/>
    </row>
    <row r="27" spans="1:30" ht="14.25" thickBot="1">
      <c r="A27" s="3085"/>
      <c r="B27" s="3093"/>
      <c r="C27" s="3094"/>
      <c r="D27" s="2423" t="s">
        <v>2791</v>
      </c>
      <c r="E27" s="2424" t="s">
        <v>2792</v>
      </c>
      <c r="F27" s="2424" t="s">
        <v>2793</v>
      </c>
      <c r="G27" s="2424" t="s">
        <v>1469</v>
      </c>
      <c r="H27" s="2424"/>
      <c r="I27" s="2424" t="s">
        <v>2737</v>
      </c>
      <c r="J27" s="3095"/>
      <c r="K27" s="2423" t="s">
        <v>2791</v>
      </c>
      <c r="L27" s="2424" t="s">
        <v>2792</v>
      </c>
      <c r="M27" s="2424" t="s">
        <v>2793</v>
      </c>
      <c r="N27" s="2424" t="s">
        <v>2794</v>
      </c>
      <c r="O27" s="2424"/>
      <c r="P27" s="2424" t="s">
        <v>2737</v>
      </c>
      <c r="Q27" s="3095"/>
      <c r="R27" s="2423" t="s">
        <v>2805</v>
      </c>
      <c r="S27" s="2424" t="s">
        <v>2806</v>
      </c>
      <c r="T27" s="2424" t="s">
        <v>2793</v>
      </c>
      <c r="U27" s="2424" t="s">
        <v>1469</v>
      </c>
      <c r="V27" s="2424"/>
      <c r="W27" s="2424" t="s">
        <v>2807</v>
      </c>
      <c r="X27" s="3095"/>
      <c r="Y27" s="2423" t="s">
        <v>2790</v>
      </c>
      <c r="Z27" s="2424" t="s">
        <v>2792</v>
      </c>
      <c r="AA27" s="2424" t="s">
        <v>2793</v>
      </c>
      <c r="AB27" s="2424" t="s">
        <v>1469</v>
      </c>
      <c r="AC27" s="2424"/>
      <c r="AD27" s="2424" t="s">
        <v>2810</v>
      </c>
    </row>
    <row r="28" spans="1:30">
      <c r="A28" s="3086" t="s">
        <v>2786</v>
      </c>
      <c r="B28" s="3096"/>
      <c r="C28" s="3097"/>
      <c r="D28" s="3097"/>
      <c r="E28" s="3097">
        <f>ROUND(AVERAGEIF(E29:E46,"&lt;&gt;0"),2)</f>
        <v>0.26</v>
      </c>
      <c r="F28" s="3097">
        <f>ROUND(AVERAGEIF(F29:F46,"&lt;&gt;0"),2)</f>
        <v>0.19</v>
      </c>
      <c r="G28" s="3097">
        <f>ROUND(AVERAGEIF(G29:G46,"&lt;&gt;0"),2)</f>
        <v>0.38</v>
      </c>
      <c r="H28" s="3097"/>
      <c r="I28" s="3097">
        <f>F28</f>
        <v>0.19</v>
      </c>
      <c r="J28" s="3098"/>
      <c r="K28" s="3099"/>
      <c r="L28" s="3100">
        <f>ROUND(AVERAGEIF(L29:L46,"&lt;&gt;0"),4)</f>
        <v>2.5999999999999999E-3</v>
      </c>
      <c r="M28" s="3100">
        <f>ROUND(AVERAGEIF(M29:M46,"&lt;&gt;0"),4)</f>
        <v>1.9E-3</v>
      </c>
      <c r="N28" s="3100">
        <f>ROUND(AVERAGEIF(N29:N46,"&lt;&gt;0"),4)</f>
        <v>3.8E-3</v>
      </c>
      <c r="O28" s="3100"/>
      <c r="P28" s="3100">
        <f>M28</f>
        <v>1.9E-3</v>
      </c>
      <c r="Q28" s="3098"/>
      <c r="R28" s="3113"/>
      <c r="S28" s="3114">
        <f>ROUND(SUMPRODUCT(PRODUCT(1+L29:L46)),4)</f>
        <v>1.04</v>
      </c>
      <c r="T28" s="3114">
        <f>ROUND(SUMPRODUCT(PRODUCT(1+M29:M46)),4)</f>
        <v>1.0293000000000001</v>
      </c>
      <c r="U28" s="3114">
        <f>ROUND(SUMPRODUCT(PRODUCT(1+N29:N46)),4)</f>
        <v>1.0583</v>
      </c>
      <c r="V28" s="3114"/>
      <c r="W28" s="3113">
        <f>T28</f>
        <v>1.0293000000000001</v>
      </c>
      <c r="X28" s="3098"/>
      <c r="Y28" s="3120"/>
      <c r="Z28" s="3121">
        <f>ROUND(AVERAGEIF(Z29:Z46,"&lt;&gt;0"),4)</f>
        <v>4.1000000000000003E-3</v>
      </c>
      <c r="AA28" s="3122">
        <f>ROUND(AVERAGEIF(AA29:AA46,"&lt;&gt;0"),4)</f>
        <v>3.2000000000000002E-3</v>
      </c>
      <c r="AB28" s="3120">
        <f>ROUND(AVERAGEIF(AB29:AB46,"&lt;&gt;0"),4)</f>
        <v>7.6E-3</v>
      </c>
      <c r="AC28" s="3123"/>
      <c r="AD28" s="3120">
        <f>AA28</f>
        <v>3.2000000000000002E-3</v>
      </c>
    </row>
    <row r="29" spans="1:30">
      <c r="A29" s="2439"/>
      <c r="B29" s="3101"/>
      <c r="C29" s="2439"/>
      <c r="D29" s="2439"/>
      <c r="E29" s="2439"/>
      <c r="F29" s="2439"/>
      <c r="G29" s="2439"/>
      <c r="H29" s="2439"/>
      <c r="I29" s="2439"/>
      <c r="J29" s="3092"/>
      <c r="K29" s="3102"/>
      <c r="L29" s="3103"/>
      <c r="M29" s="3103"/>
      <c r="N29" s="3103"/>
      <c r="O29" s="3103"/>
      <c r="P29" s="3103"/>
      <c r="Q29" s="3092"/>
      <c r="R29" s="3115"/>
      <c r="S29" s="3116"/>
      <c r="T29" s="3117"/>
      <c r="U29" s="3115"/>
      <c r="V29" s="3118"/>
      <c r="W29" s="3115"/>
      <c r="X29" s="3092"/>
      <c r="Y29" s="3106"/>
      <c r="Z29" s="3124"/>
      <c r="AA29" s="3125"/>
      <c r="AB29" s="3106"/>
      <c r="AC29" s="3126"/>
      <c r="AD29" s="3106"/>
    </row>
    <row r="30" spans="1:30">
      <c r="A30" s="3389" t="s">
        <v>3263</v>
      </c>
      <c r="B30" s="3136">
        <v>2025</v>
      </c>
      <c r="C30" s="3137">
        <v>1</v>
      </c>
      <c r="D30" s="3137"/>
      <c r="E30" s="3137">
        <v>0</v>
      </c>
      <c r="F30" s="3137">
        <v>0</v>
      </c>
      <c r="G30" s="3137">
        <v>0</v>
      </c>
      <c r="H30" s="3137"/>
      <c r="I30" s="3138">
        <f t="shared" ref="I30" si="69">F30</f>
        <v>0</v>
      </c>
      <c r="J30" s="3104"/>
      <c r="K30" s="3105"/>
      <c r="L30" s="3106">
        <f t="shared" ref="L30" si="70">E30/100</f>
        <v>0</v>
      </c>
      <c r="M30" s="3106">
        <f t="shared" ref="M30" si="71">F30/100</f>
        <v>0</v>
      </c>
      <c r="N30" s="3106">
        <f t="shared" ref="N30" si="72">G30/100</f>
        <v>0</v>
      </c>
      <c r="O30" s="3106"/>
      <c r="P30" s="3106">
        <f>M30</f>
        <v>0</v>
      </c>
      <c r="Q30" s="3104"/>
      <c r="R30" s="3115"/>
      <c r="S30" s="3115">
        <f>ROUND(IF(项目基本情况!$B$8="出让",SUMPRODUCT(PRODUCT(1+L30:L$46)),SUMPRODUCT(PRODUCT(1+L30:L$45))),4)</f>
        <v>1.0364</v>
      </c>
      <c r="T30" s="3115">
        <f>ROUND(IF(项目基本情况!$B$8="出让",SUMPRODUCT(PRODUCT(1+M30:M$46)),SUMPRODUCT(PRODUCT(1+M30:M$45))),4)</f>
        <v>1.0244</v>
      </c>
      <c r="U30" s="3115">
        <f>ROUND(IF(项目基本情况!$B$8="出让",SUMPRODUCT(PRODUCT(1+N30:N$46)),SUMPRODUCT(PRODUCT(1+N30:N$45))),4)</f>
        <v>1.048</v>
      </c>
      <c r="V30" s="3115"/>
      <c r="W30" s="3115">
        <f>T30</f>
        <v>1.0244</v>
      </c>
      <c r="X30" s="3104"/>
      <c r="Y30" s="3106"/>
      <c r="Z30" s="3124">
        <f t="shared" ref="Z30" si="73">IF(E30=0,0,ROUND(AVERAGE(E30:E43)/100,4))</f>
        <v>0</v>
      </c>
      <c r="AA30" s="3124">
        <f t="shared" ref="AA30" si="74">IF(F30=0,0,ROUND(AVERAGE(F30:F43)/100,4))</f>
        <v>0</v>
      </c>
      <c r="AB30" s="3124">
        <f t="shared" ref="AB30" si="75">IF(G30=0,0,ROUND(AVERAGE(G30:G43)/100,4))</f>
        <v>0</v>
      </c>
      <c r="AC30" s="3126"/>
      <c r="AD30" s="3106">
        <f>IF(I30=0,0,ROUND(AVERAGE(I30:I43)/100,4))</f>
        <v>0</v>
      </c>
    </row>
    <row r="31" spans="1:30">
      <c r="A31" s="3088" t="s">
        <v>3266</v>
      </c>
      <c r="B31" s="3139">
        <v>2024</v>
      </c>
      <c r="C31" s="3140">
        <v>4</v>
      </c>
      <c r="D31" s="3140"/>
      <c r="E31" s="3140">
        <v>0</v>
      </c>
      <c r="F31" s="3140">
        <v>0</v>
      </c>
      <c r="G31" s="3140">
        <v>0</v>
      </c>
      <c r="H31" s="3141"/>
      <c r="I31" s="3142">
        <f t="shared" ref="I31" si="76">F31</f>
        <v>0</v>
      </c>
      <c r="J31" s="3107"/>
      <c r="K31" s="3108"/>
      <c r="L31" s="3109">
        <f t="shared" ref="L31" si="77">E31/100</f>
        <v>0</v>
      </c>
      <c r="M31" s="3109">
        <f t="shared" ref="M31" si="78">F31/100</f>
        <v>0</v>
      </c>
      <c r="N31" s="3109">
        <f t="shared" ref="N31" si="79">G31/100</f>
        <v>0</v>
      </c>
      <c r="O31" s="3109"/>
      <c r="P31" s="3109">
        <f>M31</f>
        <v>0</v>
      </c>
      <c r="Q31" s="3107"/>
      <c r="R31" s="3107"/>
      <c r="S31" s="3107">
        <f>ROUND(IF(项目基本情况!$B$8="出让",SUMPRODUCT(PRODUCT(1+L31:L$46)),SUMPRODUCT(PRODUCT(1+L31:L$45))),4)</f>
        <v>1.0364</v>
      </c>
      <c r="T31" s="3107">
        <f>ROUND(IF(项目基本情况!$B$8="出让",SUMPRODUCT(PRODUCT(1+M31:M$46)),SUMPRODUCT(PRODUCT(1+M31:M$45))),4)</f>
        <v>1.0244</v>
      </c>
      <c r="U31" s="3107">
        <f>ROUND(IF(项目基本情况!$B$8="出让",SUMPRODUCT(PRODUCT(1+N31:N$46)),SUMPRODUCT(PRODUCT(1+N31:N$45))),4)</f>
        <v>1.048</v>
      </c>
      <c r="V31" s="3107"/>
      <c r="W31" s="3107">
        <f>T31</f>
        <v>1.0244</v>
      </c>
      <c r="X31" s="3107"/>
      <c r="Y31" s="3109"/>
      <c r="Z31" s="3127">
        <f t="shared" ref="Z31" si="80">IF(E31=0,0,ROUND(AVERAGE(E31:E44)/100,4))</f>
        <v>0</v>
      </c>
      <c r="AA31" s="3128">
        <f t="shared" ref="AA31" si="81">IF(F31=0,0,ROUND(AVERAGE(F31:F44)/100,4))</f>
        <v>0</v>
      </c>
      <c r="AB31" s="3109">
        <f t="shared" ref="AB31" si="82">IF(G31=0,0,ROUND(AVERAGE(G31:G44)/100,4))</f>
        <v>0</v>
      </c>
      <c r="AC31" s="3129"/>
      <c r="AD31" s="3109">
        <f>IF(I31=0,0,ROUND(AVERAGE(I31:I44)/100,4))</f>
        <v>0</v>
      </c>
    </row>
    <row r="32" spans="1:30">
      <c r="A32" s="3389" t="s">
        <v>3257</v>
      </c>
      <c r="B32" s="3136">
        <v>2024</v>
      </c>
      <c r="C32" s="3137">
        <v>3</v>
      </c>
      <c r="D32" s="3137"/>
      <c r="E32" s="3137">
        <v>-0.66</v>
      </c>
      <c r="F32" s="3137">
        <v>-0.52</v>
      </c>
      <c r="G32" s="3137">
        <v>-2.87</v>
      </c>
      <c r="H32" s="3137"/>
      <c r="I32" s="3138">
        <f t="shared" ref="I32" si="83">F32</f>
        <v>-0.52</v>
      </c>
      <c r="J32" s="3104"/>
      <c r="K32" s="3105"/>
      <c r="L32" s="3106">
        <f t="shared" ref="L32" si="84">E32/100</f>
        <v>-6.6E-3</v>
      </c>
      <c r="M32" s="3106">
        <f t="shared" ref="M32" si="85">F32/100</f>
        <v>-5.1999999999999998E-3</v>
      </c>
      <c r="N32" s="3106">
        <f t="shared" ref="N32" si="86">G32/100</f>
        <v>-2.87E-2</v>
      </c>
      <c r="O32" s="3106"/>
      <c r="P32" s="3106">
        <f>M32</f>
        <v>-5.1999999999999998E-3</v>
      </c>
      <c r="Q32" s="3104"/>
      <c r="R32" s="3115"/>
      <c r="S32" s="3115">
        <f>ROUND(IF(项目基本情况!$B$8="出让",SUMPRODUCT(PRODUCT(1+L32:L$46)),SUMPRODUCT(PRODUCT(1+L32:L$45))),4)</f>
        <v>1.0364</v>
      </c>
      <c r="T32" s="3115">
        <f>ROUND(IF(项目基本情况!$B$8="出让",SUMPRODUCT(PRODUCT(1+M32:M$46)),SUMPRODUCT(PRODUCT(1+M32:M$45))),4)</f>
        <v>1.0244</v>
      </c>
      <c r="U32" s="3115">
        <f>ROUND(IF(项目基本情况!$B$8="出让",SUMPRODUCT(PRODUCT(1+N32:N$46)),SUMPRODUCT(PRODUCT(1+N32:N$45))),4)</f>
        <v>1.048</v>
      </c>
      <c r="V32" s="3115"/>
      <c r="W32" s="3115">
        <f>T32</f>
        <v>1.0244</v>
      </c>
      <c r="X32" s="3104"/>
      <c r="Y32" s="3106"/>
      <c r="Z32" s="3124">
        <f t="shared" ref="Z32:AB33" si="87">IF(E32=0,0,ROUND(AVERAGE(E32:E45)/100,4))</f>
        <v>2.5999999999999999E-3</v>
      </c>
      <c r="AA32" s="3124">
        <f t="shared" si="87"/>
        <v>1.6999999999999999E-3</v>
      </c>
      <c r="AB32" s="3124">
        <f t="shared" si="87"/>
        <v>3.3999999999999998E-3</v>
      </c>
      <c r="AC32" s="3126"/>
      <c r="AD32" s="3106">
        <f>IF(I32=0,0,ROUND(AVERAGE(I32:I45)/100,4))</f>
        <v>1.6999999999999999E-3</v>
      </c>
    </row>
    <row r="33" spans="1:30">
      <c r="A33" s="3087" t="s">
        <v>3267</v>
      </c>
      <c r="B33" s="3136">
        <v>2024</v>
      </c>
      <c r="C33" s="3137">
        <v>2</v>
      </c>
      <c r="D33" s="3137"/>
      <c r="E33" s="3137">
        <v>-0.31</v>
      </c>
      <c r="F33" s="3137">
        <v>-0.39</v>
      </c>
      <c r="G33" s="3137">
        <v>1.23</v>
      </c>
      <c r="H33" s="3143"/>
      <c r="I33" s="3138">
        <f t="shared" ref="I33:I46" si="88">F33</f>
        <v>-0.39</v>
      </c>
      <c r="J33" s="3104"/>
      <c r="K33" s="3105"/>
      <c r="L33" s="3106">
        <f t="shared" ref="L33:N46" si="89">E33/100</f>
        <v>-3.0999999999999999E-3</v>
      </c>
      <c r="M33" s="3106">
        <f t="shared" si="89"/>
        <v>-3.9000000000000003E-3</v>
      </c>
      <c r="N33" s="3106">
        <f t="shared" si="89"/>
        <v>1.23E-2</v>
      </c>
      <c r="O33" s="3106"/>
      <c r="P33" s="3106">
        <f>M33</f>
        <v>-3.9000000000000003E-3</v>
      </c>
      <c r="Q33" s="3104"/>
      <c r="R33" s="3115"/>
      <c r="S33" s="3115">
        <f>ROUND(IF(项目基本情况!$B$8="出让",SUMPRODUCT(PRODUCT(1+L33:L$46)),SUMPRODUCT(PRODUCT(1+L33:L$45))),4)</f>
        <v>1.0432999999999999</v>
      </c>
      <c r="T33" s="3115">
        <f>ROUND(IF(项目基本情况!$B$8="出让",SUMPRODUCT(PRODUCT(1+M33:M$46)),SUMPRODUCT(PRODUCT(1+M33:M$45))),4)</f>
        <v>1.0298</v>
      </c>
      <c r="U33" s="3115">
        <f>ROUND(IF(项目基本情况!$B$8="出让",SUMPRODUCT(PRODUCT(1+N33:N$46)),SUMPRODUCT(PRODUCT(1+N33:N$45))),4)</f>
        <v>1.079</v>
      </c>
      <c r="V33" s="3115"/>
      <c r="W33" s="3115">
        <f>T33</f>
        <v>1.0298</v>
      </c>
      <c r="X33" s="3104"/>
      <c r="Y33" s="3106"/>
      <c r="Z33" s="3124">
        <f t="shared" si="87"/>
        <v>3.3E-3</v>
      </c>
      <c r="AA33" s="3125">
        <f t="shared" si="87"/>
        <v>2.3999999999999998E-3</v>
      </c>
      <c r="AB33" s="3106">
        <f t="shared" si="87"/>
        <v>6.1999999999999998E-3</v>
      </c>
      <c r="AC33" s="3126"/>
      <c r="AD33" s="3106">
        <f>IF(I33=0,0,ROUND(AVERAGE(I33:I46)/100,4))</f>
        <v>2.3999999999999998E-3</v>
      </c>
    </row>
    <row r="34" spans="1:30">
      <c r="A34" s="3087" t="s">
        <v>3260</v>
      </c>
      <c r="B34" s="3136">
        <v>2024</v>
      </c>
      <c r="C34" s="3137">
        <v>1</v>
      </c>
      <c r="D34" s="3137"/>
      <c r="E34" s="3137">
        <v>0.25</v>
      </c>
      <c r="F34" s="3137">
        <v>0.4</v>
      </c>
      <c r="G34" s="3137">
        <v>-0.63</v>
      </c>
      <c r="H34" s="3143"/>
      <c r="I34" s="3138">
        <f t="shared" si="88"/>
        <v>0.4</v>
      </c>
      <c r="J34" s="3104"/>
      <c r="K34" s="3105"/>
      <c r="L34" s="3106">
        <f t="shared" ref="L34" si="90">E34/100</f>
        <v>2.5000000000000001E-3</v>
      </c>
      <c r="M34" s="3106">
        <f t="shared" ref="M34" si="91">F34/100</f>
        <v>4.0000000000000001E-3</v>
      </c>
      <c r="N34" s="3106">
        <f t="shared" ref="N34" si="92">G34/100</f>
        <v>-6.3E-3</v>
      </c>
      <c r="O34" s="3106"/>
      <c r="P34" s="3106">
        <f t="shared" ref="P34" si="93">M34</f>
        <v>4.0000000000000001E-3</v>
      </c>
      <c r="Q34" s="3104"/>
      <c r="R34" s="3115"/>
      <c r="S34" s="3115">
        <f>ROUND(IF(项目基本情况!$B$8="出让",SUMPRODUCT(PRODUCT(1+L34:L$46)),SUMPRODUCT(PRODUCT(1+L34:L$45))),4)</f>
        <v>1.0465</v>
      </c>
      <c r="T34" s="3115">
        <f>ROUND(IF(项目基本情况!$B$8="出让",SUMPRODUCT(PRODUCT(1+M34:M$46)),SUMPRODUCT(PRODUCT(1+M34:M$45))),4)</f>
        <v>1.0338000000000001</v>
      </c>
      <c r="U34" s="3115">
        <f>ROUND(IF(项目基本情况!$B$8="出让",SUMPRODUCT(PRODUCT(1+N34:N$46)),SUMPRODUCT(PRODUCT(1+N34:N$45))),4)</f>
        <v>1.0659000000000001</v>
      </c>
      <c r="V34" s="3115"/>
      <c r="W34" s="3115">
        <f t="shared" ref="W34" si="94">T34</f>
        <v>1.0338000000000001</v>
      </c>
      <c r="X34" s="3104"/>
      <c r="Y34" s="3106"/>
      <c r="Z34" s="3124">
        <f t="shared" ref="Z34" si="95">IF(E34=0,0,ROUND(AVERAGE(E34:E45)/100,4))</f>
        <v>3.8E-3</v>
      </c>
      <c r="AA34" s="3125">
        <f t="shared" ref="AA34" si="96">IF(F34=0,0,ROUND(AVERAGE(F34:F45)/100,4))</f>
        <v>2.8E-3</v>
      </c>
      <c r="AB34" s="3106">
        <f t="shared" ref="AB34" si="97">IF(G34=0,0,ROUND(AVERAGE(G34:G45)/100,4))</f>
        <v>5.3E-3</v>
      </c>
      <c r="AC34" s="3126"/>
      <c r="AD34" s="3106">
        <f t="shared" ref="AD34" si="98">IF(I34=0,0,ROUND(AVERAGE(I34:I45)/100,4))</f>
        <v>2.8E-3</v>
      </c>
    </row>
    <row r="35" spans="1:30">
      <c r="A35" s="3087" t="s">
        <v>3255</v>
      </c>
      <c r="B35" s="3136">
        <v>2023</v>
      </c>
      <c r="C35" s="3137">
        <v>4</v>
      </c>
      <c r="D35" s="3137"/>
      <c r="E35" s="3137">
        <v>7.0000000000000007E-2</v>
      </c>
      <c r="F35" s="3137">
        <v>0.09</v>
      </c>
      <c r="G35" s="3137">
        <v>0.03</v>
      </c>
      <c r="H35" s="3143"/>
      <c r="I35" s="3138">
        <f t="shared" ref="I35" si="99">F35</f>
        <v>0.09</v>
      </c>
      <c r="J35" s="3104"/>
      <c r="K35" s="3105"/>
      <c r="L35" s="3106">
        <f t="shared" si="89"/>
        <v>7.000000000000001E-4</v>
      </c>
      <c r="M35" s="3106">
        <f t="shared" si="89"/>
        <v>8.9999999999999998E-4</v>
      </c>
      <c r="N35" s="3106">
        <f t="shared" si="89"/>
        <v>2.9999999999999997E-4</v>
      </c>
      <c r="O35" s="3106"/>
      <c r="P35" s="3106">
        <f t="shared" ref="P35" si="100">M35</f>
        <v>8.9999999999999998E-4</v>
      </c>
      <c r="Q35" s="3104"/>
      <c r="R35" s="3115"/>
      <c r="S35" s="3115">
        <f>ROUND(IF(项目基本情况!$B$8="出让",SUMPRODUCT(PRODUCT(1+L35:L$46)),SUMPRODUCT(PRODUCT(1+L35:L$45))),4)</f>
        <v>1.0439000000000001</v>
      </c>
      <c r="T35" s="3115">
        <f>ROUND(IF(项目基本情况!$B$8="出让",SUMPRODUCT(PRODUCT(1+M35:M$46)),SUMPRODUCT(PRODUCT(1+M35:M$45))),4)</f>
        <v>1.0297000000000001</v>
      </c>
      <c r="U35" s="3115">
        <f>ROUND(IF(项目基本情况!$B$8="出让",SUMPRODUCT(PRODUCT(1+N35:N$46)),SUMPRODUCT(PRODUCT(1+N35:N$45))),4)</f>
        <v>1.0727</v>
      </c>
      <c r="V35" s="3115"/>
      <c r="W35" s="3115">
        <f t="shared" ref="W35" si="101">T35</f>
        <v>1.0297000000000001</v>
      </c>
      <c r="X35" s="3104"/>
      <c r="Y35" s="3106"/>
      <c r="Z35" s="3124">
        <f t="shared" ref="Z35" si="102">IF(E35=0,0,ROUND(AVERAGE(E35:E46)/100,4))</f>
        <v>3.8999999999999998E-3</v>
      </c>
      <c r="AA35" s="3125">
        <f t="shared" ref="AA35" si="103">IF(F35=0,0,ROUND(AVERAGE(F35:F46)/100,4))</f>
        <v>2.8E-3</v>
      </c>
      <c r="AB35" s="3106">
        <f t="shared" ref="AB35" si="104">IF(G35=0,0,ROUND(AVERAGE(G35:G46)/100,4))</f>
        <v>6.7000000000000002E-3</v>
      </c>
      <c r="AC35" s="3126"/>
      <c r="AD35" s="3106">
        <f t="shared" ref="AD35" si="105">IF(I35=0,0,ROUND(AVERAGE(I35:I46)/100,4))</f>
        <v>2.8E-3</v>
      </c>
    </row>
    <row r="36" spans="1:30">
      <c r="A36" s="3087" t="s">
        <v>3253</v>
      </c>
      <c r="B36" s="3136">
        <v>2023</v>
      </c>
      <c r="C36" s="3137">
        <v>3</v>
      </c>
      <c r="D36" s="3137"/>
      <c r="E36" s="3137">
        <v>0.35</v>
      </c>
      <c r="F36" s="3137">
        <v>0.17</v>
      </c>
      <c r="G36" s="3137">
        <v>0.52</v>
      </c>
      <c r="H36" s="3143"/>
      <c r="I36" s="3138">
        <f t="shared" si="88"/>
        <v>0.17</v>
      </c>
      <c r="J36" s="3104"/>
      <c r="K36" s="3105"/>
      <c r="L36" s="3106">
        <f t="shared" ref="L36:L38" si="106">E36/100</f>
        <v>3.4999999999999996E-3</v>
      </c>
      <c r="M36" s="3106">
        <f t="shared" ref="M36:M38" si="107">F36/100</f>
        <v>1.7000000000000001E-3</v>
      </c>
      <c r="N36" s="3106">
        <f t="shared" ref="N36:N38" si="108">G36/100</f>
        <v>5.1999999999999998E-3</v>
      </c>
      <c r="O36" s="3106"/>
      <c r="P36" s="3106">
        <f t="shared" ref="P36:P38" si="109">M36</f>
        <v>1.7000000000000001E-3</v>
      </c>
      <c r="Q36" s="3104"/>
      <c r="R36" s="3115"/>
      <c r="S36" s="3115">
        <f>ROUND(IF(项目基本情况!$B$8="出让",SUMPRODUCT(PRODUCT(1+L36:L$46)),SUMPRODUCT(PRODUCT(1+L36:L$45))),4)</f>
        <v>1.0431999999999999</v>
      </c>
      <c r="T36" s="3115">
        <f>ROUND(IF(项目基本情况!$B$8="出让",SUMPRODUCT(PRODUCT(1+M36:M$46)),SUMPRODUCT(PRODUCT(1+M36:M$45))),4)</f>
        <v>1.0286999999999999</v>
      </c>
      <c r="U36" s="3115">
        <f>ROUND(IF(项目基本情况!$B$8="出让",SUMPRODUCT(PRODUCT(1+N36:N$46)),SUMPRODUCT(PRODUCT(1+N36:N$45))),4)</f>
        <v>1.0723</v>
      </c>
      <c r="V36" s="3115"/>
      <c r="W36" s="3115">
        <f t="shared" ref="W36:W38" si="110">T36</f>
        <v>1.0286999999999999</v>
      </c>
      <c r="X36" s="3104"/>
      <c r="Y36" s="3106"/>
      <c r="Z36" s="3124">
        <f t="shared" ref="Z36:AB36" si="111">IF(E36=0,0,ROUND(AVERAGE(E36:E47)/100,4))</f>
        <v>4.1999999999999997E-3</v>
      </c>
      <c r="AA36" s="3125">
        <f t="shared" si="111"/>
        <v>3.0000000000000001E-3</v>
      </c>
      <c r="AB36" s="3106">
        <f t="shared" si="111"/>
        <v>7.3000000000000001E-3</v>
      </c>
      <c r="AC36" s="3126"/>
      <c r="AD36" s="3106">
        <f t="shared" ref="AD36:AD38" si="112">IF(I36=0,0,ROUND(AVERAGE(I36:I47)/100,4))</f>
        <v>3.0000000000000001E-3</v>
      </c>
    </row>
    <row r="37" spans="1:30">
      <c r="A37" s="3087" t="s">
        <v>3252</v>
      </c>
      <c r="B37" s="3136">
        <v>2023</v>
      </c>
      <c r="C37" s="3137">
        <v>2</v>
      </c>
      <c r="D37" s="3137"/>
      <c r="E37" s="3137">
        <v>0.5</v>
      </c>
      <c r="F37" s="3137">
        <v>0.45</v>
      </c>
      <c r="G37" s="3137">
        <v>0.89</v>
      </c>
      <c r="H37" s="3143"/>
      <c r="I37" s="3138">
        <f t="shared" si="88"/>
        <v>0.45</v>
      </c>
      <c r="J37" s="3104"/>
      <c r="K37" s="3105"/>
      <c r="L37" s="3106">
        <f t="shared" si="106"/>
        <v>5.0000000000000001E-3</v>
      </c>
      <c r="M37" s="3106">
        <f t="shared" si="107"/>
        <v>4.5000000000000005E-3</v>
      </c>
      <c r="N37" s="3106">
        <f t="shared" si="108"/>
        <v>8.8999999999999999E-3</v>
      </c>
      <c r="O37" s="3106"/>
      <c r="P37" s="3106">
        <f t="shared" si="109"/>
        <v>4.5000000000000005E-3</v>
      </c>
      <c r="Q37" s="3104"/>
      <c r="R37" s="3115"/>
      <c r="S37" s="3115">
        <f>ROUND(IF(项目基本情况!$B$8="出让",SUMPRODUCT(PRODUCT(1+L37:L$46)),SUMPRODUCT(PRODUCT(1+L37:L$45))),4)</f>
        <v>1.0396000000000001</v>
      </c>
      <c r="T37" s="3115">
        <f>ROUND(IF(项目基本情况!$B$8="出让",SUMPRODUCT(PRODUCT(1+M37:M$46)),SUMPRODUCT(PRODUCT(1+M37:M$45))),4)</f>
        <v>1.0269999999999999</v>
      </c>
      <c r="U37" s="3115">
        <f>ROUND(IF(项目基本情况!$B$8="出让",SUMPRODUCT(PRODUCT(1+N37:N$46)),SUMPRODUCT(PRODUCT(1+N37:N$45))),4)</f>
        <v>1.0668</v>
      </c>
      <c r="V37" s="3115"/>
      <c r="W37" s="3115">
        <f t="shared" si="110"/>
        <v>1.0269999999999999</v>
      </c>
      <c r="X37" s="3104"/>
      <c r="Y37" s="3106"/>
      <c r="Z37" s="3124">
        <f t="shared" ref="Z37:AB37" si="113">IF(E37=0,0,ROUND(AVERAGE(E37:E48)/100,4))</f>
        <v>4.1999999999999997E-3</v>
      </c>
      <c r="AA37" s="3125">
        <f t="shared" si="113"/>
        <v>3.2000000000000002E-3</v>
      </c>
      <c r="AB37" s="3106">
        <f t="shared" si="113"/>
        <v>7.4999999999999997E-3</v>
      </c>
      <c r="AC37" s="3126"/>
      <c r="AD37" s="3106">
        <f t="shared" si="112"/>
        <v>3.2000000000000002E-3</v>
      </c>
    </row>
    <row r="38" spans="1:30">
      <c r="A38" s="3087" t="s">
        <v>3250</v>
      </c>
      <c r="B38" s="3136">
        <v>2023</v>
      </c>
      <c r="C38" s="3137">
        <v>1</v>
      </c>
      <c r="D38" s="3137"/>
      <c r="E38" s="3137">
        <v>0.55000000000000004</v>
      </c>
      <c r="F38" s="3137">
        <v>0.59</v>
      </c>
      <c r="G38" s="3137">
        <v>0.64</v>
      </c>
      <c r="H38" s="3143"/>
      <c r="I38" s="3138">
        <f t="shared" si="88"/>
        <v>0.59</v>
      </c>
      <c r="J38" s="3104"/>
      <c r="K38" s="3105"/>
      <c r="L38" s="3106">
        <f t="shared" si="106"/>
        <v>5.5000000000000005E-3</v>
      </c>
      <c r="M38" s="3106">
        <f t="shared" si="107"/>
        <v>5.8999999999999999E-3</v>
      </c>
      <c r="N38" s="3106">
        <f t="shared" si="108"/>
        <v>6.4000000000000003E-3</v>
      </c>
      <c r="O38" s="3106"/>
      <c r="P38" s="3106">
        <f t="shared" si="109"/>
        <v>5.8999999999999999E-3</v>
      </c>
      <c r="Q38" s="3104"/>
      <c r="R38" s="3115"/>
      <c r="S38" s="3115">
        <f>ROUND(IF(项目基本情况!$B$8="出让",SUMPRODUCT(PRODUCT(1+L38:L$46)),SUMPRODUCT(PRODUCT(1+L38:L$45))),4)</f>
        <v>1.0344</v>
      </c>
      <c r="T38" s="3115">
        <f>ROUND(IF(项目基本情况!$B$8="出让",SUMPRODUCT(PRODUCT(1+M38:M$46)),SUMPRODUCT(PRODUCT(1+M38:M$45))),4)</f>
        <v>1.0224</v>
      </c>
      <c r="U38" s="3115">
        <f>ROUND(IF(项目基本情况!$B$8="出让",SUMPRODUCT(PRODUCT(1+N38:N$46)),SUMPRODUCT(PRODUCT(1+N38:N$45))),4)</f>
        <v>1.0573999999999999</v>
      </c>
      <c r="V38" s="3115"/>
      <c r="W38" s="3115">
        <f t="shared" si="110"/>
        <v>1.0224</v>
      </c>
      <c r="X38" s="3104"/>
      <c r="Y38" s="3106"/>
      <c r="Z38" s="3124">
        <f t="shared" ref="Z38:AB38" si="114">IF(E38=0,0,ROUND(AVERAGE(E38:E49)/100,4))</f>
        <v>4.1999999999999997E-3</v>
      </c>
      <c r="AA38" s="3125">
        <f t="shared" si="114"/>
        <v>3.0000000000000001E-3</v>
      </c>
      <c r="AB38" s="3106">
        <f t="shared" si="114"/>
        <v>7.3000000000000001E-3</v>
      </c>
      <c r="AC38" s="3126"/>
      <c r="AD38" s="3106">
        <f t="shared" si="112"/>
        <v>3.0000000000000001E-3</v>
      </c>
    </row>
    <row r="39" spans="1:30">
      <c r="A39" s="3087" t="s">
        <v>3248</v>
      </c>
      <c r="B39" s="3136">
        <v>2022</v>
      </c>
      <c r="C39" s="3137">
        <v>4</v>
      </c>
      <c r="D39" s="3137"/>
      <c r="E39" s="3137">
        <v>0.45</v>
      </c>
      <c r="F39" s="3137">
        <v>0.2</v>
      </c>
      <c r="G39" s="3137">
        <v>0.38</v>
      </c>
      <c r="H39" s="3143"/>
      <c r="I39" s="3138">
        <f t="shared" si="88"/>
        <v>0.2</v>
      </c>
      <c r="J39" s="3104"/>
      <c r="K39" s="3105"/>
      <c r="L39" s="3106">
        <f t="shared" si="89"/>
        <v>4.5000000000000005E-3</v>
      </c>
      <c r="M39" s="3106">
        <f t="shared" si="89"/>
        <v>2E-3</v>
      </c>
      <c r="N39" s="3106">
        <f t="shared" si="89"/>
        <v>3.8E-3</v>
      </c>
      <c r="O39" s="3106"/>
      <c r="P39" s="3106">
        <f t="shared" ref="P39:P46" si="115">M39</f>
        <v>2E-3</v>
      </c>
      <c r="Q39" s="3104"/>
      <c r="R39" s="3115"/>
      <c r="S39" s="3115">
        <f>ROUND(IF(项目基本情况!$B$8="出让",SUMPRODUCT(PRODUCT(1+L39:L$46)),SUMPRODUCT(PRODUCT(1+L39:L$45))),4)</f>
        <v>1.0286999999999999</v>
      </c>
      <c r="T39" s="3115">
        <f>ROUND(IF(项目基本情况!$B$8="出让",SUMPRODUCT(PRODUCT(1+M39:M$46)),SUMPRODUCT(PRODUCT(1+M39:M$45))),4)</f>
        <v>1.0164</v>
      </c>
      <c r="U39" s="3115">
        <f>ROUND(IF(项目基本情况!$B$8="出让",SUMPRODUCT(PRODUCT(1+N39:N$46)),SUMPRODUCT(PRODUCT(1+N39:N$45))),4)</f>
        <v>1.0506</v>
      </c>
      <c r="V39" s="3115"/>
      <c r="W39" s="3115">
        <f t="shared" ref="W39:W46" si="116">T39</f>
        <v>1.0164</v>
      </c>
      <c r="X39" s="3104"/>
      <c r="Y39" s="3106"/>
      <c r="Z39" s="3124">
        <f t="shared" ref="Z39:AD46" si="117">IF(E39=0,0,ROUND(AVERAGE(E39:E47)/100,4))</f>
        <v>4.0000000000000001E-3</v>
      </c>
      <c r="AA39" s="3125">
        <f t="shared" si="117"/>
        <v>2.5999999999999999E-3</v>
      </c>
      <c r="AB39" s="3106">
        <f t="shared" si="117"/>
        <v>7.4000000000000003E-3</v>
      </c>
      <c r="AC39" s="3126"/>
      <c r="AD39" s="3106">
        <f t="shared" si="117"/>
        <v>2.5999999999999999E-3</v>
      </c>
    </row>
    <row r="40" spans="1:30">
      <c r="A40" s="3087" t="s">
        <v>3246</v>
      </c>
      <c r="B40" s="3136">
        <v>2022</v>
      </c>
      <c r="C40" s="3137">
        <v>3</v>
      </c>
      <c r="D40" s="3137"/>
      <c r="E40" s="3137">
        <v>0.3</v>
      </c>
      <c r="F40" s="3137">
        <v>0.28999999999999998</v>
      </c>
      <c r="G40" s="3137">
        <v>0.83</v>
      </c>
      <c r="H40" s="3143"/>
      <c r="I40" s="3138">
        <f t="shared" si="88"/>
        <v>0.28999999999999998</v>
      </c>
      <c r="J40" s="3104"/>
      <c r="K40" s="3105"/>
      <c r="L40" s="3106">
        <f t="shared" si="89"/>
        <v>3.0000000000000001E-3</v>
      </c>
      <c r="M40" s="3106">
        <f t="shared" si="89"/>
        <v>2.8999999999999998E-3</v>
      </c>
      <c r="N40" s="3106">
        <f t="shared" si="89"/>
        <v>8.3000000000000001E-3</v>
      </c>
      <c r="O40" s="3106"/>
      <c r="P40" s="3106">
        <f t="shared" si="115"/>
        <v>2.8999999999999998E-3</v>
      </c>
      <c r="Q40" s="3104"/>
      <c r="R40" s="3115"/>
      <c r="S40" s="3115">
        <f>ROUND(IF(项目基本情况!$B$8="出让",SUMPRODUCT(PRODUCT(1+L40:L$46)),SUMPRODUCT(PRODUCT(1+L40:L$45))),4)</f>
        <v>1.0241</v>
      </c>
      <c r="T40" s="3115">
        <f>ROUND(IF(项目基本情况!$B$8="出让",SUMPRODUCT(PRODUCT(1+M40:M$46)),SUMPRODUCT(PRODUCT(1+M40:M$45))),4)</f>
        <v>1.0144</v>
      </c>
      <c r="U40" s="3115">
        <f>ROUND(IF(项目基本情况!$B$8="出让",SUMPRODUCT(PRODUCT(1+N40:N$46)),SUMPRODUCT(PRODUCT(1+N40:N$45))),4)</f>
        <v>1.0467</v>
      </c>
      <c r="V40" s="3115"/>
      <c r="W40" s="3115">
        <f t="shared" si="116"/>
        <v>1.0144</v>
      </c>
      <c r="X40" s="3104"/>
      <c r="Y40" s="3106"/>
      <c r="Z40" s="3124">
        <f t="shared" si="117"/>
        <v>3.8999999999999998E-3</v>
      </c>
      <c r="AA40" s="3125">
        <f t="shared" si="117"/>
        <v>2.7000000000000001E-3</v>
      </c>
      <c r="AB40" s="3106">
        <f t="shared" si="117"/>
        <v>7.9000000000000008E-3</v>
      </c>
      <c r="AC40" s="3126"/>
      <c r="AD40" s="3106">
        <f t="shared" si="117"/>
        <v>2.7000000000000001E-3</v>
      </c>
    </row>
    <row r="41" spans="1:30">
      <c r="A41" s="3087" t="s">
        <v>3245</v>
      </c>
      <c r="B41" s="3136">
        <v>2022</v>
      </c>
      <c r="C41" s="3137">
        <v>2</v>
      </c>
      <c r="D41" s="3137"/>
      <c r="E41" s="3137">
        <v>-0.11</v>
      </c>
      <c r="F41" s="3137">
        <v>-0.13</v>
      </c>
      <c r="G41" s="3137">
        <v>0.53</v>
      </c>
      <c r="H41" s="3143"/>
      <c r="I41" s="3138">
        <f t="shared" si="88"/>
        <v>-0.13</v>
      </c>
      <c r="J41" s="3104"/>
      <c r="K41" s="3105"/>
      <c r="L41" s="3106">
        <f t="shared" si="89"/>
        <v>-1.1000000000000001E-3</v>
      </c>
      <c r="M41" s="3106">
        <f t="shared" si="89"/>
        <v>-1.2999999999999999E-3</v>
      </c>
      <c r="N41" s="3106">
        <f t="shared" si="89"/>
        <v>5.3E-3</v>
      </c>
      <c r="O41" s="3106"/>
      <c r="P41" s="3106">
        <f t="shared" si="115"/>
        <v>-1.2999999999999999E-3</v>
      </c>
      <c r="Q41" s="3104"/>
      <c r="R41" s="3115"/>
      <c r="S41" s="3115">
        <f>ROUND(IF(项目基本情况!$B$8="出让",SUMPRODUCT(PRODUCT(1+L41:L$46)),SUMPRODUCT(PRODUCT(1+L41:L$45))),4)</f>
        <v>1.0210999999999999</v>
      </c>
      <c r="T41" s="3115">
        <f>ROUND(IF(项目基本情况!$B$8="出让",SUMPRODUCT(PRODUCT(1+M41:M$46)),SUMPRODUCT(PRODUCT(1+M41:M$45))),4)</f>
        <v>1.0114000000000001</v>
      </c>
      <c r="U41" s="3115">
        <f>ROUND(IF(项目基本情况!$B$8="出让",SUMPRODUCT(PRODUCT(1+N41:N$46)),SUMPRODUCT(PRODUCT(1+N41:N$45))),4)</f>
        <v>1.0381</v>
      </c>
      <c r="V41" s="3115"/>
      <c r="W41" s="3115">
        <f t="shared" si="116"/>
        <v>1.0114000000000001</v>
      </c>
      <c r="X41" s="3104"/>
      <c r="Y41" s="3106"/>
      <c r="Z41" s="3124">
        <f t="shared" si="117"/>
        <v>4.1000000000000003E-3</v>
      </c>
      <c r="AA41" s="3125">
        <f t="shared" si="117"/>
        <v>2.7000000000000001E-3</v>
      </c>
      <c r="AB41" s="3106">
        <f t="shared" si="117"/>
        <v>7.9000000000000008E-3</v>
      </c>
      <c r="AC41" s="3126"/>
      <c r="AD41" s="3106">
        <f t="shared" si="117"/>
        <v>2.7000000000000001E-3</v>
      </c>
    </row>
    <row r="42" spans="1:30">
      <c r="A42" s="3087" t="s">
        <v>2781</v>
      </c>
      <c r="B42" s="3136">
        <v>2022</v>
      </c>
      <c r="C42" s="3137">
        <v>1</v>
      </c>
      <c r="D42" s="3137"/>
      <c r="E42" s="3137">
        <v>0.6</v>
      </c>
      <c r="F42" s="3137">
        <v>0.45</v>
      </c>
      <c r="G42" s="3137">
        <v>0.53</v>
      </c>
      <c r="H42" s="3143"/>
      <c r="I42" s="3138">
        <f t="shared" si="88"/>
        <v>0.45</v>
      </c>
      <c r="J42" s="3104"/>
      <c r="K42" s="3105"/>
      <c r="L42" s="3106">
        <f t="shared" si="89"/>
        <v>6.0000000000000001E-3</v>
      </c>
      <c r="M42" s="3106">
        <f t="shared" si="89"/>
        <v>4.5000000000000005E-3</v>
      </c>
      <c r="N42" s="3106">
        <f t="shared" si="89"/>
        <v>5.3E-3</v>
      </c>
      <c r="O42" s="3106"/>
      <c r="P42" s="3106">
        <f t="shared" si="115"/>
        <v>4.5000000000000005E-3</v>
      </c>
      <c r="Q42" s="3104"/>
      <c r="R42" s="3115"/>
      <c r="S42" s="3115">
        <f>ROUND(IF(项目基本情况!$B$8="出让",SUMPRODUCT(PRODUCT(1+L42:L$46)),SUMPRODUCT(PRODUCT(1+L42:L$45))),4)</f>
        <v>1.0222</v>
      </c>
      <c r="T42" s="3115">
        <f>ROUND(IF(项目基本情况!$B$8="出让",SUMPRODUCT(PRODUCT(1+M42:M$46)),SUMPRODUCT(PRODUCT(1+M42:M$45))),4)</f>
        <v>1.0127999999999999</v>
      </c>
      <c r="U42" s="3115">
        <f>ROUND(IF(项目基本情况!$B$8="出让",SUMPRODUCT(PRODUCT(1+N42:N$46)),SUMPRODUCT(PRODUCT(1+N42:N$45))),4)</f>
        <v>1.0326</v>
      </c>
      <c r="V42" s="3115"/>
      <c r="W42" s="3115">
        <f t="shared" si="116"/>
        <v>1.0127999999999999</v>
      </c>
      <c r="X42" s="3104"/>
      <c r="Y42" s="3106"/>
      <c r="Z42" s="3124">
        <f t="shared" si="117"/>
        <v>5.1000000000000004E-3</v>
      </c>
      <c r="AA42" s="3125">
        <f t="shared" si="117"/>
        <v>3.5000000000000001E-3</v>
      </c>
      <c r="AB42" s="3106">
        <f t="shared" si="117"/>
        <v>8.3999999999999995E-3</v>
      </c>
      <c r="AC42" s="3126"/>
      <c r="AD42" s="3106">
        <f t="shared" si="117"/>
        <v>3.5000000000000001E-3</v>
      </c>
    </row>
    <row r="43" spans="1:30">
      <c r="A43" s="3087" t="s">
        <v>2782</v>
      </c>
      <c r="B43" s="3136">
        <v>2021</v>
      </c>
      <c r="C43" s="3137">
        <v>4</v>
      </c>
      <c r="D43" s="3137"/>
      <c r="E43" s="3137">
        <v>0.57999999999999996</v>
      </c>
      <c r="F43" s="3137">
        <v>0.08</v>
      </c>
      <c r="G43" s="3137">
        <v>0.68</v>
      </c>
      <c r="H43" s="3143"/>
      <c r="I43" s="3138">
        <f t="shared" si="88"/>
        <v>0.08</v>
      </c>
      <c r="J43" s="3104"/>
      <c r="K43" s="3105"/>
      <c r="L43" s="3106">
        <f t="shared" si="89"/>
        <v>5.7999999999999996E-3</v>
      </c>
      <c r="M43" s="3106">
        <f t="shared" si="89"/>
        <v>8.0000000000000004E-4</v>
      </c>
      <c r="N43" s="3106">
        <f t="shared" si="89"/>
        <v>6.8000000000000005E-3</v>
      </c>
      <c r="O43" s="3106"/>
      <c r="P43" s="3106">
        <f t="shared" si="115"/>
        <v>8.0000000000000004E-4</v>
      </c>
      <c r="Q43" s="3104"/>
      <c r="R43" s="3115"/>
      <c r="S43" s="3115">
        <f>ROUND(IF(项目基本情况!$B$8="出让",SUMPRODUCT(PRODUCT(1+L43:L$46)),SUMPRODUCT(PRODUCT(1+L43:L$45))),4)</f>
        <v>1.0161</v>
      </c>
      <c r="T43" s="3115">
        <f>ROUND(IF(项目基本情况!$B$8="出让",SUMPRODUCT(PRODUCT(1+M43:M$46)),SUMPRODUCT(PRODUCT(1+M43:M$45))),4)</f>
        <v>1.0082</v>
      </c>
      <c r="U43" s="3115">
        <f>ROUND(IF(项目基本情况!$B$8="出让",SUMPRODUCT(PRODUCT(1+N43:N$46)),SUMPRODUCT(PRODUCT(1+N43:N$45))),4)</f>
        <v>1.0270999999999999</v>
      </c>
      <c r="V43" s="3115"/>
      <c r="W43" s="3115">
        <f t="shared" si="116"/>
        <v>1.0082</v>
      </c>
      <c r="X43" s="3104"/>
      <c r="Y43" s="3106"/>
      <c r="Z43" s="3124">
        <f t="shared" si="117"/>
        <v>4.8999999999999998E-3</v>
      </c>
      <c r="AA43" s="3125">
        <f t="shared" si="117"/>
        <v>3.3E-3</v>
      </c>
      <c r="AB43" s="3106">
        <f t="shared" si="117"/>
        <v>9.1999999999999998E-3</v>
      </c>
      <c r="AC43" s="3126"/>
      <c r="AD43" s="3106">
        <f t="shared" si="117"/>
        <v>3.3E-3</v>
      </c>
    </row>
    <row r="44" spans="1:30">
      <c r="A44" s="3087" t="s">
        <v>2783</v>
      </c>
      <c r="B44" s="3136">
        <v>2021</v>
      </c>
      <c r="C44" s="3137">
        <v>3</v>
      </c>
      <c r="D44" s="3137"/>
      <c r="E44" s="3137">
        <v>0.47</v>
      </c>
      <c r="F44" s="3137">
        <v>0.28000000000000003</v>
      </c>
      <c r="G44" s="3137">
        <v>0.91</v>
      </c>
      <c r="H44" s="3143"/>
      <c r="I44" s="3138">
        <f t="shared" si="88"/>
        <v>0.28000000000000003</v>
      </c>
      <c r="J44" s="3104"/>
      <c r="K44" s="3105"/>
      <c r="L44" s="3106">
        <f t="shared" si="89"/>
        <v>4.6999999999999993E-3</v>
      </c>
      <c r="M44" s="3106">
        <f t="shared" si="89"/>
        <v>2.8000000000000004E-3</v>
      </c>
      <c r="N44" s="3106">
        <f t="shared" si="89"/>
        <v>9.1000000000000004E-3</v>
      </c>
      <c r="O44" s="3106"/>
      <c r="P44" s="3106">
        <f t="shared" si="115"/>
        <v>2.8000000000000004E-3</v>
      </c>
      <c r="Q44" s="3104"/>
      <c r="R44" s="3115"/>
      <c r="S44" s="3115">
        <f>ROUND(IF(项目基本情况!$B$8="出让",SUMPRODUCT(PRODUCT(1+L44:L$46)),SUMPRODUCT(PRODUCT(1+L44:L$45))),4)</f>
        <v>1.0102</v>
      </c>
      <c r="T44" s="3115">
        <f>ROUND(IF(项目基本情况!$B$8="出让",SUMPRODUCT(PRODUCT(1+M44:M$46)),SUMPRODUCT(PRODUCT(1+M44:M$45))),4)</f>
        <v>1.0074000000000001</v>
      </c>
      <c r="U44" s="3115">
        <f>ROUND(IF(项目基本情况!$B$8="出让",SUMPRODUCT(PRODUCT(1+N44:N$46)),SUMPRODUCT(PRODUCT(1+N44:N$45))),4)</f>
        <v>1.0202</v>
      </c>
      <c r="V44" s="3115"/>
      <c r="W44" s="3115">
        <f t="shared" si="116"/>
        <v>1.0074000000000001</v>
      </c>
      <c r="X44" s="3104"/>
      <c r="Y44" s="3106"/>
      <c r="Z44" s="3124">
        <f t="shared" si="117"/>
        <v>4.5999999999999999E-3</v>
      </c>
      <c r="AA44" s="3125">
        <f t="shared" si="117"/>
        <v>4.1000000000000003E-3</v>
      </c>
      <c r="AB44" s="3106">
        <f t="shared" si="117"/>
        <v>0.01</v>
      </c>
      <c r="AC44" s="3126"/>
      <c r="AD44" s="3106">
        <f t="shared" si="117"/>
        <v>4.1000000000000003E-3</v>
      </c>
    </row>
    <row r="45" spans="1:30">
      <c r="A45" s="3087" t="s">
        <v>2787</v>
      </c>
      <c r="B45" s="3136">
        <v>2021</v>
      </c>
      <c r="C45" s="3137">
        <v>2</v>
      </c>
      <c r="D45" s="3137"/>
      <c r="E45" s="3137">
        <v>0.55000000000000004</v>
      </c>
      <c r="F45" s="3137">
        <v>0.46</v>
      </c>
      <c r="G45" s="3137">
        <v>1.1000000000000001</v>
      </c>
      <c r="H45" s="3143"/>
      <c r="I45" s="3138">
        <f t="shared" si="88"/>
        <v>0.46</v>
      </c>
      <c r="J45" s="3104"/>
      <c r="K45" s="3105"/>
      <c r="L45" s="3106">
        <f t="shared" si="89"/>
        <v>5.5000000000000005E-3</v>
      </c>
      <c r="M45" s="3106">
        <f t="shared" si="89"/>
        <v>4.5999999999999999E-3</v>
      </c>
      <c r="N45" s="3106">
        <f t="shared" si="89"/>
        <v>1.1000000000000001E-2</v>
      </c>
      <c r="O45" s="3106"/>
      <c r="P45" s="3106">
        <f t="shared" si="115"/>
        <v>4.5999999999999999E-3</v>
      </c>
      <c r="Q45" s="3104"/>
      <c r="R45" s="3115"/>
      <c r="S45" s="3115">
        <f>ROUND(IF(项目基本情况!$B$8="出让",SUMPRODUCT(PRODUCT(1+L45:L$46)),SUMPRODUCT(PRODUCT(1+L45:L$45))),4)</f>
        <v>1.0055000000000001</v>
      </c>
      <c r="T45" s="3115">
        <f>ROUND(IF(项目基本情况!$B$8="出让",SUMPRODUCT(PRODUCT(1+M45:M$46)),SUMPRODUCT(PRODUCT(1+M45:M$45))),4)</f>
        <v>1.0045999999999999</v>
      </c>
      <c r="U45" s="3115">
        <f>ROUND(IF(项目基本情况!$B$8="出让",SUMPRODUCT(PRODUCT(1+N45:N$46)),SUMPRODUCT(PRODUCT(1+N45:N$45))),4)</f>
        <v>1.0109999999999999</v>
      </c>
      <c r="V45" s="3115"/>
      <c r="W45" s="3115">
        <f t="shared" si="116"/>
        <v>1.0045999999999999</v>
      </c>
      <c r="X45" s="3104"/>
      <c r="Y45" s="3106"/>
      <c r="Z45" s="3124">
        <f t="shared" si="117"/>
        <v>4.4999999999999997E-3</v>
      </c>
      <c r="AA45" s="3125">
        <f t="shared" si="117"/>
        <v>4.7000000000000002E-3</v>
      </c>
      <c r="AB45" s="3106">
        <f t="shared" si="117"/>
        <v>1.04E-2</v>
      </c>
      <c r="AC45" s="3126"/>
      <c r="AD45" s="3106">
        <f t="shared" si="117"/>
        <v>4.7000000000000002E-3</v>
      </c>
    </row>
    <row r="46" spans="1:30" ht="14.25" thickBot="1">
      <c r="A46" s="3089" t="s">
        <v>2788</v>
      </c>
      <c r="B46" s="3144">
        <v>2021</v>
      </c>
      <c r="C46" s="3145">
        <v>1</v>
      </c>
      <c r="D46" s="3145"/>
      <c r="E46" s="3145">
        <v>0.35</v>
      </c>
      <c r="F46" s="3145">
        <v>0.48</v>
      </c>
      <c r="G46" s="3145">
        <v>0.98</v>
      </c>
      <c r="H46" s="3146"/>
      <c r="I46" s="3147">
        <f t="shared" si="88"/>
        <v>0.48</v>
      </c>
      <c r="J46" s="3110"/>
      <c r="K46" s="3111"/>
      <c r="L46" s="3112">
        <f t="shared" si="89"/>
        <v>3.4999999999999996E-3</v>
      </c>
      <c r="M46" s="3112">
        <f>F46/100</f>
        <v>4.7999999999999996E-3</v>
      </c>
      <c r="N46" s="3112">
        <f t="shared" si="89"/>
        <v>9.7999999999999997E-3</v>
      </c>
      <c r="O46" s="3112"/>
      <c r="P46" s="3112">
        <f t="shared" si="115"/>
        <v>4.7999999999999996E-3</v>
      </c>
      <c r="Q46" s="3110"/>
      <c r="R46" s="3119"/>
      <c r="S46" s="3119">
        <v>1</v>
      </c>
      <c r="T46" s="3119">
        <v>1</v>
      </c>
      <c r="U46" s="3119">
        <v>1</v>
      </c>
      <c r="V46" s="3119"/>
      <c r="W46" s="3119">
        <f t="shared" si="116"/>
        <v>1</v>
      </c>
      <c r="X46" s="3110"/>
      <c r="Y46" s="3112"/>
      <c r="Z46" s="3130">
        <f t="shared" si="117"/>
        <v>3.5000000000000001E-3</v>
      </c>
      <c r="AA46" s="3131">
        <f t="shared" si="117"/>
        <v>4.7999999999999996E-3</v>
      </c>
      <c r="AB46" s="3112">
        <f t="shared" si="117"/>
        <v>9.7999999999999997E-3</v>
      </c>
      <c r="AC46" s="3132"/>
      <c r="AD46" s="3112">
        <f t="shared" si="117"/>
        <v>4.7999999999999996E-3</v>
      </c>
    </row>
    <row r="47" spans="1:30" ht="14.25" thickTop="1"/>
    <row r="48" spans="1:30">
      <c r="A48" s="3388" t="s">
        <v>3271</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2209</v>
      </c>
      <c r="B1" s="2746"/>
      <c r="C1" s="2746"/>
      <c r="D1" s="2746"/>
      <c r="E1" s="2746"/>
      <c r="F1" s="2746"/>
      <c r="G1" s="2747"/>
      <c r="H1" s="2747"/>
      <c r="I1" s="2747"/>
      <c r="J1" s="2747"/>
      <c r="K1" s="2747"/>
      <c r="L1" s="2747"/>
      <c r="M1" s="2747"/>
      <c r="N1" s="2747"/>
    </row>
    <row r="2" spans="1:14" ht="14.25">
      <c r="A2" s="2752" t="s">
        <v>2204</v>
      </c>
      <c r="B2" s="2757">
        <f ca="1">SUMIF(B7:B14,"&lt;&gt;#ref!",B7:B14)</f>
        <v>0</v>
      </c>
      <c r="C2" s="2752" t="s">
        <v>2205</v>
      </c>
      <c r="D2" s="2749"/>
      <c r="E2" s="2749"/>
      <c r="F2" s="2749"/>
      <c r="G2" s="2747"/>
      <c r="H2" s="2747"/>
      <c r="I2" s="2747"/>
      <c r="J2" s="2747"/>
      <c r="K2" s="2747"/>
      <c r="L2" s="2747"/>
      <c r="M2" s="2747"/>
      <c r="N2" s="2747"/>
    </row>
    <row r="3" spans="1:14" ht="14.25">
      <c r="A3" s="2752" t="s">
        <v>2233</v>
      </c>
      <c r="B3" s="2757" t="e">
        <f ca="1">ROUND(B2*10000/E3,0)</f>
        <v>#DIV/0!</v>
      </c>
      <c r="C3" s="2752" t="s">
        <v>1596</v>
      </c>
      <c r="D3" s="2752" t="s">
        <v>2206</v>
      </c>
      <c r="E3" s="2750">
        <f ca="1">SUMIF(E7:E14,"&lt;&gt;#ref!",E7:E14)</f>
        <v>0</v>
      </c>
      <c r="F3" s="2749"/>
      <c r="G3" s="2747"/>
      <c r="H3" s="2747"/>
      <c r="I3" s="2747"/>
      <c r="J3" s="2747"/>
      <c r="K3" s="2747"/>
      <c r="L3" s="2747"/>
      <c r="M3" s="2747"/>
      <c r="N3" s="2747"/>
    </row>
    <row r="4" spans="1:14" ht="14.25">
      <c r="A4" s="2752" t="s">
        <v>2212</v>
      </c>
      <c r="B4" s="2757" t="e">
        <f ca="1">ROUND(B2*10000/E4,0)</f>
        <v>#DIV/0!</v>
      </c>
      <c r="C4" s="2752" t="s">
        <v>1596</v>
      </c>
      <c r="D4" s="2752" t="s">
        <v>2213</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2210</v>
      </c>
      <c r="B6" s="2752" t="s">
        <v>2207</v>
      </c>
      <c r="C6" s="2354"/>
      <c r="D6" s="2749"/>
      <c r="E6" s="2752" t="s">
        <v>2208</v>
      </c>
      <c r="F6" s="2752" t="s">
        <v>2211</v>
      </c>
      <c r="G6" s="2747"/>
      <c r="H6" s="2747"/>
      <c r="I6" s="2747"/>
      <c r="J6" s="2747"/>
      <c r="K6" s="2747"/>
      <c r="L6" s="2747"/>
      <c r="M6" s="2747"/>
      <c r="N6" s="2747"/>
    </row>
    <row r="7" spans="1:14" ht="14.25">
      <c r="A7" s="2755"/>
      <c r="B7" s="2757" t="e">
        <f ca="1">SUMIF(INDIRECT("'"&amp;A7&amp;"'"&amp;"!A:A"),"总价",INDIRECT("'"&amp;A7&amp;"'"&amp;"!B:B"))</f>
        <v>#REF!</v>
      </c>
      <c r="C7" s="2752" t="s">
        <v>2205</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2205</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2205</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2205</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2205</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2205</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2205</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2205</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2440</v>
      </c>
      <c r="B1" s="2816"/>
      <c r="C1" s="2829"/>
      <c r="D1" s="2829"/>
      <c r="E1" s="2817"/>
      <c r="F1" s="2818"/>
      <c r="G1" s="2819"/>
      <c r="J1" s="2822" t="s">
        <v>2297</v>
      </c>
      <c r="K1" s="2823"/>
      <c r="L1" s="2823"/>
      <c r="M1" s="2823"/>
      <c r="N1" s="2823"/>
      <c r="O1" s="2823"/>
      <c r="P1" s="2823"/>
      <c r="Q1" s="2823"/>
      <c r="R1" s="2824"/>
      <c r="S1" s="2825"/>
      <c r="T1" s="2825"/>
      <c r="U1" s="2825"/>
    </row>
    <row r="2" spans="1:22" s="2838" customFormat="1" ht="13.15" customHeight="1">
      <c r="A2" s="2827" t="s">
        <v>2298</v>
      </c>
      <c r="B2" s="2828" t="e">
        <f>C40</f>
        <v>#DIV/0!</v>
      </c>
      <c r="C2" s="2829" t="s">
        <v>2299</v>
      </c>
      <c r="D2" s="2829"/>
      <c r="E2" s="2830"/>
      <c r="F2" s="2831"/>
      <c r="G2" s="2832"/>
      <c r="H2" s="2833"/>
      <c r="I2" s="2834"/>
      <c r="J2" s="3785" t="s">
        <v>2300</v>
      </c>
      <c r="K2" s="3786"/>
      <c r="L2" s="2835" t="s">
        <v>2301</v>
      </c>
      <c r="M2" s="2835" t="s">
        <v>2302</v>
      </c>
      <c r="N2" s="2835" t="s">
        <v>2303</v>
      </c>
      <c r="O2" s="2835" t="s">
        <v>2304</v>
      </c>
      <c r="P2" s="2835" t="s">
        <v>2305</v>
      </c>
      <c r="Q2" s="2836" t="s">
        <v>2306</v>
      </c>
      <c r="R2" s="2837" t="s">
        <v>2307</v>
      </c>
      <c r="S2" s="2825"/>
      <c r="T2" s="2825"/>
      <c r="U2" s="2825"/>
      <c r="V2" s="2834"/>
    </row>
    <row r="3" spans="1:22" s="2838" customFormat="1" ht="13.15" customHeight="1">
      <c r="A3" s="2839" t="s">
        <v>2308</v>
      </c>
      <c r="B3" s="2840" t="e">
        <f>ROUND(B2*10000/B4,0)</f>
        <v>#DIV/0!</v>
      </c>
      <c r="C3" s="2829" t="s">
        <v>2309</v>
      </c>
      <c r="D3" s="2829"/>
      <c r="E3" s="2830"/>
      <c r="F3" s="2831"/>
      <c r="G3" s="2832"/>
      <c r="H3" s="2833"/>
      <c r="I3" s="2834"/>
      <c r="J3" s="3787" t="s">
        <v>2310</v>
      </c>
      <c r="K3" s="3788"/>
      <c r="L3" s="2841"/>
      <c r="M3" s="2841"/>
      <c r="N3" s="2841"/>
      <c r="O3" s="2841"/>
      <c r="P3" s="2841"/>
      <c r="Q3" s="2842"/>
      <c r="R3" s="2843">
        <f>SUM(L3:Q3)</f>
        <v>0</v>
      </c>
      <c r="S3" s="2825"/>
      <c r="T3" s="2825"/>
      <c r="U3" s="2825"/>
      <c r="V3" s="2834"/>
    </row>
    <row r="4" spans="1:22" s="2838" customFormat="1" ht="13.15" customHeight="1">
      <c r="A4" s="2844" t="s">
        <v>2311</v>
      </c>
      <c r="B4" s="2845"/>
      <c r="C4" s="2829"/>
      <c r="D4" s="2829"/>
      <c r="E4" s="2830"/>
      <c r="F4" s="2831"/>
      <c r="G4" s="2832"/>
      <c r="H4" s="2833"/>
      <c r="I4" s="2834"/>
      <c r="J4" s="3787" t="s">
        <v>2312</v>
      </c>
      <c r="K4" s="3788"/>
      <c r="L4" s="2846"/>
      <c r="M4" s="2846"/>
      <c r="N4" s="2846"/>
      <c r="O4" s="2846"/>
      <c r="P4" s="2846"/>
      <c r="Q4" s="2847"/>
      <c r="R4" s="2848">
        <f>SUM(L4:Q4)</f>
        <v>0</v>
      </c>
      <c r="S4" s="2825"/>
      <c r="T4" s="2825"/>
      <c r="U4" s="2825"/>
      <c r="V4" s="2834"/>
    </row>
    <row r="5" spans="1:22" s="2838" customFormat="1" ht="13.15" customHeight="1" thickBot="1">
      <c r="A5" s="2849" t="s">
        <v>2313</v>
      </c>
      <c r="B5" s="2850"/>
      <c r="C5" s="2829"/>
      <c r="D5" s="2851"/>
      <c r="E5" s="2831"/>
      <c r="F5" s="2831"/>
      <c r="G5" s="2832"/>
      <c r="H5" s="2833"/>
      <c r="I5" s="2834"/>
      <c r="J5" s="2852" t="s">
        <v>2314</v>
      </c>
      <c r="K5" s="2853"/>
      <c r="L5" s="2853"/>
      <c r="M5" s="2854"/>
      <c r="N5" s="2854"/>
      <c r="O5" s="2854"/>
      <c r="P5" s="2854"/>
      <c r="Q5" s="2854"/>
      <c r="R5" s="2837">
        <f>SUM(R14,R19,R24,R25,R27,R28)</f>
        <v>0</v>
      </c>
      <c r="S5" s="2825"/>
      <c r="T5" s="2825" t="s">
        <v>2315</v>
      </c>
      <c r="U5" s="2825" t="e">
        <f>ROUND(R5*10000/365/R3,1)</f>
        <v>#DIV/0!</v>
      </c>
      <c r="V5" s="2834"/>
    </row>
    <row r="6" spans="1:22" s="2838" customFormat="1" ht="13.15" customHeight="1" thickBot="1">
      <c r="A6" s="3789" t="s">
        <v>2316</v>
      </c>
      <c r="B6" s="3790"/>
      <c r="C6" s="3791"/>
      <c r="D6" s="2855"/>
      <c r="E6" s="2856"/>
      <c r="F6" s="2857"/>
      <c r="G6" s="2858"/>
      <c r="H6" s="2833"/>
      <c r="I6" s="2834"/>
      <c r="J6" s="3792">
        <v>1</v>
      </c>
      <c r="K6" s="3793" t="s">
        <v>2317</v>
      </c>
      <c r="L6" s="2859" t="s">
        <v>2318</v>
      </c>
      <c r="M6" s="2860" t="s">
        <v>2319</v>
      </c>
      <c r="N6" s="2860" t="s">
        <v>2320</v>
      </c>
      <c r="O6" s="2860" t="s">
        <v>2321</v>
      </c>
      <c r="P6" s="2860" t="s">
        <v>2322</v>
      </c>
      <c r="Q6" s="2860" t="s">
        <v>2323</v>
      </c>
      <c r="R6" s="2843" t="s">
        <v>2324</v>
      </c>
      <c r="S6" s="2825"/>
      <c r="T6" s="2825" t="s">
        <v>2325</v>
      </c>
      <c r="U6" s="2825"/>
      <c r="V6" s="2834"/>
    </row>
    <row r="7" spans="1:22" s="2838" customFormat="1" ht="13.15" customHeight="1">
      <c r="A7" s="2861" t="s">
        <v>2326</v>
      </c>
      <c r="B7" s="2862"/>
      <c r="C7" s="2863"/>
      <c r="D7" s="2864">
        <f>SUM(D9,D10,D11,D17,0)</f>
        <v>0</v>
      </c>
      <c r="E7" s="2865" t="e">
        <f>E9+E10+E11+E17</f>
        <v>#DIV/0!</v>
      </c>
      <c r="F7" s="2866"/>
      <c r="G7" s="2867"/>
      <c r="H7" s="2833"/>
      <c r="I7" s="2834"/>
      <c r="J7" s="3792"/>
      <c r="K7" s="3794"/>
      <c r="L7" s="2868" t="s">
        <v>2327</v>
      </c>
      <c r="M7" s="2869"/>
      <c r="N7" s="2845"/>
      <c r="O7" s="2870"/>
      <c r="P7" s="2870"/>
      <c r="Q7" s="2871">
        <v>365</v>
      </c>
      <c r="R7" s="2872">
        <f>ROUND(M7*N7*O7*P7*Q7/10000,0)</f>
        <v>0</v>
      </c>
      <c r="S7" s="2825"/>
      <c r="T7" s="2825" t="s">
        <v>2328</v>
      </c>
      <c r="U7" s="2825"/>
      <c r="V7" s="2834"/>
    </row>
    <row r="8" spans="1:22" s="2838" customFormat="1" ht="13.15" customHeight="1">
      <c r="A8" s="2873" t="s">
        <v>2329</v>
      </c>
      <c r="B8" s="3796" t="s">
        <v>2330</v>
      </c>
      <c r="C8" s="3797"/>
      <c r="D8" s="2874" t="s">
        <v>2331</v>
      </c>
      <c r="E8" s="2875" t="s">
        <v>2332</v>
      </c>
      <c r="F8" s="2876" t="s">
        <v>2333</v>
      </c>
      <c r="G8" s="2877"/>
      <c r="H8" s="2833"/>
      <c r="I8" s="2834"/>
      <c r="J8" s="3792"/>
      <c r="K8" s="3794"/>
      <c r="L8" s="2868" t="s">
        <v>2334</v>
      </c>
      <c r="M8" s="2869"/>
      <c r="N8" s="2845"/>
      <c r="O8" s="2870"/>
      <c r="P8" s="2870"/>
      <c r="Q8" s="2871">
        <v>365</v>
      </c>
      <c r="R8" s="2872">
        <f t="shared" ref="R8:R13" si="0">ROUND(M8*N8*O8*P8*Q8/10000,0)</f>
        <v>0</v>
      </c>
      <c r="S8" s="2825"/>
      <c r="T8" s="2825" t="s">
        <v>2335</v>
      </c>
      <c r="U8" s="2825"/>
      <c r="V8" s="2834"/>
    </row>
    <row r="9" spans="1:22" s="2838" customFormat="1" ht="13.15" customHeight="1">
      <c r="A9" s="2873">
        <v>1</v>
      </c>
      <c r="B9" s="3796" t="s">
        <v>2336</v>
      </c>
      <c r="C9" s="3797"/>
      <c r="D9" s="2874">
        <f>ROUND(D6*E9,0)</f>
        <v>0</v>
      </c>
      <c r="E9" s="2878"/>
      <c r="F9" s="2879" t="s">
        <v>2337</v>
      </c>
      <c r="G9" s="2858"/>
      <c r="H9" s="2833"/>
      <c r="I9" s="2834"/>
      <c r="J9" s="3792"/>
      <c r="K9" s="3794"/>
      <c r="L9" s="2868" t="s">
        <v>2338</v>
      </c>
      <c r="M9" s="2869"/>
      <c r="N9" s="2845"/>
      <c r="O9" s="2870"/>
      <c r="P9" s="2870"/>
      <c r="Q9" s="2871">
        <v>365</v>
      </c>
      <c r="R9" s="2872">
        <f t="shared" si="0"/>
        <v>0</v>
      </c>
      <c r="S9" s="2825"/>
      <c r="T9" s="2825"/>
      <c r="U9" s="2825"/>
      <c r="V9" s="2834"/>
    </row>
    <row r="10" spans="1:22" s="2838" customFormat="1" ht="13.15" customHeight="1">
      <c r="A10" s="2873">
        <v>2</v>
      </c>
      <c r="B10" s="3796" t="s">
        <v>2339</v>
      </c>
      <c r="C10" s="3797"/>
      <c r="D10" s="2874">
        <f>ROUND(D6*E10,0)</f>
        <v>0</v>
      </c>
      <c r="E10" s="2878"/>
      <c r="F10" s="2879" t="s">
        <v>2340</v>
      </c>
      <c r="G10" s="2858"/>
      <c r="H10" s="2833"/>
      <c r="I10" s="2834"/>
      <c r="J10" s="3792"/>
      <c r="K10" s="3794"/>
      <c r="L10" s="2868" t="s">
        <v>2341</v>
      </c>
      <c r="M10" s="2869"/>
      <c r="N10" s="2845"/>
      <c r="O10" s="2870"/>
      <c r="P10" s="2870"/>
      <c r="Q10" s="2871">
        <v>365</v>
      </c>
      <c r="R10" s="2872">
        <f t="shared" si="0"/>
        <v>0</v>
      </c>
      <c r="S10" s="2825"/>
      <c r="T10" s="2825"/>
      <c r="U10" s="2825"/>
      <c r="V10" s="2834"/>
    </row>
    <row r="11" spans="1:22" s="2838" customFormat="1" ht="13.15" customHeight="1">
      <c r="A11" s="2873">
        <v>3</v>
      </c>
      <c r="B11" s="3796" t="s">
        <v>2342</v>
      </c>
      <c r="C11" s="3797"/>
      <c r="D11" s="2874">
        <f>D12+D14+D15+D16</f>
        <v>0</v>
      </c>
      <c r="E11" s="2880" t="e">
        <f>D11/D6</f>
        <v>#DIV/0!</v>
      </c>
      <c r="F11" s="2876"/>
      <c r="G11" s="2877"/>
      <c r="H11" s="2833"/>
      <c r="I11" s="2834"/>
      <c r="J11" s="3792"/>
      <c r="K11" s="3794"/>
      <c r="L11" s="2868" t="s">
        <v>2343</v>
      </c>
      <c r="M11" s="2869"/>
      <c r="N11" s="2845"/>
      <c r="O11" s="2870"/>
      <c r="P11" s="2870"/>
      <c r="Q11" s="2871">
        <v>365</v>
      </c>
      <c r="R11" s="2872">
        <f t="shared" si="0"/>
        <v>0</v>
      </c>
      <c r="S11" s="2825"/>
      <c r="T11" s="2825"/>
      <c r="U11" s="2825"/>
      <c r="V11" s="2834"/>
    </row>
    <row r="12" spans="1:22" s="2838" customFormat="1" ht="13.15" customHeight="1">
      <c r="A12" s="2881" t="s">
        <v>2344</v>
      </c>
      <c r="B12" s="3798" t="s">
        <v>2345</v>
      </c>
      <c r="C12" s="3799"/>
      <c r="D12" s="2882">
        <f>ROUND(D13*1.2%*(1-30%),0)</f>
        <v>0</v>
      </c>
      <c r="E12" s="2883">
        <v>1.2E-2</v>
      </c>
      <c r="F12" s="2876" t="s">
        <v>2346</v>
      </c>
      <c r="G12" s="2877"/>
      <c r="H12" s="2833"/>
      <c r="I12" s="2834"/>
      <c r="J12" s="3792"/>
      <c r="K12" s="3794"/>
      <c r="L12" s="2868" t="s">
        <v>2347</v>
      </c>
      <c r="M12" s="2869"/>
      <c r="N12" s="2845"/>
      <c r="O12" s="2870"/>
      <c r="P12" s="2870"/>
      <c r="Q12" s="2871">
        <v>365</v>
      </c>
      <c r="R12" s="2872">
        <f t="shared" si="0"/>
        <v>0</v>
      </c>
      <c r="S12" s="2825"/>
      <c r="T12" s="2825"/>
      <c r="U12" s="2825"/>
      <c r="V12" s="2834"/>
    </row>
    <row r="13" spans="1:22" s="2838" customFormat="1" ht="13.15" customHeight="1">
      <c r="A13" s="2881"/>
      <c r="B13" s="2884"/>
      <c r="C13" s="2885" t="s">
        <v>2348</v>
      </c>
      <c r="D13" s="2886"/>
      <c r="E13" s="2887"/>
      <c r="F13" s="2876"/>
      <c r="G13" s="2877"/>
      <c r="H13" s="2833"/>
      <c r="I13" s="2834"/>
      <c r="J13" s="3792"/>
      <c r="K13" s="3794"/>
      <c r="L13" s="2868" t="s">
        <v>2349</v>
      </c>
      <c r="M13" s="2869"/>
      <c r="N13" s="2845"/>
      <c r="O13" s="2870"/>
      <c r="P13" s="2870"/>
      <c r="Q13" s="2871">
        <v>365</v>
      </c>
      <c r="R13" s="2872">
        <f t="shared" si="0"/>
        <v>0</v>
      </c>
      <c r="S13" s="2825"/>
      <c r="T13" s="2825"/>
      <c r="U13" s="2825"/>
      <c r="V13" s="2834"/>
    </row>
    <row r="14" spans="1:22" s="2838" customFormat="1" ht="13.15" customHeight="1">
      <c r="A14" s="2881" t="s">
        <v>2350</v>
      </c>
      <c r="B14" s="3798" t="s">
        <v>2351</v>
      </c>
      <c r="C14" s="3799"/>
      <c r="D14" s="2882">
        <f>ROUND(E14*B5/10000,0)</f>
        <v>0</v>
      </c>
      <c r="E14" s="2871"/>
      <c r="F14" s="2876" t="s">
        <v>2352</v>
      </c>
      <c r="G14" s="2877"/>
      <c r="H14" s="2833"/>
      <c r="I14" s="2834"/>
      <c r="J14" s="3792"/>
      <c r="K14" s="3795"/>
      <c r="L14" s="2888" t="s">
        <v>2353</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2354</v>
      </c>
      <c r="B15" s="3798" t="s">
        <v>2355</v>
      </c>
      <c r="C15" s="3799"/>
      <c r="D15" s="2882">
        <f>ROUND(D6*E15,0)</f>
        <v>0</v>
      </c>
      <c r="E15" s="2883">
        <v>5.5E-2</v>
      </c>
      <c r="F15" s="2876" t="s">
        <v>2356</v>
      </c>
      <c r="G15" s="2858"/>
      <c r="H15" s="2833"/>
      <c r="I15" s="2834"/>
      <c r="J15" s="3792">
        <v>2</v>
      </c>
      <c r="K15" s="3793" t="s">
        <v>2357</v>
      </c>
      <c r="L15" s="2868" t="s">
        <v>2358</v>
      </c>
      <c r="M15" s="2869" t="s">
        <v>2359</v>
      </c>
      <c r="N15" s="2869" t="s">
        <v>2360</v>
      </c>
      <c r="O15" s="2870" t="s">
        <v>2361</v>
      </c>
      <c r="P15" s="2870" t="s">
        <v>2362</v>
      </c>
      <c r="Q15" s="2845" t="s">
        <v>2363</v>
      </c>
      <c r="R15" s="2892" t="s">
        <v>2364</v>
      </c>
      <c r="S15" s="2825"/>
      <c r="T15" s="2825"/>
      <c r="U15" s="2825"/>
      <c r="V15" s="2834"/>
    </row>
    <row r="16" spans="1:22" s="2838" customFormat="1" ht="13.15" customHeight="1">
      <c r="A16" s="2881" t="s">
        <v>2365</v>
      </c>
      <c r="B16" s="3798" t="s">
        <v>2366</v>
      </c>
      <c r="C16" s="3799"/>
      <c r="D16" s="2893">
        <f>D6*E16</f>
        <v>0</v>
      </c>
      <c r="E16" s="2894"/>
      <c r="F16" s="2879" t="s">
        <v>2367</v>
      </c>
      <c r="G16" s="2858"/>
      <c r="H16" s="2833"/>
      <c r="I16" s="2834"/>
      <c r="J16" s="3792"/>
      <c r="K16" s="3794"/>
      <c r="L16" s="2868" t="s">
        <v>2368</v>
      </c>
      <c r="M16" s="2869"/>
      <c r="N16" s="2869"/>
      <c r="O16" s="2870"/>
      <c r="P16" s="2871">
        <v>365</v>
      </c>
      <c r="Q16" s="2845"/>
      <c r="R16" s="2892">
        <f>ROUND(M16*N16*O16*P16/10000,0)</f>
        <v>0</v>
      </c>
      <c r="S16" s="2825"/>
      <c r="T16" s="2825"/>
      <c r="U16" s="2825"/>
      <c r="V16" s="2834"/>
    </row>
    <row r="17" spans="1:22" s="2838" customFormat="1" ht="13.15" customHeight="1" thickBot="1">
      <c r="A17" s="2895">
        <v>4</v>
      </c>
      <c r="B17" s="3800" t="s">
        <v>2369</v>
      </c>
      <c r="C17" s="3801"/>
      <c r="D17" s="2896">
        <f>ROUND(D6*E17,0)</f>
        <v>0</v>
      </c>
      <c r="E17" s="2897"/>
      <c r="F17" s="2898" t="s">
        <v>2370</v>
      </c>
      <c r="G17" s="2858"/>
      <c r="H17" s="2833"/>
      <c r="I17" s="2834"/>
      <c r="J17" s="3792"/>
      <c r="K17" s="3794"/>
      <c r="L17" s="2868" t="s">
        <v>2371</v>
      </c>
      <c r="M17" s="2869"/>
      <c r="N17" s="2869"/>
      <c r="O17" s="2870"/>
      <c r="P17" s="2871">
        <v>365</v>
      </c>
      <c r="Q17" s="2845"/>
      <c r="R17" s="2892">
        <f>ROUND(M17*N17*O17*P17/10000,0)</f>
        <v>0</v>
      </c>
      <c r="S17" s="2825"/>
      <c r="T17" s="2825"/>
      <c r="U17" s="2825"/>
      <c r="V17" s="2834"/>
    </row>
    <row r="18" spans="1:22" s="2838" customFormat="1" ht="13.15" customHeight="1" thickBot="1">
      <c r="A18" s="2861" t="s">
        <v>2372</v>
      </c>
      <c r="B18" s="2862"/>
      <c r="C18" s="2862"/>
      <c r="D18" s="2899">
        <f>ROUND(D6*E18,0)</f>
        <v>0</v>
      </c>
      <c r="E18" s="2900"/>
      <c r="F18" s="2901" t="s">
        <v>2373</v>
      </c>
      <c r="G18" s="2858"/>
      <c r="H18" s="2833"/>
      <c r="I18" s="2834"/>
      <c r="J18" s="3792"/>
      <c r="K18" s="3794"/>
      <c r="L18" s="2868" t="s">
        <v>2374</v>
      </c>
      <c r="M18" s="2869"/>
      <c r="N18" s="2869"/>
      <c r="O18" s="2870"/>
      <c r="P18" s="2871">
        <v>365</v>
      </c>
      <c r="Q18" s="2845"/>
      <c r="R18" s="2892">
        <f>ROUND(M18*N18*O18*P18/10000,0)</f>
        <v>0</v>
      </c>
      <c r="S18" s="2825"/>
      <c r="T18" s="2825"/>
      <c r="U18" s="2825"/>
      <c r="V18" s="2834"/>
    </row>
    <row r="19" spans="1:22" s="2838" customFormat="1" ht="13.15" customHeight="1" thickBot="1">
      <c r="A19" s="2902" t="s">
        <v>2375</v>
      </c>
      <c r="B19" s="2856"/>
      <c r="C19" s="2856"/>
      <c r="D19" s="2856"/>
      <c r="E19" s="2856"/>
      <c r="F19" s="2857"/>
      <c r="G19" s="2877"/>
      <c r="H19" s="2833"/>
      <c r="I19" s="2834"/>
      <c r="J19" s="3792"/>
      <c r="K19" s="3795"/>
      <c r="L19" s="2888" t="s">
        <v>2353</v>
      </c>
      <c r="M19" s="2889"/>
      <c r="N19" s="2889">
        <f>SUM(N16:N18)</f>
        <v>0</v>
      </c>
      <c r="O19" s="2890"/>
      <c r="P19" s="2903" t="s">
        <v>2441</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92">
        <v>3</v>
      </c>
      <c r="K20" s="3793" t="s">
        <v>2376</v>
      </c>
      <c r="L20" s="2868" t="s">
        <v>2377</v>
      </c>
      <c r="M20" s="2869" t="s">
        <v>2378</v>
      </c>
      <c r="N20" s="2906" t="s">
        <v>2379</v>
      </c>
      <c r="O20" s="2870" t="s">
        <v>2380</v>
      </c>
      <c r="P20" s="2871" t="s">
        <v>2381</v>
      </c>
      <c r="Q20" s="2845" t="s">
        <v>2382</v>
      </c>
      <c r="R20" s="2892" t="s">
        <v>2324</v>
      </c>
      <c r="S20" s="2825"/>
      <c r="T20" s="2825"/>
      <c r="U20" s="2825"/>
      <c r="V20" s="2834"/>
    </row>
    <row r="21" spans="1:22" s="2838" customFormat="1" ht="13.15" customHeight="1">
      <c r="A21" s="2861"/>
      <c r="B21" s="2862"/>
      <c r="C21" s="2907" t="s">
        <v>2383</v>
      </c>
      <c r="D21" s="2908" t="s">
        <v>2384</v>
      </c>
      <c r="E21" s="2909" t="s">
        <v>2385</v>
      </c>
      <c r="F21" s="2905"/>
      <c r="G21" s="2877"/>
      <c r="H21" s="2833"/>
      <c r="I21" s="2834"/>
      <c r="J21" s="3792"/>
      <c r="K21" s="3794"/>
      <c r="L21" s="2868" t="s">
        <v>2386</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2387</v>
      </c>
      <c r="D22" s="2912" t="s">
        <v>2388</v>
      </c>
      <c r="E22" s="2913" t="s">
        <v>2389</v>
      </c>
      <c r="F22" s="2905"/>
      <c r="G22" s="2825"/>
      <c r="H22" s="2833"/>
      <c r="I22" s="2834"/>
      <c r="J22" s="3792"/>
      <c r="K22" s="3794"/>
      <c r="L22" s="2868" t="s">
        <v>2390</v>
      </c>
      <c r="M22" s="2869"/>
      <c r="N22" s="2869"/>
      <c r="O22" s="2870"/>
      <c r="P22" s="2871">
        <v>365</v>
      </c>
      <c r="Q22" s="2845"/>
      <c r="R22" s="2910">
        <f>ROUND(M22*N22*O22*P22/10000,0)</f>
        <v>0</v>
      </c>
      <c r="S22" s="2825"/>
      <c r="T22" s="2825"/>
      <c r="U22" s="2825"/>
      <c r="V22" s="2834"/>
    </row>
    <row r="23" spans="1:22" s="2838" customFormat="1" ht="13.15" customHeight="1">
      <c r="A23" s="2914">
        <v>1</v>
      </c>
      <c r="B23" s="2915" t="s">
        <v>2391</v>
      </c>
      <c r="C23" s="2916">
        <f>D6</f>
        <v>0</v>
      </c>
      <c r="D23" s="2917">
        <f>C23*(1+D24)</f>
        <v>0</v>
      </c>
      <c r="E23" s="2918">
        <f>D23*(1+E24)</f>
        <v>0</v>
      </c>
      <c r="F23" s="2919"/>
      <c r="G23" s="2920"/>
      <c r="H23" s="2833"/>
      <c r="I23" s="2834"/>
      <c r="J23" s="3792"/>
      <c r="K23" s="3794"/>
      <c r="L23" s="2868" t="s">
        <v>2392</v>
      </c>
      <c r="M23" s="2869"/>
      <c r="N23" s="2869"/>
      <c r="O23" s="2870"/>
      <c r="P23" s="2871">
        <v>365</v>
      </c>
      <c r="Q23" s="2845"/>
      <c r="R23" s="2910">
        <f>ROUND(M23*N23*O23*P23/10000,0)</f>
        <v>0</v>
      </c>
      <c r="S23" s="2825"/>
      <c r="T23" s="2825"/>
      <c r="U23" s="2825"/>
      <c r="V23" s="2834"/>
    </row>
    <row r="24" spans="1:22" s="2838" customFormat="1" ht="13.15" customHeight="1">
      <c r="A24" s="2921"/>
      <c r="B24" s="2922" t="s">
        <v>2393</v>
      </c>
      <c r="C24" s="2923"/>
      <c r="D24" s="2924"/>
      <c r="E24" s="2925"/>
      <c r="F24" s="2926"/>
      <c r="G24" s="2920"/>
      <c r="H24" s="2833"/>
      <c r="I24" s="2834"/>
      <c r="J24" s="3792"/>
      <c r="K24" s="3795"/>
      <c r="L24" s="2888" t="s">
        <v>2353</v>
      </c>
      <c r="M24" s="2889">
        <f>SUM(M21:M23)</f>
        <v>0</v>
      </c>
      <c r="N24" s="2889"/>
      <c r="O24" s="2890"/>
      <c r="P24" s="2903" t="s">
        <v>2441</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2394</v>
      </c>
      <c r="L25" s="2929"/>
      <c r="M25" s="2929"/>
      <c r="N25" s="2929"/>
      <c r="O25" s="2929"/>
      <c r="P25" s="2930"/>
      <c r="Q25" s="2931"/>
      <c r="R25" s="2904">
        <f>ROUND(R14*Q25,0)</f>
        <v>0</v>
      </c>
      <c r="S25" s="2825"/>
      <c r="T25" s="2825"/>
      <c r="U25" s="2825"/>
      <c r="V25" s="2932"/>
    </row>
    <row r="26" spans="1:22" s="2933" customFormat="1" ht="13.15" customHeight="1">
      <c r="A26" s="2914">
        <v>2</v>
      </c>
      <c r="B26" s="2915" t="s">
        <v>2395</v>
      </c>
      <c r="C26" s="2916">
        <f>D7</f>
        <v>0</v>
      </c>
      <c r="D26" s="2917">
        <f>D23*D27</f>
        <v>0</v>
      </c>
      <c r="E26" s="2918">
        <f>E23*E27</f>
        <v>0</v>
      </c>
      <c r="F26" s="2919"/>
      <c r="G26" s="2920"/>
      <c r="H26" s="2833"/>
      <c r="I26" s="2834"/>
      <c r="J26" s="3802">
        <v>5</v>
      </c>
      <c r="K26" s="2934" t="s">
        <v>2396</v>
      </c>
      <c r="L26" s="2935"/>
      <c r="M26" s="2936"/>
      <c r="N26" s="2937" t="s">
        <v>2397</v>
      </c>
      <c r="O26" s="2937" t="s">
        <v>2398</v>
      </c>
      <c r="P26" s="2938" t="s">
        <v>2399</v>
      </c>
      <c r="Q26" s="2938" t="s">
        <v>2400</v>
      </c>
      <c r="R26" s="2843" t="s">
        <v>2401</v>
      </c>
      <c r="S26" s="2877"/>
      <c r="T26" s="2877"/>
      <c r="U26" s="2877"/>
      <c r="V26" s="2932"/>
    </row>
    <row r="27" spans="1:22" s="2838" customFormat="1" ht="13.15" customHeight="1">
      <c r="A27" s="2921"/>
      <c r="B27" s="2922" t="s">
        <v>2402</v>
      </c>
      <c r="C27" s="2939" t="e">
        <f>E7</f>
        <v>#DIV/0!</v>
      </c>
      <c r="D27" s="2924"/>
      <c r="E27" s="2925"/>
      <c r="F27" s="2926"/>
      <c r="G27" s="2920"/>
      <c r="H27" s="2940"/>
      <c r="I27" s="2932"/>
      <c r="J27" s="3803"/>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2403</v>
      </c>
      <c r="F28" s="2926"/>
      <c r="G28" s="2825"/>
      <c r="H28" s="2940"/>
      <c r="I28" s="2932"/>
      <c r="J28" s="2946">
        <v>6</v>
      </c>
      <c r="K28" s="2947" t="s">
        <v>2404</v>
      </c>
      <c r="L28" s="2948" t="s">
        <v>2405</v>
      </c>
      <c r="M28" s="2949"/>
      <c r="N28" s="2948" t="s">
        <v>2406</v>
      </c>
      <c r="O28" s="2950"/>
      <c r="P28" s="2948" t="s">
        <v>2407</v>
      </c>
      <c r="Q28" s="2951">
        <v>1.4999999999999999E-2</v>
      </c>
      <c r="R28" s="2952"/>
      <c r="S28" s="2825"/>
      <c r="T28" s="2825"/>
      <c r="U28" s="2825"/>
      <c r="V28" s="2932"/>
    </row>
    <row r="29" spans="1:22" s="2933" customFormat="1" ht="13.15" customHeight="1">
      <c r="A29" s="2914">
        <v>3</v>
      </c>
      <c r="B29" s="2915" t="s">
        <v>2408</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2409</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2410</v>
      </c>
      <c r="K31" s="2823"/>
      <c r="L31" s="2823"/>
      <c r="M31" s="2823"/>
      <c r="N31" s="2823"/>
      <c r="O31" s="2823"/>
      <c r="P31" s="2823"/>
      <c r="Q31" s="2823"/>
      <c r="R31" s="2824"/>
      <c r="S31" s="2825"/>
      <c r="T31" s="2825"/>
      <c r="U31" s="2825"/>
      <c r="V31" s="2932"/>
    </row>
    <row r="32" spans="1:22" s="2933" customFormat="1" ht="13.15" customHeight="1">
      <c r="A32" s="2914">
        <v>4</v>
      </c>
      <c r="B32" s="2915" t="s">
        <v>2411</v>
      </c>
      <c r="C32" s="2916">
        <f>C23-C26-C29</f>
        <v>0</v>
      </c>
      <c r="D32" s="2917">
        <f>D23-D26-D29</f>
        <v>0</v>
      </c>
      <c r="E32" s="2918">
        <f>E23-E26-E29</f>
        <v>0</v>
      </c>
      <c r="F32" s="2919"/>
      <c r="G32" s="2825"/>
      <c r="H32" s="2833"/>
      <c r="I32" s="2834"/>
      <c r="J32" s="3785" t="s">
        <v>2412</v>
      </c>
      <c r="K32" s="3786"/>
      <c r="L32" s="2835" t="s">
        <v>2413</v>
      </c>
      <c r="M32" s="2835" t="s">
        <v>2302</v>
      </c>
      <c r="N32" s="2835" t="s">
        <v>2303</v>
      </c>
      <c r="O32" s="2835" t="s">
        <v>2304</v>
      </c>
      <c r="P32" s="2835" t="s">
        <v>2305</v>
      </c>
      <c r="Q32" s="2836" t="s">
        <v>2414</v>
      </c>
      <c r="R32" s="2955" t="s">
        <v>2415</v>
      </c>
      <c r="S32" s="2825"/>
      <c r="T32" s="2825"/>
      <c r="U32" s="2825"/>
      <c r="V32" s="2932"/>
    </row>
    <row r="33" spans="1:23" s="2838" customFormat="1" ht="13.15" customHeight="1">
      <c r="A33" s="2914"/>
      <c r="B33" s="2915"/>
      <c r="C33" s="2916"/>
      <c r="D33" s="2956"/>
      <c r="E33" s="2957"/>
      <c r="F33" s="2919"/>
      <c r="G33" s="2825"/>
      <c r="H33" s="2940"/>
      <c r="I33" s="2932"/>
      <c r="J33" s="3787" t="s">
        <v>2416</v>
      </c>
      <c r="K33" s="3788"/>
      <c r="L33" s="2841"/>
      <c r="M33" s="2841"/>
      <c r="N33" s="2841"/>
      <c r="O33" s="2841"/>
      <c r="P33" s="2841"/>
      <c r="Q33" s="2842"/>
      <c r="R33" s="2958">
        <f>SUM(L33:Q33)</f>
        <v>0</v>
      </c>
      <c r="S33" s="2825"/>
      <c r="T33" s="2825"/>
      <c r="U33" s="2825"/>
      <c r="V33" s="2834"/>
    </row>
    <row r="34" spans="1:23" s="2838" customFormat="1" ht="13.15" customHeight="1">
      <c r="A34" s="2914">
        <v>5</v>
      </c>
      <c r="B34" s="2915" t="s">
        <v>2417</v>
      </c>
      <c r="C34" s="2959"/>
      <c r="D34" s="2960"/>
      <c r="E34" s="2961"/>
      <c r="F34" s="2919"/>
      <c r="G34" s="2825"/>
      <c r="H34" s="2940"/>
      <c r="I34" s="2932"/>
      <c r="J34" s="3787" t="s">
        <v>2418</v>
      </c>
      <c r="K34" s="3788"/>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2419</v>
      </c>
      <c r="C35" s="2963"/>
      <c r="D35" s="2964"/>
      <c r="E35" s="2965"/>
      <c r="F35" s="2919"/>
      <c r="G35" s="2966"/>
      <c r="H35" s="2833"/>
      <c r="I35" s="2932"/>
      <c r="J35" s="2852" t="s">
        <v>2420</v>
      </c>
      <c r="K35" s="2853"/>
      <c r="L35" s="2853"/>
      <c r="M35" s="2854"/>
      <c r="N35" s="2854"/>
      <c r="O35" s="2854"/>
      <c r="P35" s="2854"/>
      <c r="Q35" s="2854"/>
      <c r="R35" s="2967">
        <f>R40+R41+R43</f>
        <v>0</v>
      </c>
      <c r="S35" s="2825"/>
      <c r="T35" s="2825" t="s">
        <v>2421</v>
      </c>
      <c r="U35" s="2825"/>
      <c r="V35" s="2834"/>
    </row>
    <row r="36" spans="1:23" s="2838" customFormat="1" ht="13.15" customHeight="1" thickBot="1">
      <c r="A36" s="2914">
        <v>7</v>
      </c>
      <c r="B36" s="2968" t="s">
        <v>2422</v>
      </c>
      <c r="C36" s="2969"/>
      <c r="D36" s="2970"/>
      <c r="E36" s="2971"/>
      <c r="F36" s="2972">
        <f>C36+D36+E36</f>
        <v>0</v>
      </c>
      <c r="G36" s="2825"/>
      <c r="H36" s="2833"/>
      <c r="I36" s="2834"/>
      <c r="J36" s="3792">
        <v>1</v>
      </c>
      <c r="K36" s="3793" t="s">
        <v>2423</v>
      </c>
      <c r="L36" s="2859"/>
      <c r="M36" s="2860"/>
      <c r="N36" s="2860"/>
      <c r="O36" s="2860"/>
      <c r="P36" s="2860"/>
      <c r="Q36" s="2860"/>
      <c r="R36" s="2843" t="s">
        <v>2324</v>
      </c>
      <c r="S36" s="2825"/>
      <c r="T36" s="2825" t="s">
        <v>2325</v>
      </c>
      <c r="U36" s="2825"/>
      <c r="V36" s="2834"/>
    </row>
    <row r="37" spans="1:23" s="2838" customFormat="1" ht="13.15" customHeight="1">
      <c r="A37" s="2914"/>
      <c r="B37" s="2915"/>
      <c r="C37" s="2915"/>
      <c r="D37" s="2915"/>
      <c r="E37" s="2915"/>
      <c r="F37" s="2919"/>
      <c r="G37" s="2825"/>
      <c r="H37" s="2833"/>
      <c r="I37" s="2834"/>
      <c r="J37" s="3792"/>
      <c r="K37" s="3794"/>
      <c r="L37" s="2868"/>
      <c r="M37" s="2869"/>
      <c r="N37" s="2845"/>
      <c r="O37" s="2870"/>
      <c r="P37" s="2870"/>
      <c r="Q37" s="2871"/>
      <c r="R37" s="2872"/>
      <c r="S37" s="2825"/>
      <c r="T37" s="2825" t="s">
        <v>2328</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92"/>
      <c r="K38" s="3794"/>
      <c r="L38" s="2868"/>
      <c r="M38" s="2869"/>
      <c r="N38" s="2845"/>
      <c r="O38" s="2870"/>
      <c r="P38" s="2870"/>
      <c r="Q38" s="2871"/>
      <c r="R38" s="2872"/>
      <c r="S38" s="2825"/>
      <c r="T38" s="2825" t="s">
        <v>2335</v>
      </c>
      <c r="U38" s="2825"/>
      <c r="V38" s="2834"/>
    </row>
    <row r="39" spans="1:23" s="2838" customFormat="1" ht="13.15" customHeight="1">
      <c r="A39" s="2914">
        <v>9</v>
      </c>
      <c r="B39" s="2915" t="s">
        <v>2424</v>
      </c>
      <c r="C39" s="2882" t="e">
        <f>C38</f>
        <v>#DIV/0!</v>
      </c>
      <c r="D39" s="2915">
        <f>D38/(1+D34)^C36</f>
        <v>0</v>
      </c>
      <c r="E39" s="2915">
        <f>E38/(1+E34)^(C36+D36)</f>
        <v>0</v>
      </c>
      <c r="F39" s="2919"/>
      <c r="G39" s="2834"/>
      <c r="H39" s="2833"/>
      <c r="I39" s="2834"/>
      <c r="J39" s="3792"/>
      <c r="K39" s="3794"/>
      <c r="L39" s="2868"/>
      <c r="M39" s="2869"/>
      <c r="N39" s="2845"/>
      <c r="O39" s="2870"/>
      <c r="P39" s="2870"/>
      <c r="Q39" s="2871"/>
      <c r="R39" s="2872"/>
      <c r="S39" s="2825"/>
      <c r="T39" s="2825"/>
      <c r="U39" s="2825"/>
      <c r="V39" s="2834"/>
    </row>
    <row r="40" spans="1:23" s="2838" customFormat="1" ht="13.15" customHeight="1">
      <c r="A40" s="2973">
        <v>10</v>
      </c>
      <c r="B40" s="2915" t="s">
        <v>2425</v>
      </c>
      <c r="C40" s="2974" t="e">
        <f>C39+D39+E39</f>
        <v>#DIV/0!</v>
      </c>
      <c r="D40" s="2975"/>
      <c r="E40" s="2975"/>
      <c r="F40" s="2976"/>
      <c r="G40" s="2825"/>
      <c r="H40" s="2833"/>
      <c r="I40" s="2834"/>
      <c r="J40" s="3792"/>
      <c r="K40" s="3795"/>
      <c r="L40" s="2888" t="s">
        <v>2426</v>
      </c>
      <c r="M40" s="2889"/>
      <c r="N40" s="2889"/>
      <c r="O40" s="2890"/>
      <c r="P40" s="2890"/>
      <c r="Q40" s="2891"/>
      <c r="R40" s="2837">
        <f>SUM(R37:R39)</f>
        <v>0</v>
      </c>
      <c r="S40" s="2825"/>
      <c r="T40" s="2825"/>
      <c r="U40" s="2825"/>
      <c r="V40" s="2834"/>
    </row>
    <row r="41" spans="1:23" s="2838" customFormat="1" ht="13.15" customHeight="1" thickBot="1">
      <c r="A41" s="2977">
        <v>11</v>
      </c>
      <c r="B41" s="2978" t="s">
        <v>2427</v>
      </c>
      <c r="C41" s="2978" t="e">
        <f>ROUND(C40*10000/B4,0)</f>
        <v>#DIV/0!</v>
      </c>
      <c r="D41" s="2979"/>
      <c r="E41" s="2979"/>
      <c r="F41" s="2980"/>
      <c r="G41" s="2833"/>
      <c r="H41" s="2833"/>
      <c r="I41" s="2834"/>
      <c r="J41" s="2927">
        <v>2</v>
      </c>
      <c r="K41" s="2928" t="s">
        <v>2428</v>
      </c>
      <c r="L41" s="2929"/>
      <c r="M41" s="2929"/>
      <c r="N41" s="2929"/>
      <c r="O41" s="2929"/>
      <c r="P41" s="2930"/>
      <c r="Q41" s="2931"/>
      <c r="R41" s="2904">
        <f>ROUND(R40*Q41,0)</f>
        <v>0</v>
      </c>
      <c r="S41" s="2825"/>
      <c r="T41" s="2825"/>
      <c r="U41" s="2877"/>
      <c r="V41" s="2834"/>
    </row>
    <row r="42" spans="1:23" s="2838" customFormat="1" ht="13.15" customHeight="1">
      <c r="G42" s="2833"/>
      <c r="H42" s="2833"/>
      <c r="I42" s="2834"/>
      <c r="J42" s="3802">
        <v>3</v>
      </c>
      <c r="K42" s="2934" t="s">
        <v>2429</v>
      </c>
      <c r="L42" s="2935"/>
      <c r="M42" s="2936"/>
      <c r="N42" s="2937" t="s">
        <v>2430</v>
      </c>
      <c r="O42" s="2937" t="s">
        <v>2431</v>
      </c>
      <c r="P42" s="2938" t="s">
        <v>2432</v>
      </c>
      <c r="Q42" s="2938" t="s">
        <v>2433</v>
      </c>
      <c r="R42" s="2843" t="s">
        <v>2434</v>
      </c>
      <c r="S42" s="2877"/>
      <c r="T42" s="2877"/>
      <c r="U42" s="2825"/>
      <c r="V42" s="2834"/>
    </row>
    <row r="43" spans="1:23" ht="13.15" customHeight="1">
      <c r="A43" s="2838"/>
      <c r="B43" s="2838"/>
      <c r="C43" s="2838"/>
      <c r="D43" s="2838"/>
      <c r="E43" s="2838"/>
      <c r="F43" s="2838"/>
      <c r="I43" s="2820"/>
      <c r="J43" s="3803"/>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2435</v>
      </c>
      <c r="L44" s="2983" t="s">
        <v>2436</v>
      </c>
      <c r="M44" s="2949"/>
      <c r="N44" s="2983" t="s">
        <v>2437</v>
      </c>
      <c r="O44" s="2949"/>
      <c r="P44" s="2983" t="s">
        <v>2438</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0</v>
      </c>
      <c r="C2" s="2767"/>
      <c r="D2" s="2767"/>
      <c r="E2" s="2767"/>
      <c r="F2" s="2767"/>
      <c r="G2" s="2767"/>
    </row>
    <row r="3" spans="1:25" s="1671" customFormat="1" ht="18" customHeight="1">
      <c r="A3" s="1169" t="s">
        <v>1218</v>
      </c>
      <c r="B3" s="394">
        <f ca="1">ROUND(B2*10000/'数据-汇总表'!E3,0)</f>
        <v>0</v>
      </c>
      <c r="C3" s="2767"/>
      <c r="D3" s="2767"/>
      <c r="E3" s="2767"/>
      <c r="F3" s="2767"/>
      <c r="G3" s="2767"/>
    </row>
    <row r="4" spans="1:25" s="1671" customFormat="1" ht="18" customHeight="1">
      <c r="A4" s="395" t="s">
        <v>428</v>
      </c>
      <c r="B4" s="396">
        <f ca="1">ROUND(B2*10000/'数据-汇总表'!D3,0)</f>
        <v>0</v>
      </c>
      <c r="C4" s="2727"/>
      <c r="D4" s="2767"/>
      <c r="E4" s="2767"/>
      <c r="F4" s="2767"/>
      <c r="G4" s="2767"/>
    </row>
    <row r="5" spans="1:25" s="1671" customFormat="1" ht="18" customHeight="1" thickBot="1">
      <c r="A5" s="398"/>
      <c r="B5" s="399">
        <f ca="1">ROUND(B2/('数据-汇总表'!D3/666.67),0)</f>
        <v>0</v>
      </c>
      <c r="C5" s="400" t="s">
        <v>429</v>
      </c>
      <c r="D5" s="2767"/>
      <c r="E5" s="2767"/>
      <c r="F5" s="2767"/>
      <c r="G5" s="2767"/>
    </row>
    <row r="6" spans="1:25" s="1782" customFormat="1" ht="13.5" customHeight="1">
      <c r="A6" s="679"/>
      <c r="B6" s="680" t="s">
        <v>552</v>
      </c>
      <c r="C6" s="681" t="s">
        <v>553</v>
      </c>
      <c r="D6" s="681" t="s">
        <v>554</v>
      </c>
      <c r="E6" s="682" t="s">
        <v>555</v>
      </c>
      <c r="F6" s="682" t="s">
        <v>556</v>
      </c>
      <c r="G6" s="2766" t="s">
        <v>2281</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70">
        <f>ROUND(D8*E8/10000,0)</f>
        <v>0</v>
      </c>
      <c r="D8" s="2770">
        <v>0</v>
      </c>
      <c r="E8" s="2771">
        <v>0</v>
      </c>
      <c r="F8" s="685"/>
      <c r="G8" s="686"/>
    </row>
    <row r="9" spans="1:25" s="1782" customFormat="1" ht="13.5" customHeight="1">
      <c r="A9" s="1980" t="s">
        <v>1787</v>
      </c>
      <c r="B9" s="1983" t="s">
        <v>1789</v>
      </c>
      <c r="C9" s="2770">
        <f>ROUND(D9*E9/10000,0)</f>
        <v>0</v>
      </c>
      <c r="D9" s="2770">
        <v>0</v>
      </c>
      <c r="E9" s="2771">
        <v>0</v>
      </c>
      <c r="F9" s="685"/>
      <c r="G9" s="686"/>
    </row>
    <row r="10" spans="1:25" s="1782" customFormat="1" ht="36">
      <c r="A10" s="1980">
        <v>2</v>
      </c>
      <c r="B10" s="683" t="s">
        <v>561</v>
      </c>
      <c r="C10" s="684">
        <f>C11+C14+C15</f>
        <v>0</v>
      </c>
      <c r="D10" s="694"/>
      <c r="E10" s="684"/>
      <c r="F10" s="695"/>
      <c r="G10" s="693" t="s">
        <v>562</v>
      </c>
    </row>
    <row r="11" spans="1:25" s="1782" customFormat="1" ht="13.5" customHeight="1">
      <c r="A11" s="1980" t="s">
        <v>1786</v>
      </c>
      <c r="B11" s="687" t="s">
        <v>558</v>
      </c>
      <c r="C11" s="688">
        <f>'数据-取费表'!B29</f>
        <v>0</v>
      </c>
      <c r="D11" s="689"/>
      <c r="E11" s="688"/>
      <c r="F11" s="690"/>
      <c r="G11" s="1988" t="s">
        <v>1797</v>
      </c>
    </row>
    <row r="12" spans="1:25" s="1782" customFormat="1" ht="13.5" customHeight="1">
      <c r="A12" s="1986" t="s">
        <v>1794</v>
      </c>
      <c r="B12" s="691" t="s">
        <v>559</v>
      </c>
      <c r="C12" s="692">
        <f>ROUND(D12*E12/10000,0)</f>
        <v>205</v>
      </c>
      <c r="D12" s="2770">
        <f>'数据-汇总表'!E5</f>
        <v>20493.689999999999</v>
      </c>
      <c r="E12" s="2770">
        <f>'数据-取费表'!B27</f>
        <v>100</v>
      </c>
      <c r="F12" s="690"/>
      <c r="G12" s="693"/>
    </row>
    <row r="13" spans="1:25" s="1782" customFormat="1" ht="13.5" customHeight="1">
      <c r="A13" s="1986" t="s">
        <v>1793</v>
      </c>
      <c r="B13" s="691" t="s">
        <v>560</v>
      </c>
      <c r="C13" s="692">
        <f>ROUND(D13*E13/10000,0)</f>
        <v>123</v>
      </c>
      <c r="D13" s="2770">
        <f>'数据-汇总表'!E6</f>
        <v>8205.7352000000028</v>
      </c>
      <c r="E13" s="2770">
        <f>'数据-取费表'!B28</f>
        <v>150</v>
      </c>
      <c r="F13" s="690"/>
      <c r="G13" s="693"/>
    </row>
    <row r="14" spans="1:25" s="1782" customFormat="1" ht="13.5" customHeight="1">
      <c r="A14" s="1980" t="s">
        <v>1787</v>
      </c>
      <c r="B14" s="1985" t="s">
        <v>1790</v>
      </c>
      <c r="C14" s="2772">
        <f>ROUND(D14*E14/10000,0)</f>
        <v>0</v>
      </c>
      <c r="D14" s="2770">
        <v>0</v>
      </c>
      <c r="E14" s="2771">
        <v>0</v>
      </c>
      <c r="F14" s="1984"/>
      <c r="G14" s="1987" t="s">
        <v>1795</v>
      </c>
    </row>
    <row r="15" spans="1:25" s="1782" customFormat="1" ht="13.5" customHeight="1">
      <c r="A15" s="1980" t="s">
        <v>1792</v>
      </c>
      <c r="B15" s="1985" t="s">
        <v>1791</v>
      </c>
      <c r="C15" s="2772">
        <f>ROUND(D15*E15/10000,0)</f>
        <v>0</v>
      </c>
      <c r="D15" s="2770">
        <v>0</v>
      </c>
      <c r="E15" s="2771">
        <v>0</v>
      </c>
      <c r="F15" s="1984"/>
      <c r="G15" s="1987" t="s">
        <v>1796</v>
      </c>
    </row>
    <row r="16" spans="1:25" s="1783" customFormat="1" ht="48">
      <c r="A16" s="1980">
        <v>3</v>
      </c>
      <c r="B16" s="683" t="s">
        <v>563</v>
      </c>
      <c r="C16" s="2772">
        <f>ROUND(D16*E16/10000,0)</f>
        <v>0</v>
      </c>
      <c r="D16" s="2770">
        <v>0</v>
      </c>
      <c r="E16" s="2771">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1"/>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0</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1"/>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0</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0</v>
      </c>
      <c r="D22" s="694"/>
      <c r="E22" s="684"/>
      <c r="F22" s="700">
        <f>'数据-取费表'!AP16</f>
        <v>0.94099999999999995</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0</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2768"/>
      <c r="D25" s="1627"/>
      <c r="E25" s="1627"/>
    </row>
    <row r="26" spans="1:25" s="2769" customFormat="1">
      <c r="A26" s="2768"/>
      <c r="D26" s="1627"/>
      <c r="E26" s="1627"/>
    </row>
    <row r="27" spans="1:25" s="2769" customFormat="1">
      <c r="A27" s="2768"/>
      <c r="D27" s="1627"/>
      <c r="E27" s="1627"/>
    </row>
    <row r="28" spans="1:25" s="2769" customFormat="1">
      <c r="A28" s="2768"/>
      <c r="D28" s="1627"/>
      <c r="E28" s="1627"/>
    </row>
    <row r="29" spans="1:25" s="2769" customFormat="1">
      <c r="A29" s="2768"/>
      <c r="D29" s="1627"/>
      <c r="E29" s="1627"/>
    </row>
    <row r="30" spans="1:25" s="2769" customFormat="1">
      <c r="A30" s="2768"/>
      <c r="D30" s="1627"/>
      <c r="E30" s="1627"/>
    </row>
    <row r="31" spans="1:25" s="2769" customFormat="1">
      <c r="A31" s="2768"/>
      <c r="D31" s="1627"/>
      <c r="E31" s="1627"/>
    </row>
    <row r="32" spans="1:25" s="2769" customFormat="1">
      <c r="A32" s="2768"/>
      <c r="D32" s="1627"/>
      <c r="E32" s="1627"/>
    </row>
    <row r="33" spans="1:5" s="2769" customFormat="1">
      <c r="A33" s="2768"/>
      <c r="D33" s="1627"/>
      <c r="E33" s="1627"/>
    </row>
    <row r="34" spans="1:5" s="2769" customFormat="1">
      <c r="A34" s="2768"/>
      <c r="D34" s="1627"/>
      <c r="E34" s="1627"/>
    </row>
    <row r="35" spans="1:5" s="2769" customFormat="1">
      <c r="A35" s="2768"/>
      <c r="D35" s="1627"/>
      <c r="E35" s="1627"/>
    </row>
    <row r="36" spans="1:5" s="2769" customFormat="1">
      <c r="A36" s="2768"/>
      <c r="D36" s="1627"/>
      <c r="E36" s="1627"/>
    </row>
    <row r="37" spans="1:5" s="2769" customFormat="1">
      <c r="A37" s="2768"/>
      <c r="D37" s="1627"/>
      <c r="E37" s="1627"/>
    </row>
    <row r="38" spans="1:5" s="2769" customFormat="1">
      <c r="A38" s="2768"/>
      <c r="D38" s="1627"/>
      <c r="E38" s="1627"/>
    </row>
    <row r="39" spans="1:5" s="2769" customFormat="1">
      <c r="A39" s="2768"/>
      <c r="D39" s="1627"/>
      <c r="E39" s="1627"/>
    </row>
    <row r="40" spans="1:5" s="2769" customFormat="1">
      <c r="A40" s="2768"/>
      <c r="D40" s="1627"/>
      <c r="E40" s="1627"/>
    </row>
    <row r="41" spans="1:5" s="2769" customFormat="1">
      <c r="A41" s="2768"/>
      <c r="D41" s="1627"/>
      <c r="E41" s="1627"/>
    </row>
    <row r="42" spans="1:5" s="2769" customFormat="1">
      <c r="A42" s="2768"/>
      <c r="D42" s="1627"/>
      <c r="E42" s="1627"/>
    </row>
    <row r="43" spans="1:5" s="2769" customFormat="1">
      <c r="A43" s="2768"/>
      <c r="D43" s="1627"/>
      <c r="E43" s="1627"/>
    </row>
    <row r="44" spans="1:5" s="2769" customFormat="1">
      <c r="A44" s="2768"/>
      <c r="D44" s="1627"/>
      <c r="E44" s="1627"/>
    </row>
    <row r="45" spans="1:5" s="2769" customFormat="1">
      <c r="A45" s="2768"/>
      <c r="D45" s="1627"/>
      <c r="E45" s="1627"/>
    </row>
    <row r="46" spans="1:5" s="2769" customFormat="1">
      <c r="A46" s="2768"/>
      <c r="D46" s="1627"/>
      <c r="E46" s="1627"/>
    </row>
    <row r="47" spans="1:5" s="2769" customFormat="1">
      <c r="A47" s="2768"/>
      <c r="D47" s="1627"/>
      <c r="E47" s="1627"/>
    </row>
    <row r="48" spans="1:5"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B2" sqref="B2"/>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2077" t="s">
        <v>666</v>
      </c>
      <c r="C1" s="2078" t="s">
        <v>667</v>
      </c>
      <c r="D1" s="2079" t="s">
        <v>3334</v>
      </c>
      <c r="E1" s="1734"/>
      <c r="F1" s="2117" t="s">
        <v>3396</v>
      </c>
      <c r="G1" s="1327" t="s">
        <v>668</v>
      </c>
      <c r="H1" s="456"/>
      <c r="I1" s="456"/>
      <c r="J1" s="456"/>
      <c r="K1" s="457"/>
      <c r="L1" s="2717"/>
      <c r="M1" s="2718"/>
      <c r="N1" s="2718"/>
      <c r="O1" s="2718"/>
      <c r="P1" s="454"/>
      <c r="Q1" s="454"/>
      <c r="R1" s="454"/>
      <c r="S1" s="454"/>
      <c r="T1" s="454"/>
      <c r="U1" s="454"/>
      <c r="V1" s="454"/>
      <c r="W1" s="454"/>
      <c r="X1" s="454"/>
      <c r="Y1" s="454"/>
      <c r="Z1" s="454"/>
      <c r="AA1" s="454"/>
      <c r="AB1" s="454"/>
      <c r="AC1" s="397"/>
    </row>
    <row r="2" spans="1:29" s="1154" customFormat="1" ht="28.5" customHeight="1">
      <c r="A2" s="392" t="s">
        <v>427</v>
      </c>
      <c r="B2" s="2076">
        <f>ROUND(B3*D3/10000,0)</f>
        <v>57831</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59" t="s">
        <v>468</v>
      </c>
      <c r="B3" s="784">
        <f>C49</f>
        <v>28219</v>
      </c>
      <c r="C3" s="785" t="s">
        <v>669</v>
      </c>
      <c r="D3" s="784">
        <f>SUMIF('数据-汇总表'!$C19:$C33,D1,'数据-汇总表'!$E19:$E33)</f>
        <v>20493.689999999999</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2" t="s">
        <v>470</v>
      </c>
      <c r="B4" s="463"/>
      <c r="C4" s="3690" t="s">
        <v>471</v>
      </c>
      <c r="D4" s="3691"/>
      <c r="E4" s="3729" t="s">
        <v>472</v>
      </c>
      <c r="F4" s="3730"/>
      <c r="G4" s="3690" t="s">
        <v>473</v>
      </c>
      <c r="H4" s="3691"/>
      <c r="I4" s="3690" t="s">
        <v>474</v>
      </c>
      <c r="J4" s="3691"/>
      <c r="K4" s="786" t="s">
        <v>475</v>
      </c>
      <c r="L4" s="1740"/>
      <c r="M4" s="1741"/>
      <c r="N4" s="1741"/>
      <c r="O4" s="1741"/>
      <c r="P4" s="3692" t="s">
        <v>476</v>
      </c>
      <c r="Q4" s="3693"/>
      <c r="R4" s="3698" t="s">
        <v>472</v>
      </c>
      <c r="S4" s="3699"/>
      <c r="T4" s="3698" t="s">
        <v>473</v>
      </c>
      <c r="U4" s="3699"/>
      <c r="V4" s="3685" t="s">
        <v>474</v>
      </c>
      <c r="W4" s="3685"/>
      <c r="X4" s="1301"/>
      <c r="Y4" s="3698" t="s">
        <v>476</v>
      </c>
      <c r="Z4" s="3699"/>
      <c r="AA4" s="3687" t="s">
        <v>472</v>
      </c>
      <c r="AB4" s="3687" t="s">
        <v>473</v>
      </c>
      <c r="AC4" s="3687" t="s">
        <v>474</v>
      </c>
    </row>
    <row r="5" spans="1:29" ht="15">
      <c r="A5" s="465"/>
      <c r="B5" s="466"/>
      <c r="C5" s="3706" t="s">
        <v>2190</v>
      </c>
      <c r="D5" s="3707"/>
      <c r="E5" s="3807" t="s">
        <v>3633</v>
      </c>
      <c r="F5" s="3732"/>
      <c r="G5" s="3806" t="s">
        <v>3635</v>
      </c>
      <c r="H5" s="3707"/>
      <c r="I5" s="3806" t="s">
        <v>3395</v>
      </c>
      <c r="J5" s="3707"/>
      <c r="K5" s="787"/>
      <c r="L5" s="1740"/>
      <c r="M5" s="1741"/>
      <c r="N5" s="1741"/>
      <c r="O5" s="1741"/>
      <c r="P5" s="3694"/>
      <c r="Q5" s="3695"/>
      <c r="R5" s="3700"/>
      <c r="S5" s="3701"/>
      <c r="T5" s="3700"/>
      <c r="U5" s="3701"/>
      <c r="V5" s="3685"/>
      <c r="W5" s="3685"/>
      <c r="X5" s="1301"/>
      <c r="Y5" s="3700"/>
      <c r="Z5" s="3701"/>
      <c r="AA5" s="3688"/>
      <c r="AB5" s="3688"/>
      <c r="AC5" s="3688"/>
    </row>
    <row r="6" spans="1:29" ht="15.75" thickBot="1">
      <c r="A6" s="467"/>
      <c r="B6" s="468"/>
      <c r="C6" s="3704" t="s">
        <v>2194</v>
      </c>
      <c r="D6" s="3705"/>
      <c r="E6" s="3727" t="s">
        <v>2194</v>
      </c>
      <c r="F6" s="3728"/>
      <c r="G6" s="3704" t="s">
        <v>2194</v>
      </c>
      <c r="H6" s="3705"/>
      <c r="I6" s="3704" t="s">
        <v>2194</v>
      </c>
      <c r="J6" s="3705"/>
      <c r="K6" s="787" t="s">
        <v>477</v>
      </c>
      <c r="L6" s="1740"/>
      <c r="M6" s="1741"/>
      <c r="N6" s="1741"/>
      <c r="O6" s="1741"/>
      <c r="P6" s="3696"/>
      <c r="Q6" s="3697"/>
      <c r="R6" s="3700"/>
      <c r="S6" s="3701"/>
      <c r="T6" s="3702"/>
      <c r="U6" s="3703"/>
      <c r="V6" s="3685"/>
      <c r="W6" s="3685"/>
      <c r="X6" s="1301"/>
      <c r="Y6" s="3702"/>
      <c r="Z6" s="3703"/>
      <c r="AA6" s="3689"/>
      <c r="AB6" s="3689"/>
      <c r="AC6" s="3689"/>
    </row>
    <row r="7" spans="1:29" s="1058" customFormat="1" ht="15.75" thickBot="1">
      <c r="A7" s="2208"/>
      <c r="B7" s="2215" t="s">
        <v>478</v>
      </c>
      <c r="C7" s="469">
        <f>'数据-取费表'!B2</f>
        <v>45615</v>
      </c>
      <c r="D7" s="470">
        <v>100</v>
      </c>
      <c r="E7" s="471">
        <f>C7</f>
        <v>45615</v>
      </c>
      <c r="F7" s="472">
        <f>SUMIF(58:58,YEAR(E7)&amp;"-"&amp;MONTH(E7),59:59)</f>
        <v>100</v>
      </c>
      <c r="G7" s="473">
        <f>C7</f>
        <v>45615</v>
      </c>
      <c r="H7" s="470">
        <f>SUMIF(58:58,YEAR(G7)&amp;"-"&amp;MONTH(G7),59:59)</f>
        <v>100</v>
      </c>
      <c r="I7" s="473">
        <f>C7</f>
        <v>45615</v>
      </c>
      <c r="J7" s="470">
        <f>SUMIF(58:58,YEAR(I7)&amp;"-"&amp;MONTH(I7),59:59)</f>
        <v>100</v>
      </c>
      <c r="K7" s="788"/>
      <c r="L7" s="1742"/>
      <c r="M7" s="1639"/>
      <c r="N7" s="1639"/>
      <c r="O7" s="1639"/>
      <c r="P7" s="3714" t="s">
        <v>479</v>
      </c>
      <c r="Q7" s="3716"/>
      <c r="R7" s="1302" t="s">
        <v>10</v>
      </c>
      <c r="S7" s="1303">
        <f t="shared" ref="S7:S15" si="0">F7</f>
        <v>100</v>
      </c>
      <c r="T7" s="1302" t="s">
        <v>10</v>
      </c>
      <c r="U7" s="1303">
        <f t="shared" ref="U7:U15" si="1">H7</f>
        <v>100</v>
      </c>
      <c r="V7" s="1302" t="s">
        <v>10</v>
      </c>
      <c r="W7" s="1303">
        <f t="shared" ref="W7:W15" si="2">J7</f>
        <v>100</v>
      </c>
      <c r="X7" s="1304"/>
      <c r="Y7" s="3714" t="s">
        <v>479</v>
      </c>
      <c r="Z7" s="3715"/>
      <c r="AA7" s="995">
        <f>D7/F7</f>
        <v>1</v>
      </c>
      <c r="AB7" s="995">
        <f>D7/H7</f>
        <v>1</v>
      </c>
      <c r="AC7" s="995">
        <f>D7/J7</f>
        <v>1</v>
      </c>
    </row>
    <row r="8" spans="1:29" s="1058" customFormat="1" ht="15.75" thickBot="1">
      <c r="A8" s="2209"/>
      <c r="B8" s="2216" t="s">
        <v>480</v>
      </c>
      <c r="C8" s="474" t="s">
        <v>524</v>
      </c>
      <c r="D8" s="470">
        <v>100</v>
      </c>
      <c r="E8" s="789" t="s">
        <v>3388</v>
      </c>
      <c r="F8" s="472">
        <f>SUMIF(61:61,E8,62:62)-SUMIF(61:61,C8,62:62)+100</f>
        <v>100</v>
      </c>
      <c r="G8" s="789" t="s">
        <v>3388</v>
      </c>
      <c r="H8" s="470">
        <f>SUMIF(61:61,G8,62:62)-SUMIF(61:61,C8,62:62)+100</f>
        <v>100</v>
      </c>
      <c r="I8" s="789" t="s">
        <v>3388</v>
      </c>
      <c r="J8" s="470">
        <f>SUMIF(61:61,I8,62:62)-SUMIF(61:61,C8,62:62)+100</f>
        <v>100</v>
      </c>
      <c r="K8" s="788"/>
      <c r="L8" s="1742"/>
      <c r="M8" s="1639"/>
      <c r="N8" s="1639"/>
      <c r="O8" s="1639"/>
      <c r="P8" s="3714" t="s">
        <v>482</v>
      </c>
      <c r="Q8" s="3715"/>
      <c r="R8" s="1302" t="s">
        <v>10</v>
      </c>
      <c r="S8" s="1303">
        <f t="shared" si="0"/>
        <v>100</v>
      </c>
      <c r="T8" s="1302" t="s">
        <v>10</v>
      </c>
      <c r="U8" s="1303">
        <f t="shared" si="1"/>
        <v>100</v>
      </c>
      <c r="V8" s="1302" t="s">
        <v>10</v>
      </c>
      <c r="W8" s="1303">
        <f t="shared" si="2"/>
        <v>100</v>
      </c>
      <c r="X8" s="1304"/>
      <c r="Y8" s="3714" t="s">
        <v>482</v>
      </c>
      <c r="Z8" s="3715"/>
      <c r="AA8" s="995">
        <f t="shared" ref="AA8:AA46" si="3">D8/F8</f>
        <v>1</v>
      </c>
      <c r="AB8" s="995">
        <f t="shared" ref="AB8:AB46" si="4">D8/H8</f>
        <v>1</v>
      </c>
      <c r="AC8" s="995">
        <f t="shared" ref="AC8:AC46" si="5">D8/J8</f>
        <v>1</v>
      </c>
    </row>
    <row r="9" spans="1:29" s="1058" customFormat="1" ht="15">
      <c r="A9" s="2210"/>
      <c r="B9" s="2217" t="s">
        <v>2037</v>
      </c>
      <c r="C9" s="3426" t="s">
        <v>3397</v>
      </c>
      <c r="D9" s="153">
        <v>100</v>
      </c>
      <c r="E9" s="791" t="s">
        <v>851</v>
      </c>
      <c r="F9" s="155">
        <f>SUMIF(63:63,E9,64:64)-SUMIF(63:63,C9,64:64)+100</f>
        <v>100</v>
      </c>
      <c r="G9" s="791" t="s">
        <v>851</v>
      </c>
      <c r="H9" s="153">
        <f>SUMIF(63:63,G9,64:64)-SUMIF(63:63,C9,64:64)+100</f>
        <v>100</v>
      </c>
      <c r="I9" s="791" t="s">
        <v>851</v>
      </c>
      <c r="J9" s="153">
        <f>SUMIF(63:63,I9,64:64)-SUMIF(63:63,C9,64:64)+100</f>
        <v>100</v>
      </c>
      <c r="K9" s="788"/>
      <c r="L9" s="1742"/>
      <c r="M9" s="1639"/>
      <c r="N9" s="1639"/>
      <c r="O9" s="1743"/>
      <c r="P9" s="3684" t="s">
        <v>484</v>
      </c>
      <c r="Q9" s="816" t="str">
        <f t="shared" ref="Q9:Q15" si="6">B9</f>
        <v>用途</v>
      </c>
      <c r="R9" s="1302" t="s">
        <v>5</v>
      </c>
      <c r="S9" s="1303">
        <f t="shared" si="0"/>
        <v>100</v>
      </c>
      <c r="T9" s="1302" t="s">
        <v>5</v>
      </c>
      <c r="U9" s="1303">
        <f t="shared" si="1"/>
        <v>100</v>
      </c>
      <c r="V9" s="1302" t="s">
        <v>5</v>
      </c>
      <c r="W9" s="1303">
        <f t="shared" si="2"/>
        <v>100</v>
      </c>
      <c r="X9" s="1304"/>
      <c r="Y9" s="3632" t="s">
        <v>485</v>
      </c>
      <c r="Z9" s="995" t="str">
        <f t="shared" ref="Z9:Z15" si="7">Q9</f>
        <v>用途</v>
      </c>
      <c r="AA9" s="995">
        <f t="shared" si="3"/>
        <v>1</v>
      </c>
      <c r="AB9" s="995">
        <f t="shared" si="4"/>
        <v>1</v>
      </c>
      <c r="AC9" s="995">
        <f t="shared" si="5"/>
        <v>1</v>
      </c>
    </row>
    <row r="10" spans="1:29" s="1131" customFormat="1" ht="27">
      <c r="A10" s="2211"/>
      <c r="B10" s="2216" t="s">
        <v>2038</v>
      </c>
      <c r="C10" s="3386"/>
      <c r="D10" s="234">
        <v>100</v>
      </c>
      <c r="E10" s="3387"/>
      <c r="F10" s="476">
        <f>SUMIF(65:65,E10,66:66)-SUMIF(65:65,C10,66:66)+100</f>
        <v>100</v>
      </c>
      <c r="G10" s="3386"/>
      <c r="H10" s="234">
        <f>SUMIF(65:65,G10,66:66)-SUMIF(65:65,C10,66:66)+100</f>
        <v>100</v>
      </c>
      <c r="I10" s="3386"/>
      <c r="J10" s="234">
        <f>SUMIF(65:65,I10,66:66)-SUMIF(65:65,C10,66:66)+100</f>
        <v>100</v>
      </c>
      <c r="K10" s="788"/>
      <c r="L10" s="1744"/>
      <c r="M10" s="1777"/>
      <c r="N10" s="1777"/>
      <c r="O10" s="1745"/>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2"/>
      <c r="B11" s="2216" t="s">
        <v>2039</v>
      </c>
      <c r="C11" s="482">
        <f>'数据-汇总表'!I4</f>
        <v>1.6</v>
      </c>
      <c r="D11" s="234">
        <v>100</v>
      </c>
      <c r="E11" s="483">
        <v>1.6</v>
      </c>
      <c r="F11" s="476">
        <f>LOOKUP(E11,68:68,69:69)-LOOKUP(C11,68:68,69:69)+100</f>
        <v>100</v>
      </c>
      <c r="G11" s="482">
        <v>1.8</v>
      </c>
      <c r="H11" s="234">
        <f>LOOKUP(G11,68:68,69:69)-LOOKUP(C11,68:68,69:69)+100</f>
        <v>100</v>
      </c>
      <c r="I11" s="482">
        <v>1.9</v>
      </c>
      <c r="J11" s="234">
        <f>LOOKUP(I11,68:68,69:69)-LOOKUP(C11,68:68,69:69)+100</f>
        <v>100</v>
      </c>
      <c r="K11" s="793">
        <v>2</v>
      </c>
      <c r="L11" s="1746"/>
      <c r="M11" s="1741"/>
      <c r="N11" s="1741"/>
      <c r="O11" s="1747"/>
      <c r="P11" s="3684"/>
      <c r="Q11" s="816" t="str">
        <f t="shared" si="6"/>
        <v>容积率</v>
      </c>
      <c r="R11" s="1302" t="s">
        <v>8</v>
      </c>
      <c r="S11" s="1303">
        <f t="shared" si="0"/>
        <v>100</v>
      </c>
      <c r="T11" s="1302" t="s">
        <v>8</v>
      </c>
      <c r="U11" s="1303">
        <f t="shared" si="1"/>
        <v>100</v>
      </c>
      <c r="V11" s="1302" t="s">
        <v>8</v>
      </c>
      <c r="W11" s="1303">
        <f t="shared" si="2"/>
        <v>100</v>
      </c>
      <c r="X11" s="1304"/>
      <c r="Y11" s="3632"/>
      <c r="Z11" s="995" t="str">
        <f t="shared" si="7"/>
        <v>容积率</v>
      </c>
      <c r="AA11" s="995">
        <f t="shared" si="3"/>
        <v>1</v>
      </c>
      <c r="AB11" s="995">
        <f t="shared" si="4"/>
        <v>1</v>
      </c>
      <c r="AC11" s="995">
        <f t="shared" si="5"/>
        <v>1</v>
      </c>
    </row>
    <row r="12" spans="1:29" s="1058" customFormat="1" ht="15">
      <c r="A12" s="2213"/>
      <c r="B12" s="2219">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684"/>
      <c r="Q12" s="816">
        <f t="shared" si="6"/>
        <v>111</v>
      </c>
      <c r="R12" s="1302" t="s">
        <v>8</v>
      </c>
      <c r="S12" s="1303">
        <f t="shared" si="0"/>
        <v>100</v>
      </c>
      <c r="T12" s="1302" t="s">
        <v>8</v>
      </c>
      <c r="U12" s="1303">
        <f t="shared" si="1"/>
        <v>100</v>
      </c>
      <c r="V12" s="1302" t="s">
        <v>8</v>
      </c>
      <c r="W12" s="1303">
        <f t="shared" si="2"/>
        <v>100</v>
      </c>
      <c r="X12" s="1304"/>
      <c r="Y12" s="3632"/>
      <c r="Z12" s="995">
        <f t="shared" si="7"/>
        <v>111</v>
      </c>
      <c r="AA12" s="995">
        <f>D12/F12</f>
        <v>1</v>
      </c>
      <c r="AB12" s="995">
        <f>D12/H12</f>
        <v>1</v>
      </c>
      <c r="AC12" s="995">
        <f>D12/J12</f>
        <v>1</v>
      </c>
    </row>
    <row r="13" spans="1:29" ht="15">
      <c r="A13" s="2213"/>
      <c r="B13" s="2219">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684"/>
      <c r="Q13" s="816">
        <f t="shared" si="6"/>
        <v>111</v>
      </c>
      <c r="R13" s="1302" t="s">
        <v>8</v>
      </c>
      <c r="S13" s="1303">
        <f t="shared" si="0"/>
        <v>100</v>
      </c>
      <c r="T13" s="1302" t="s">
        <v>8</v>
      </c>
      <c r="U13" s="1303">
        <f t="shared" si="1"/>
        <v>100</v>
      </c>
      <c r="V13" s="1302" t="s">
        <v>8</v>
      </c>
      <c r="W13" s="1303">
        <f t="shared" si="2"/>
        <v>100</v>
      </c>
      <c r="X13" s="1304"/>
      <c r="Y13" s="3632"/>
      <c r="Z13" s="995">
        <f t="shared" si="7"/>
        <v>111</v>
      </c>
      <c r="AA13" s="995">
        <f t="shared" si="3"/>
        <v>1</v>
      </c>
      <c r="AB13" s="995">
        <f t="shared" si="4"/>
        <v>1</v>
      </c>
      <c r="AC13" s="995">
        <f t="shared" si="5"/>
        <v>1</v>
      </c>
    </row>
    <row r="14" spans="1:29" ht="15.75" thickBot="1">
      <c r="A14" s="2214"/>
      <c r="B14" s="2220">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684"/>
      <c r="Q14" s="816">
        <f t="shared" si="6"/>
        <v>111</v>
      </c>
      <c r="R14" s="1302" t="s">
        <v>8</v>
      </c>
      <c r="S14" s="1303">
        <f t="shared" si="0"/>
        <v>100</v>
      </c>
      <c r="T14" s="1302" t="s">
        <v>8</v>
      </c>
      <c r="U14" s="1303">
        <f t="shared" si="1"/>
        <v>100</v>
      </c>
      <c r="V14" s="1302" t="s">
        <v>8</v>
      </c>
      <c r="W14" s="1303">
        <f t="shared" si="2"/>
        <v>100</v>
      </c>
      <c r="X14" s="1304"/>
      <c r="Y14" s="3632"/>
      <c r="Z14" s="995">
        <f t="shared" si="7"/>
        <v>111</v>
      </c>
      <c r="AA14" s="995">
        <f t="shared" si="3"/>
        <v>1</v>
      </c>
      <c r="AB14" s="995">
        <f t="shared" si="4"/>
        <v>1</v>
      </c>
      <c r="AC14" s="995">
        <f t="shared" si="5"/>
        <v>1</v>
      </c>
    </row>
    <row r="15" spans="1:29" ht="99.75">
      <c r="A15" s="2206" t="s">
        <v>2035</v>
      </c>
      <c r="B15" s="149"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v>2</v>
      </c>
      <c r="L15" s="1748"/>
      <c r="M15" s="1741"/>
      <c r="N15" s="1741"/>
      <c r="O15" s="1747"/>
      <c r="P15" s="3717" t="s">
        <v>489</v>
      </c>
      <c r="Q15" s="1305" t="str">
        <f t="shared" si="6"/>
        <v>居住社区成熟度</v>
      </c>
      <c r="R15" s="1306" t="s">
        <v>8</v>
      </c>
      <c r="S15" s="1307">
        <f t="shared" si="0"/>
        <v>100</v>
      </c>
      <c r="T15" s="1306" t="s">
        <v>8</v>
      </c>
      <c r="U15" s="1307">
        <f t="shared" si="1"/>
        <v>100</v>
      </c>
      <c r="V15" s="1306" t="s">
        <v>8</v>
      </c>
      <c r="W15" s="1307">
        <f t="shared" si="2"/>
        <v>100</v>
      </c>
      <c r="X15" s="1301"/>
      <c r="Y15" s="3717" t="s">
        <v>489</v>
      </c>
      <c r="Z15" s="1308" t="str">
        <f t="shared" si="7"/>
        <v>居住社区成熟度</v>
      </c>
      <c r="AA15" s="1308">
        <f t="shared" si="3"/>
        <v>1</v>
      </c>
      <c r="AB15" s="1308">
        <f t="shared" si="4"/>
        <v>1</v>
      </c>
      <c r="AC15" s="1308">
        <f t="shared" si="5"/>
        <v>1</v>
      </c>
    </row>
    <row r="16" spans="1:29" ht="15">
      <c r="A16" s="481"/>
      <c r="B16" s="798"/>
      <c r="C16" s="525" t="s">
        <v>3363</v>
      </c>
      <c r="D16" s="504"/>
      <c r="E16" s="525" t="s">
        <v>3363</v>
      </c>
      <c r="F16" s="506"/>
      <c r="G16" s="525" t="s">
        <v>3363</v>
      </c>
      <c r="H16" s="508"/>
      <c r="I16" s="525" t="s">
        <v>3363</v>
      </c>
      <c r="J16" s="504"/>
      <c r="K16" s="799"/>
      <c r="L16" s="1748"/>
      <c r="M16" s="1741"/>
      <c r="N16" s="1741"/>
      <c r="O16" s="1747"/>
      <c r="P16" s="3718"/>
      <c r="Q16" s="1305"/>
      <c r="R16" s="1306"/>
      <c r="S16" s="1307"/>
      <c r="T16" s="1306"/>
      <c r="U16" s="1307"/>
      <c r="V16" s="1306"/>
      <c r="W16" s="1307"/>
      <c r="X16" s="1301"/>
      <c r="Y16" s="3718"/>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102</v>
      </c>
      <c r="I17" s="511"/>
      <c r="J17" s="514">
        <f>SUMIF(78:78,I18,79:79)-SUMIF(78:78,C18,79:79)+100</f>
        <v>100</v>
      </c>
      <c r="K17" s="797">
        <v>2</v>
      </c>
      <c r="L17" s="1748"/>
      <c r="M17" s="1741"/>
      <c r="N17" s="1741"/>
      <c r="O17" s="1747"/>
      <c r="P17" s="3718"/>
      <c r="Q17" s="1305" t="str">
        <f>B17</f>
        <v>交通便捷度</v>
      </c>
      <c r="R17" s="1306" t="s">
        <v>8</v>
      </c>
      <c r="S17" s="1307">
        <f>F17</f>
        <v>100</v>
      </c>
      <c r="T17" s="1306" t="s">
        <v>8</v>
      </c>
      <c r="U17" s="1307">
        <f>H17</f>
        <v>102</v>
      </c>
      <c r="V17" s="1306" t="s">
        <v>8</v>
      </c>
      <c r="W17" s="1307">
        <f>J17</f>
        <v>100</v>
      </c>
      <c r="X17" s="1301"/>
      <c r="Y17" s="3718"/>
      <c r="Z17" s="1308" t="str">
        <f>Q17</f>
        <v>交通便捷度</v>
      </c>
      <c r="AA17" s="1308">
        <f t="shared" si="3"/>
        <v>1</v>
      </c>
      <c r="AB17" s="1308">
        <f t="shared" si="4"/>
        <v>0.98039215686274506</v>
      </c>
      <c r="AC17" s="1308">
        <f t="shared" si="5"/>
        <v>1</v>
      </c>
    </row>
    <row r="18" spans="1:29" ht="15">
      <c r="A18" s="481"/>
      <c r="B18" s="543"/>
      <c r="C18" s="801" t="s">
        <v>3364</v>
      </c>
      <c r="D18" s="508"/>
      <c r="E18" s="801" t="s">
        <v>3364</v>
      </c>
      <c r="F18" s="512"/>
      <c r="G18" s="801" t="s">
        <v>3363</v>
      </c>
      <c r="H18" s="504"/>
      <c r="I18" s="801" t="s">
        <v>3364</v>
      </c>
      <c r="J18" s="504"/>
      <c r="K18" s="799"/>
      <c r="L18" s="1748"/>
      <c r="M18" s="1741"/>
      <c r="N18" s="1741"/>
      <c r="O18" s="1747"/>
      <c r="P18" s="3718"/>
      <c r="Q18" s="1305"/>
      <c r="R18" s="1306"/>
      <c r="S18" s="1307"/>
      <c r="T18" s="1306"/>
      <c r="U18" s="1307"/>
      <c r="V18" s="1306"/>
      <c r="W18" s="1307"/>
      <c r="X18" s="1301"/>
      <c r="Y18" s="3718"/>
      <c r="Z18" s="1308"/>
      <c r="AA18" s="1308">
        <v>1</v>
      </c>
      <c r="AB18" s="1308">
        <v>1</v>
      </c>
      <c r="AC18" s="1308">
        <v>1</v>
      </c>
    </row>
    <row r="19" spans="1:29" ht="42.75">
      <c r="A19" s="481"/>
      <c r="B19" s="2058" t="s">
        <v>1829</v>
      </c>
      <c r="C19" s="800" t="str">
        <f>估价对象房地状况!C7</f>
        <v>估价对象所在区域公共配套设施齐备情况</v>
      </c>
      <c r="D19" s="514">
        <v>100</v>
      </c>
      <c r="E19" s="519"/>
      <c r="F19" s="520">
        <f>SUMIF(80:80,E20,81:81)-SUMIF(80:80,C20,81:81)+100</f>
        <v>100</v>
      </c>
      <c r="G19" s="521"/>
      <c r="H19" s="508">
        <f>SUMIF(80:80,G20,81:81)-SUMIF(80:80,C20,81:81)+100</f>
        <v>103</v>
      </c>
      <c r="I19" s="519"/>
      <c r="J19" s="508">
        <f>SUMIF(80:80,I20,81:81)-SUMIF(80:80,C20,81:81)+100</f>
        <v>100</v>
      </c>
      <c r="K19" s="797">
        <v>3</v>
      </c>
      <c r="L19" s="1748"/>
      <c r="M19" s="1741"/>
      <c r="N19" s="1741"/>
      <c r="O19" s="1747"/>
      <c r="P19" s="3718"/>
      <c r="Q19" s="1305" t="str">
        <f>B19</f>
        <v>公共配套设施</v>
      </c>
      <c r="R19" s="1306" t="s">
        <v>8</v>
      </c>
      <c r="S19" s="1307">
        <f>F19</f>
        <v>100</v>
      </c>
      <c r="T19" s="1306" t="s">
        <v>8</v>
      </c>
      <c r="U19" s="1307">
        <f>H19</f>
        <v>103</v>
      </c>
      <c r="V19" s="1306" t="s">
        <v>8</v>
      </c>
      <c r="W19" s="1307">
        <f>J19</f>
        <v>100</v>
      </c>
      <c r="X19" s="1301"/>
      <c r="Y19" s="3718"/>
      <c r="Z19" s="1308" t="str">
        <f>Q19</f>
        <v>公共配套设施</v>
      </c>
      <c r="AA19" s="1308">
        <f t="shared" si="3"/>
        <v>1</v>
      </c>
      <c r="AB19" s="1308">
        <f t="shared" si="4"/>
        <v>0.970873786407767</v>
      </c>
      <c r="AC19" s="1308">
        <f t="shared" si="5"/>
        <v>1</v>
      </c>
    </row>
    <row r="20" spans="1:29" ht="15">
      <c r="A20" s="481"/>
      <c r="B20" s="543"/>
      <c r="C20" s="525" t="s">
        <v>3364</v>
      </c>
      <c r="D20" s="504"/>
      <c r="E20" s="525" t="s">
        <v>3364</v>
      </c>
      <c r="F20" s="506"/>
      <c r="G20" s="525" t="s">
        <v>3363</v>
      </c>
      <c r="H20" s="504"/>
      <c r="I20" s="525" t="s">
        <v>3364</v>
      </c>
      <c r="J20" s="504"/>
      <c r="K20" s="799"/>
      <c r="L20" s="1748"/>
      <c r="M20" s="1741"/>
      <c r="N20" s="1741"/>
      <c r="O20" s="1747"/>
      <c r="P20" s="3718"/>
      <c r="Q20" s="1305"/>
      <c r="R20" s="1306"/>
      <c r="S20" s="1307"/>
      <c r="T20" s="1306"/>
      <c r="U20" s="1307"/>
      <c r="V20" s="1306"/>
      <c r="W20" s="1307"/>
      <c r="X20" s="1301"/>
      <c r="Y20" s="3718"/>
      <c r="Z20" s="1308"/>
      <c r="AA20" s="1308">
        <v>1</v>
      </c>
      <c r="AB20" s="1308">
        <v>1</v>
      </c>
      <c r="AC20" s="1308">
        <v>1</v>
      </c>
    </row>
    <row r="21" spans="1:29" ht="28.5">
      <c r="A21" s="481"/>
      <c r="B21" s="2051"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v>1</v>
      </c>
      <c r="L21" s="1748"/>
      <c r="M21" s="1741"/>
      <c r="N21" s="1741"/>
      <c r="O21" s="1747"/>
      <c r="P21" s="3718"/>
      <c r="Q21" s="1305" t="str">
        <f>B21</f>
        <v>基础设施水平</v>
      </c>
      <c r="R21" s="1306" t="s">
        <v>8</v>
      </c>
      <c r="S21" s="1307">
        <f>F21</f>
        <v>100</v>
      </c>
      <c r="T21" s="1306" t="s">
        <v>8</v>
      </c>
      <c r="U21" s="1307">
        <f>H21</f>
        <v>100</v>
      </c>
      <c r="V21" s="1306" t="s">
        <v>8</v>
      </c>
      <c r="W21" s="1307">
        <f>J21</f>
        <v>100</v>
      </c>
      <c r="X21" s="1301"/>
      <c r="Y21" s="3718"/>
      <c r="Z21" s="1308" t="str">
        <f>Q21</f>
        <v>基础设施水平</v>
      </c>
      <c r="AA21" s="1308">
        <f>D21/F21</f>
        <v>1</v>
      </c>
      <c r="AB21" s="1308">
        <f>D21/H21</f>
        <v>1</v>
      </c>
      <c r="AC21" s="1308">
        <f>D21/J21</f>
        <v>1</v>
      </c>
    </row>
    <row r="22" spans="1:29" ht="15">
      <c r="A22" s="481"/>
      <c r="B22" s="842"/>
      <c r="C22" s="801" t="s">
        <v>3365</v>
      </c>
      <c r="D22" s="504"/>
      <c r="E22" s="801" t="s">
        <v>3365</v>
      </c>
      <c r="F22" s="506"/>
      <c r="G22" s="801" t="s">
        <v>3365</v>
      </c>
      <c r="H22" s="504"/>
      <c r="I22" s="801" t="s">
        <v>3365</v>
      </c>
      <c r="J22" s="504"/>
      <c r="K22" s="2057"/>
      <c r="L22" s="1748"/>
      <c r="M22" s="1741"/>
      <c r="N22" s="1741"/>
      <c r="O22" s="1747"/>
      <c r="P22" s="3718"/>
      <c r="Q22" s="1305"/>
      <c r="R22" s="1306"/>
      <c r="S22" s="1307"/>
      <c r="T22" s="1306"/>
      <c r="U22" s="1307"/>
      <c r="V22" s="1306"/>
      <c r="W22" s="1307"/>
      <c r="X22" s="1301"/>
      <c r="Y22" s="3718"/>
      <c r="Z22" s="1308"/>
      <c r="AA22" s="1308">
        <v>1</v>
      </c>
      <c r="AB22" s="1308">
        <v>1</v>
      </c>
      <c r="AC22" s="1308">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v>3</v>
      </c>
      <c r="L23" s="1748"/>
      <c r="M23" s="1741"/>
      <c r="N23" s="1741"/>
      <c r="O23" s="1747"/>
      <c r="P23" s="3718"/>
      <c r="Q23" s="1305" t="str">
        <f>B23</f>
        <v>自然及人文环境</v>
      </c>
      <c r="R23" s="1306" t="s">
        <v>8</v>
      </c>
      <c r="S23" s="1307">
        <f>F23</f>
        <v>100</v>
      </c>
      <c r="T23" s="1306" t="s">
        <v>8</v>
      </c>
      <c r="U23" s="1307">
        <f>H23</f>
        <v>100</v>
      </c>
      <c r="V23" s="1306" t="s">
        <v>8</v>
      </c>
      <c r="W23" s="1307">
        <f>J23</f>
        <v>100</v>
      </c>
      <c r="X23" s="1301"/>
      <c r="Y23" s="3718"/>
      <c r="Z23" s="1308" t="str">
        <f>Q23</f>
        <v>自然及人文环境</v>
      </c>
      <c r="AA23" s="1308">
        <f t="shared" si="3"/>
        <v>1</v>
      </c>
      <c r="AB23" s="1308">
        <f t="shared" si="4"/>
        <v>1</v>
      </c>
      <c r="AC23" s="1308">
        <f t="shared" si="5"/>
        <v>1</v>
      </c>
    </row>
    <row r="24" spans="1:29" ht="15">
      <c r="A24" s="481"/>
      <c r="B24" s="543"/>
      <c r="C24" s="525" t="s">
        <v>3363</v>
      </c>
      <c r="D24" s="504"/>
      <c r="E24" s="525" t="s">
        <v>3363</v>
      </c>
      <c r="F24" s="506"/>
      <c r="G24" s="525" t="s">
        <v>3363</v>
      </c>
      <c r="H24" s="504"/>
      <c r="I24" s="525" t="s">
        <v>3363</v>
      </c>
      <c r="J24" s="504"/>
      <c r="K24" s="799"/>
      <c r="L24" s="1748"/>
      <c r="M24" s="1741"/>
      <c r="N24" s="1741"/>
      <c r="O24" s="1747"/>
      <c r="P24" s="3718"/>
      <c r="Q24" s="1305"/>
      <c r="R24" s="1306"/>
      <c r="S24" s="1307"/>
      <c r="T24" s="1306"/>
      <c r="U24" s="1307"/>
      <c r="V24" s="1306"/>
      <c r="W24" s="1307"/>
      <c r="X24" s="1301"/>
      <c r="Y24" s="3718"/>
      <c r="Z24" s="1308"/>
      <c r="AA24" s="1308">
        <v>1</v>
      </c>
      <c r="AB24" s="1308">
        <v>1</v>
      </c>
      <c r="AC24" s="1308">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718"/>
      <c r="Q25" s="1305" t="str">
        <f t="shared" ref="Q25:Q46" si="8">B25</f>
        <v>楼层-1</v>
      </c>
      <c r="R25" s="1306" t="s">
        <v>8</v>
      </c>
      <c r="S25" s="1307">
        <f>F25</f>
        <v>100</v>
      </c>
      <c r="T25" s="1306" t="s">
        <v>8</v>
      </c>
      <c r="U25" s="1307">
        <f>H25</f>
        <v>100</v>
      </c>
      <c r="V25" s="1306" t="s">
        <v>8</v>
      </c>
      <c r="W25" s="1307">
        <f>J25</f>
        <v>100</v>
      </c>
      <c r="X25" s="1301"/>
      <c r="Y25" s="3718"/>
      <c r="Z25" s="1308" t="str">
        <f>Q25</f>
        <v>楼层-1</v>
      </c>
      <c r="AA25" s="1308">
        <f t="shared" si="3"/>
        <v>1</v>
      </c>
      <c r="AB25" s="1308">
        <f t="shared" si="4"/>
        <v>1</v>
      </c>
      <c r="AC25" s="1308">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718"/>
      <c r="Q26" s="1305" t="str">
        <f t="shared" si="8"/>
        <v>朝向</v>
      </c>
      <c r="R26" s="1306" t="s">
        <v>8</v>
      </c>
      <c r="S26" s="1307">
        <f>F26</f>
        <v>100</v>
      </c>
      <c r="T26" s="1306" t="s">
        <v>8</v>
      </c>
      <c r="U26" s="1307">
        <f>H26</f>
        <v>100</v>
      </c>
      <c r="V26" s="1306" t="s">
        <v>8</v>
      </c>
      <c r="W26" s="1307">
        <f>J26</f>
        <v>100</v>
      </c>
      <c r="X26" s="1301"/>
      <c r="Y26" s="3718"/>
      <c r="Z26" s="1308" t="str">
        <f>Q26</f>
        <v>朝向</v>
      </c>
      <c r="AA26" s="1308">
        <f t="shared" si="3"/>
        <v>1</v>
      </c>
      <c r="AB26" s="1308">
        <f t="shared" si="4"/>
        <v>1</v>
      </c>
      <c r="AC26" s="1308">
        <f t="shared" si="5"/>
        <v>1</v>
      </c>
    </row>
    <row r="27" spans="1:29" s="1058"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718"/>
      <c r="Q27" s="816" t="str">
        <f t="shared" si="8"/>
        <v>道路级别</v>
      </c>
      <c r="R27" s="1302" t="s">
        <v>8</v>
      </c>
      <c r="S27" s="1303">
        <f>F27</f>
        <v>100</v>
      </c>
      <c r="T27" s="1302" t="s">
        <v>8</v>
      </c>
      <c r="U27" s="1303">
        <f>H27</f>
        <v>100</v>
      </c>
      <c r="V27" s="1302" t="s">
        <v>8</v>
      </c>
      <c r="W27" s="1303">
        <f>J27</f>
        <v>100</v>
      </c>
      <c r="X27" s="1304"/>
      <c r="Y27" s="3718"/>
      <c r="Z27" s="995" t="str">
        <f>Q27</f>
        <v>道路级别</v>
      </c>
      <c r="AA27" s="1308">
        <f>D27/F27</f>
        <v>1</v>
      </c>
      <c r="AB27" s="1308">
        <f>D27/H27</f>
        <v>1</v>
      </c>
      <c r="AC27" s="1308">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718"/>
      <c r="Q28" s="1305">
        <f t="shared" si="8"/>
        <v>111</v>
      </c>
      <c r="R28" s="1306" t="s">
        <v>8</v>
      </c>
      <c r="S28" s="1307">
        <f t="shared" ref="S28:S46" si="9">F28</f>
        <v>100</v>
      </c>
      <c r="T28" s="1306" t="s">
        <v>8</v>
      </c>
      <c r="U28" s="1307">
        <f t="shared" ref="U28:U46" si="10">H28</f>
        <v>100</v>
      </c>
      <c r="V28" s="1306" t="s">
        <v>8</v>
      </c>
      <c r="W28" s="1307">
        <f t="shared" ref="W28:W46" si="11">J28</f>
        <v>100</v>
      </c>
      <c r="X28" s="1301"/>
      <c r="Y28" s="3718"/>
      <c r="Z28" s="1308">
        <f t="shared" ref="Z28:Z46" si="12">Q28</f>
        <v>111</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718"/>
      <c r="Q29" s="1305">
        <f t="shared" si="8"/>
        <v>111</v>
      </c>
      <c r="R29" s="1306" t="s">
        <v>8</v>
      </c>
      <c r="S29" s="1307">
        <f t="shared" si="9"/>
        <v>100</v>
      </c>
      <c r="T29" s="1306" t="s">
        <v>8</v>
      </c>
      <c r="U29" s="1307">
        <f t="shared" si="10"/>
        <v>100</v>
      </c>
      <c r="V29" s="1306" t="s">
        <v>8</v>
      </c>
      <c r="W29" s="1307">
        <f t="shared" si="11"/>
        <v>100</v>
      </c>
      <c r="X29" s="1301"/>
      <c r="Y29" s="3718"/>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718"/>
      <c r="Q30" s="1305">
        <f t="shared" si="8"/>
        <v>111</v>
      </c>
      <c r="R30" s="1306" t="s">
        <v>8</v>
      </c>
      <c r="S30" s="1307">
        <f t="shared" si="9"/>
        <v>100</v>
      </c>
      <c r="T30" s="1306" t="s">
        <v>8</v>
      </c>
      <c r="U30" s="1307">
        <f t="shared" si="10"/>
        <v>100</v>
      </c>
      <c r="V30" s="1306" t="s">
        <v>8</v>
      </c>
      <c r="W30" s="1307">
        <f t="shared" si="11"/>
        <v>100</v>
      </c>
      <c r="X30" s="1301"/>
      <c r="Y30" s="3718"/>
      <c r="Z30" s="1308">
        <f t="shared" si="12"/>
        <v>111</v>
      </c>
      <c r="AA30" s="1308">
        <f t="shared" si="3"/>
        <v>1</v>
      </c>
      <c r="AB30" s="1308">
        <f t="shared" si="4"/>
        <v>1</v>
      </c>
      <c r="AC30" s="1308">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718"/>
      <c r="Q31" s="1305">
        <f t="shared" si="8"/>
        <v>111</v>
      </c>
      <c r="R31" s="1306" t="s">
        <v>8</v>
      </c>
      <c r="S31" s="1307">
        <f t="shared" si="9"/>
        <v>100</v>
      </c>
      <c r="T31" s="1306" t="s">
        <v>8</v>
      </c>
      <c r="U31" s="1307">
        <f t="shared" si="10"/>
        <v>100</v>
      </c>
      <c r="V31" s="1306" t="s">
        <v>8</v>
      </c>
      <c r="W31" s="1307">
        <f t="shared" si="11"/>
        <v>100</v>
      </c>
      <c r="X31" s="1301"/>
      <c r="Y31" s="3718"/>
      <c r="Z31" s="1308">
        <f t="shared" si="12"/>
        <v>111</v>
      </c>
      <c r="AA31" s="1308">
        <f t="shared" si="3"/>
        <v>1</v>
      </c>
      <c r="AB31" s="1308">
        <f t="shared" si="4"/>
        <v>1</v>
      </c>
      <c r="AC31" s="1308">
        <f t="shared" si="5"/>
        <v>1</v>
      </c>
    </row>
    <row r="32" spans="1:29" ht="15">
      <c r="A32" s="2203" t="s">
        <v>2036</v>
      </c>
      <c r="B32" s="155" t="s">
        <v>672</v>
      </c>
      <c r="C32" s="803" t="s">
        <v>3666</v>
      </c>
      <c r="D32" s="545">
        <v>100</v>
      </c>
      <c r="E32" s="803" t="s">
        <v>3666</v>
      </c>
      <c r="F32" s="524">
        <f>SUMIF(100:100,E32,101:101)-SUMIF(100:100,C32,101:101)+100</f>
        <v>100</v>
      </c>
      <c r="G32" s="803" t="s">
        <v>3666</v>
      </c>
      <c r="H32" s="545">
        <f>SUMIF(100:100,G32,101:101)-SUMIF(100:100,C32,101:101)+100</f>
        <v>100</v>
      </c>
      <c r="I32" s="803" t="s">
        <v>3666</v>
      </c>
      <c r="J32" s="489">
        <f>SUMIF(100:100,I32,101:101)-SUMIF(100:100,C32,101:101)+100</f>
        <v>100</v>
      </c>
      <c r="K32" s="793">
        <v>3</v>
      </c>
      <c r="L32" s="1748"/>
      <c r="M32" s="1741"/>
      <c r="N32" s="1741"/>
      <c r="O32" s="1747"/>
      <c r="P32" s="3719" t="s">
        <v>499</v>
      </c>
      <c r="Q32" s="1305" t="str">
        <f t="shared" si="8"/>
        <v>建筑类型</v>
      </c>
      <c r="R32" s="1306" t="s">
        <v>8</v>
      </c>
      <c r="S32" s="1307">
        <f t="shared" si="9"/>
        <v>100</v>
      </c>
      <c r="T32" s="1306" t="s">
        <v>8</v>
      </c>
      <c r="U32" s="1307">
        <f t="shared" si="10"/>
        <v>100</v>
      </c>
      <c r="V32" s="1306" t="s">
        <v>8</v>
      </c>
      <c r="W32" s="1307">
        <f t="shared" si="11"/>
        <v>100</v>
      </c>
      <c r="X32" s="1301"/>
      <c r="Y32" s="3720" t="s">
        <v>499</v>
      </c>
      <c r="Z32" s="1308" t="str">
        <f t="shared" si="12"/>
        <v>建筑类型</v>
      </c>
      <c r="AA32" s="1308">
        <f t="shared" si="3"/>
        <v>1</v>
      </c>
      <c r="AB32" s="1308">
        <f t="shared" si="4"/>
        <v>1</v>
      </c>
      <c r="AC32" s="1308">
        <f t="shared" si="5"/>
        <v>1</v>
      </c>
    </row>
    <row r="33" spans="1:29" s="1132" customFormat="1" ht="15">
      <c r="A33" s="551"/>
      <c r="B33" s="476" t="s">
        <v>673</v>
      </c>
      <c r="C33" s="804">
        <v>30746.720000000001</v>
      </c>
      <c r="D33" s="234">
        <v>100</v>
      </c>
      <c r="E33" s="483">
        <v>40910</v>
      </c>
      <c r="F33" s="476">
        <f>LOOKUP(E33,103:103,104:104)-LOOKUP(C33,103:103,104:104)+100</f>
        <v>100</v>
      </c>
      <c r="G33" s="482">
        <v>34906</v>
      </c>
      <c r="H33" s="234">
        <f>LOOKUP(G33,103:103,104:104)-LOOKUP(C33,103:103,104:104)+100</f>
        <v>100</v>
      </c>
      <c r="I33" s="483">
        <v>54888.44</v>
      </c>
      <c r="J33" s="234">
        <f>LOOKUP(I33,103:103,104:104)-LOOKUP(C33,103:103,104:104)+100</f>
        <v>101</v>
      </c>
      <c r="K33" s="794"/>
      <c r="L33" s="1746"/>
      <c r="M33" s="1770"/>
      <c r="N33" s="1770"/>
      <c r="O33" s="1749"/>
      <c r="P33" s="3720"/>
      <c r="Q33" s="817" t="str">
        <f t="shared" si="8"/>
        <v>项目建筑规模</v>
      </c>
      <c r="R33" s="1309" t="s">
        <v>8</v>
      </c>
      <c r="S33" s="1310">
        <f t="shared" si="9"/>
        <v>100</v>
      </c>
      <c r="T33" s="1309" t="s">
        <v>8</v>
      </c>
      <c r="U33" s="1310">
        <f t="shared" si="10"/>
        <v>100</v>
      </c>
      <c r="V33" s="1309" t="s">
        <v>8</v>
      </c>
      <c r="W33" s="1310">
        <f t="shared" si="11"/>
        <v>101</v>
      </c>
      <c r="X33" s="1311"/>
      <c r="Y33" s="3720"/>
      <c r="Z33" s="1312" t="str">
        <f t="shared" si="12"/>
        <v>项目建筑规模</v>
      </c>
      <c r="AA33" s="1308">
        <f t="shared" si="3"/>
        <v>1</v>
      </c>
      <c r="AB33" s="1308">
        <f t="shared" si="4"/>
        <v>1</v>
      </c>
      <c r="AC33" s="1308">
        <f t="shared" si="5"/>
        <v>0.99009900990099009</v>
      </c>
    </row>
    <row r="34" spans="1:29" ht="15">
      <c r="A34" s="542"/>
      <c r="B34" s="476" t="s">
        <v>674</v>
      </c>
      <c r="C34" s="523" t="s">
        <v>3668</v>
      </c>
      <c r="D34" s="489">
        <v>100</v>
      </c>
      <c r="E34" s="523" t="s">
        <v>3668</v>
      </c>
      <c r="F34" s="524">
        <f>SUMIF(105:105,E34,106:106)-SUMIF(105:105,C34,106:106)+100</f>
        <v>100</v>
      </c>
      <c r="G34" s="523" t="s">
        <v>3668</v>
      </c>
      <c r="H34" s="489">
        <f>SUMIF(105:105,G34,106:106)-SUMIF(105:105,C34,106:106)+100</f>
        <v>100</v>
      </c>
      <c r="I34" s="523" t="s">
        <v>3668</v>
      </c>
      <c r="J34" s="489">
        <f>SUMIF(105:105,I34,106:106)-SUMIF(105:105,C34,106:106)+100</f>
        <v>100</v>
      </c>
      <c r="K34" s="793">
        <v>1</v>
      </c>
      <c r="L34" s="1748"/>
      <c r="M34" s="1741"/>
      <c r="N34" s="1741"/>
      <c r="O34" s="1747"/>
      <c r="P34" s="3720"/>
      <c r="Q34" s="1305" t="str">
        <f t="shared" si="8"/>
        <v>建筑结构</v>
      </c>
      <c r="R34" s="1306" t="s">
        <v>8</v>
      </c>
      <c r="S34" s="1307">
        <f t="shared" si="9"/>
        <v>100</v>
      </c>
      <c r="T34" s="1306" t="s">
        <v>8</v>
      </c>
      <c r="U34" s="1307">
        <f t="shared" si="10"/>
        <v>100</v>
      </c>
      <c r="V34" s="1306" t="s">
        <v>8</v>
      </c>
      <c r="W34" s="1307">
        <f t="shared" si="11"/>
        <v>100</v>
      </c>
      <c r="X34" s="1301"/>
      <c r="Y34" s="3720"/>
      <c r="Z34" s="1308" t="str">
        <f t="shared" si="12"/>
        <v>建筑结构</v>
      </c>
      <c r="AA34" s="1308">
        <f t="shared" si="3"/>
        <v>1</v>
      </c>
      <c r="AB34" s="1308">
        <f t="shared" si="4"/>
        <v>1</v>
      </c>
      <c r="AC34" s="1308">
        <f t="shared" si="5"/>
        <v>1</v>
      </c>
    </row>
    <row r="35" spans="1:29" ht="15">
      <c r="A35" s="542"/>
      <c r="B35" s="476" t="s">
        <v>675</v>
      </c>
      <c r="C35" s="547" t="s">
        <v>3669</v>
      </c>
      <c r="D35" s="489">
        <v>100</v>
      </c>
      <c r="E35" s="547" t="s">
        <v>3669</v>
      </c>
      <c r="F35" s="524">
        <f>SUMIF(107:107,E35,108:108)-SUMIF(107:107,C35,108:108)+100</f>
        <v>100</v>
      </c>
      <c r="G35" s="547" t="s">
        <v>3671</v>
      </c>
      <c r="H35" s="489">
        <f>SUMIF(107:107,G35,108:108)-SUMIF(107:107,C35,108:108)+100</f>
        <v>105</v>
      </c>
      <c r="I35" s="547" t="s">
        <v>3669</v>
      </c>
      <c r="J35" s="489">
        <f>SUMIF(107:107,I35,108:108)-SUMIF(107:107,C35,108:108)+100</f>
        <v>100</v>
      </c>
      <c r="K35" s="793">
        <v>5</v>
      </c>
      <c r="L35" s="1748"/>
      <c r="M35" s="1741"/>
      <c r="N35" s="1741"/>
      <c r="O35" s="1747"/>
      <c r="P35" s="3720"/>
      <c r="Q35" s="1305" t="str">
        <f t="shared" si="8"/>
        <v>建筑品质</v>
      </c>
      <c r="R35" s="1306" t="s">
        <v>8</v>
      </c>
      <c r="S35" s="1307">
        <f t="shared" si="9"/>
        <v>100</v>
      </c>
      <c r="T35" s="1306" t="s">
        <v>8</v>
      </c>
      <c r="U35" s="1307">
        <f t="shared" si="10"/>
        <v>105</v>
      </c>
      <c r="V35" s="1306" t="s">
        <v>8</v>
      </c>
      <c r="W35" s="1307">
        <f t="shared" si="11"/>
        <v>100</v>
      </c>
      <c r="X35" s="1301"/>
      <c r="Y35" s="3720"/>
      <c r="Z35" s="1308" t="str">
        <f t="shared" si="12"/>
        <v>建筑品质</v>
      </c>
      <c r="AA35" s="1308">
        <f t="shared" si="3"/>
        <v>1</v>
      </c>
      <c r="AB35" s="1308">
        <f t="shared" si="4"/>
        <v>0.95238095238095233</v>
      </c>
      <c r="AC35" s="1308">
        <f t="shared" si="5"/>
        <v>1</v>
      </c>
    </row>
    <row r="36" spans="1:29" ht="15">
      <c r="A36" s="542"/>
      <c r="B36" s="476" t="s">
        <v>676</v>
      </c>
      <c r="C36" s="547" t="s">
        <v>3670</v>
      </c>
      <c r="D36" s="489">
        <v>100</v>
      </c>
      <c r="E36" s="547" t="s">
        <v>3670</v>
      </c>
      <c r="F36" s="524">
        <f>SUMIF(109:109,E36,110:110)-SUMIF(109:109,C36,110:110)+100</f>
        <v>100</v>
      </c>
      <c r="G36" s="547" t="s">
        <v>3670</v>
      </c>
      <c r="H36" s="489">
        <f>SUMIF(109:109,G36,110:110)-SUMIF(109:109,C36,110:110)+100</f>
        <v>100</v>
      </c>
      <c r="I36" s="547" t="s">
        <v>3670</v>
      </c>
      <c r="J36" s="489">
        <f>SUMIF(109:109,I36,110:110)-SUMIF(109:109,C36,110:110)+100</f>
        <v>100</v>
      </c>
      <c r="K36" s="793">
        <v>1</v>
      </c>
      <c r="L36" s="1748"/>
      <c r="M36" s="1741"/>
      <c r="N36" s="1741"/>
      <c r="O36" s="1747"/>
      <c r="P36" s="3720"/>
      <c r="Q36" s="1305" t="str">
        <f t="shared" si="8"/>
        <v>公共部分装修</v>
      </c>
      <c r="R36" s="1306" t="s">
        <v>8</v>
      </c>
      <c r="S36" s="1307">
        <f t="shared" si="9"/>
        <v>100</v>
      </c>
      <c r="T36" s="1306" t="s">
        <v>8</v>
      </c>
      <c r="U36" s="1307">
        <f t="shared" si="10"/>
        <v>100</v>
      </c>
      <c r="V36" s="1306" t="s">
        <v>8</v>
      </c>
      <c r="W36" s="1307">
        <f t="shared" si="11"/>
        <v>100</v>
      </c>
      <c r="X36" s="1301"/>
      <c r="Y36" s="3720"/>
      <c r="Z36" s="1308" t="str">
        <f t="shared" si="12"/>
        <v>公共部分装修</v>
      </c>
      <c r="AA36" s="1308">
        <f t="shared" si="3"/>
        <v>1</v>
      </c>
      <c r="AB36" s="1308">
        <f t="shared" si="4"/>
        <v>1</v>
      </c>
      <c r="AC36" s="1308">
        <f t="shared" si="5"/>
        <v>1</v>
      </c>
    </row>
    <row r="37" spans="1:29" s="1058" customFormat="1" ht="15" hidden="1">
      <c r="A37" s="548"/>
      <c r="B37" s="476" t="s">
        <v>677</v>
      </c>
      <c r="C37" s="806">
        <v>1</v>
      </c>
      <c r="D37" s="234">
        <v>100</v>
      </c>
      <c r="E37" s="807">
        <v>1</v>
      </c>
      <c r="F37" s="476">
        <f>LOOKUP(E37,112:112,113:113)-LOOKUP(C37,112:112,113:113)+100</f>
        <v>100</v>
      </c>
      <c r="G37" s="808">
        <v>1</v>
      </c>
      <c r="H37" s="234">
        <f>LOOKUP(G37,112:112,113:113)-LOOKUP(C37,112:112,113:113)+100</f>
        <v>100</v>
      </c>
      <c r="I37" s="807">
        <v>1</v>
      </c>
      <c r="J37" s="234">
        <f>LOOKUP(I37,112:112,113:113)-LOOKUP(C37,112:112,113:113)+100</f>
        <v>100</v>
      </c>
      <c r="K37" s="793">
        <v>1</v>
      </c>
      <c r="L37" s="1742"/>
      <c r="M37" s="1639"/>
      <c r="N37" s="1639"/>
      <c r="O37" s="1743"/>
      <c r="P37" s="3720"/>
      <c r="Q37" s="816" t="str">
        <f t="shared" si="8"/>
        <v>成新度</v>
      </c>
      <c r="R37" s="1302" t="s">
        <v>8</v>
      </c>
      <c r="S37" s="1303">
        <f t="shared" si="9"/>
        <v>100</v>
      </c>
      <c r="T37" s="1302" t="s">
        <v>8</v>
      </c>
      <c r="U37" s="1303">
        <f t="shared" si="10"/>
        <v>100</v>
      </c>
      <c r="V37" s="1302" t="s">
        <v>8</v>
      </c>
      <c r="W37" s="1303">
        <f t="shared" si="11"/>
        <v>100</v>
      </c>
      <c r="X37" s="1304"/>
      <c r="Y37" s="3720"/>
      <c r="Z37" s="995" t="str">
        <f t="shared" si="12"/>
        <v>成新度</v>
      </c>
      <c r="AA37" s="995">
        <f t="shared" si="3"/>
        <v>1</v>
      </c>
      <c r="AB37" s="995">
        <f t="shared" si="4"/>
        <v>1</v>
      </c>
      <c r="AC37" s="995">
        <f t="shared" si="5"/>
        <v>1</v>
      </c>
    </row>
    <row r="38" spans="1:29" ht="15">
      <c r="A38" s="542"/>
      <c r="B38" s="476" t="s">
        <v>678</v>
      </c>
      <c r="C38" s="547" t="s">
        <v>3425</v>
      </c>
      <c r="D38" s="489">
        <v>100</v>
      </c>
      <c r="E38" s="547" t="s">
        <v>3425</v>
      </c>
      <c r="F38" s="524">
        <f>SUMIF(114:114,E38,115:115)-SUMIF(114:114,C38,115:115)+100</f>
        <v>100</v>
      </c>
      <c r="G38" s="547" t="s">
        <v>3425</v>
      </c>
      <c r="H38" s="489">
        <f>SUMIF(114:114,G38,115:115)-SUMIF(114:114,C38,115:115)+100</f>
        <v>100</v>
      </c>
      <c r="I38" s="547" t="s">
        <v>3425</v>
      </c>
      <c r="J38" s="489">
        <f>SUMIF(114:114,I38,115:115)-SUMIF(114:114,C38,115:115)+100</f>
        <v>100</v>
      </c>
      <c r="K38" s="793">
        <v>2</v>
      </c>
      <c r="L38" s="1748"/>
      <c r="M38" s="1741"/>
      <c r="N38" s="1741"/>
      <c r="O38" s="1747"/>
      <c r="P38" s="3720" t="s">
        <v>499</v>
      </c>
      <c r="Q38" s="1305" t="str">
        <f t="shared" si="8"/>
        <v>物业管理</v>
      </c>
      <c r="R38" s="1306" t="s">
        <v>8</v>
      </c>
      <c r="S38" s="1307">
        <f t="shared" si="9"/>
        <v>100</v>
      </c>
      <c r="T38" s="1306" t="s">
        <v>8</v>
      </c>
      <c r="U38" s="1307">
        <f t="shared" si="10"/>
        <v>100</v>
      </c>
      <c r="V38" s="1306" t="s">
        <v>8</v>
      </c>
      <c r="W38" s="1307">
        <f t="shared" si="11"/>
        <v>100</v>
      </c>
      <c r="X38" s="1301"/>
      <c r="Y38" s="3720" t="s">
        <v>499</v>
      </c>
      <c r="Z38" s="1308" t="str">
        <f t="shared" si="12"/>
        <v>物业管理</v>
      </c>
      <c r="AA38" s="1308">
        <f t="shared" si="3"/>
        <v>1</v>
      </c>
      <c r="AB38" s="1308">
        <f t="shared" si="4"/>
        <v>1</v>
      </c>
      <c r="AC38" s="1308">
        <f t="shared" si="5"/>
        <v>1</v>
      </c>
    </row>
    <row r="39" spans="1:29" ht="15">
      <c r="A39" s="542"/>
      <c r="B39" s="1553" t="s">
        <v>1847</v>
      </c>
      <c r="C39" s="547" t="s">
        <v>3365</v>
      </c>
      <c r="D39" s="489">
        <v>100</v>
      </c>
      <c r="E39" s="547" t="s">
        <v>3365</v>
      </c>
      <c r="F39" s="524">
        <f>SUMIF(116:116,E39,117:117)-SUMIF(116:116,C39,117:117)+100</f>
        <v>100</v>
      </c>
      <c r="G39" s="547" t="s">
        <v>3365</v>
      </c>
      <c r="H39" s="489">
        <f>SUMIF(116:116,G39,117:117)-SUMIF(116:116,C39,117:117)+100</f>
        <v>100</v>
      </c>
      <c r="I39" s="547" t="s">
        <v>3365</v>
      </c>
      <c r="J39" s="489">
        <f>SUMIF(116:116,I39,117:117)-SUMIF(116:116,C39,117:117)+100</f>
        <v>100</v>
      </c>
      <c r="K39" s="793">
        <v>1</v>
      </c>
      <c r="L39" s="1748"/>
      <c r="M39" s="1741"/>
      <c r="N39" s="1741"/>
      <c r="O39" s="1747"/>
      <c r="P39" s="3720"/>
      <c r="Q39" s="1305" t="str">
        <f t="shared" si="8"/>
        <v>市政基础设施</v>
      </c>
      <c r="R39" s="1306" t="s">
        <v>8</v>
      </c>
      <c r="S39" s="1307">
        <f t="shared" si="9"/>
        <v>100</v>
      </c>
      <c r="T39" s="1306" t="s">
        <v>8</v>
      </c>
      <c r="U39" s="1307">
        <f t="shared" si="10"/>
        <v>100</v>
      </c>
      <c r="V39" s="1306" t="s">
        <v>8</v>
      </c>
      <c r="W39" s="1307">
        <f t="shared" si="11"/>
        <v>100</v>
      </c>
      <c r="X39" s="1301"/>
      <c r="Y39" s="3720"/>
      <c r="Z39" s="1308" t="str">
        <f t="shared" si="12"/>
        <v>市政基础设施</v>
      </c>
      <c r="AA39" s="1308">
        <f t="shared" si="3"/>
        <v>1</v>
      </c>
      <c r="AB39" s="1308">
        <f t="shared" si="4"/>
        <v>1</v>
      </c>
      <c r="AC39" s="1308">
        <f t="shared" si="5"/>
        <v>1</v>
      </c>
    </row>
    <row r="40" spans="1:29" ht="15">
      <c r="A40" s="542"/>
      <c r="B40" s="476" t="s">
        <v>679</v>
      </c>
      <c r="C40" s="547" t="s">
        <v>3416</v>
      </c>
      <c r="D40" s="489">
        <v>100</v>
      </c>
      <c r="E40" s="547" t="s">
        <v>3416</v>
      </c>
      <c r="F40" s="524">
        <f>SUMIF(118:118,E40,119:119)-SUMIF(118:118,C40,119:119)+100</f>
        <v>100</v>
      </c>
      <c r="G40" s="547" t="s">
        <v>3416</v>
      </c>
      <c r="H40" s="489">
        <f>SUMIF(118:118,G40,119:119)-SUMIF(118:118,C40,119:119)+100</f>
        <v>100</v>
      </c>
      <c r="I40" s="547" t="s">
        <v>3416</v>
      </c>
      <c r="J40" s="489">
        <f>SUMIF(118:118,I40,119:119)-SUMIF(118:118,C40,119:119)+100</f>
        <v>100</v>
      </c>
      <c r="K40" s="793">
        <v>1</v>
      </c>
      <c r="L40" s="1748"/>
      <c r="M40" s="1741"/>
      <c r="N40" s="1741"/>
      <c r="O40" s="1747"/>
      <c r="P40" s="3720"/>
      <c r="Q40" s="1305" t="str">
        <f t="shared" si="8"/>
        <v>房型</v>
      </c>
      <c r="R40" s="1306" t="s">
        <v>8</v>
      </c>
      <c r="S40" s="1307">
        <f t="shared" si="9"/>
        <v>100</v>
      </c>
      <c r="T40" s="1306" t="s">
        <v>8</v>
      </c>
      <c r="U40" s="1307">
        <f t="shared" si="10"/>
        <v>100</v>
      </c>
      <c r="V40" s="1306" t="s">
        <v>8</v>
      </c>
      <c r="W40" s="1307">
        <f t="shared" si="11"/>
        <v>100</v>
      </c>
      <c r="X40" s="1301"/>
      <c r="Y40" s="3720"/>
      <c r="Z40" s="1308" t="str">
        <f t="shared" si="12"/>
        <v>房型</v>
      </c>
      <c r="AA40" s="1308">
        <f t="shared" si="3"/>
        <v>1</v>
      </c>
      <c r="AB40" s="1308">
        <f t="shared" si="4"/>
        <v>1</v>
      </c>
      <c r="AC40" s="1308">
        <f t="shared" si="5"/>
        <v>1</v>
      </c>
    </row>
    <row r="41" spans="1:29" s="1132" customFormat="1" ht="28.5" hidden="1">
      <c r="A41" s="551"/>
      <c r="B41" s="476" t="s">
        <v>680</v>
      </c>
      <c r="C41" s="804"/>
      <c r="D41" s="234">
        <v>100</v>
      </c>
      <c r="E41" s="804"/>
      <c r="F41" s="476">
        <f>SUMIF(120:120,E41,121:121)-SUMIF(120:120,C41,121:121)+100</f>
        <v>100</v>
      </c>
      <c r="G41" s="804"/>
      <c r="H41" s="234">
        <f>SUMIF(120:120,G41,121:121)-SUMIF(120:120,C41,121:121)+100</f>
        <v>100</v>
      </c>
      <c r="I41" s="804"/>
      <c r="J41" s="489">
        <f>SUMIF(120:120,I41,121:121)-SUMIF(120:120,C41,121:121)+100</f>
        <v>100</v>
      </c>
      <c r="K41" s="794"/>
      <c r="L41" s="1746"/>
      <c r="M41" s="1770"/>
      <c r="N41" s="1770"/>
      <c r="O41" s="1749"/>
      <c r="P41" s="3720"/>
      <c r="Q41" s="817" t="str">
        <f t="shared" si="8"/>
        <v>单套/主力户型建筑面积</v>
      </c>
      <c r="R41" s="1309" t="s">
        <v>8</v>
      </c>
      <c r="S41" s="1310">
        <f t="shared" si="9"/>
        <v>100</v>
      </c>
      <c r="T41" s="1309" t="s">
        <v>8</v>
      </c>
      <c r="U41" s="1310">
        <f t="shared" si="10"/>
        <v>100</v>
      </c>
      <c r="V41" s="1309" t="s">
        <v>8</v>
      </c>
      <c r="W41" s="1310">
        <f t="shared" si="11"/>
        <v>100</v>
      </c>
      <c r="X41" s="1311"/>
      <c r="Y41" s="3720"/>
      <c r="Z41" s="1312" t="str">
        <f t="shared" si="12"/>
        <v>单套/主力户型建筑面积</v>
      </c>
      <c r="AA41" s="1308">
        <f t="shared" si="3"/>
        <v>1</v>
      </c>
      <c r="AB41" s="1308">
        <f t="shared" si="4"/>
        <v>1</v>
      </c>
      <c r="AC41" s="1308">
        <f t="shared" si="5"/>
        <v>1</v>
      </c>
    </row>
    <row r="42" spans="1:29" ht="15">
      <c r="A42" s="542"/>
      <c r="B42" s="476" t="s">
        <v>681</v>
      </c>
      <c r="C42" s="547" t="s">
        <v>3670</v>
      </c>
      <c r="D42" s="489">
        <v>100</v>
      </c>
      <c r="E42" s="547" t="s">
        <v>3670</v>
      </c>
      <c r="F42" s="524">
        <f>SUMIF(122:122,E42,123:123)-SUMIF(122:122,C42,123:123)+100</f>
        <v>100</v>
      </c>
      <c r="G42" s="547" t="s">
        <v>3670</v>
      </c>
      <c r="H42" s="489">
        <f>SUMIF(122:122,G42,123:123)-SUMIF(122:122,C42,123:123)+100</f>
        <v>100</v>
      </c>
      <c r="I42" s="547" t="s">
        <v>3670</v>
      </c>
      <c r="J42" s="489">
        <f>SUMIF(122:122,I42,123:123)-SUMIF(122:122,C42,123:123)+100</f>
        <v>100</v>
      </c>
      <c r="K42" s="793">
        <v>1</v>
      </c>
      <c r="L42" s="1748"/>
      <c r="M42" s="1741"/>
      <c r="N42" s="1741"/>
      <c r="O42" s="1747"/>
      <c r="P42" s="3720"/>
      <c r="Q42" s="1305" t="str">
        <f t="shared" si="8"/>
        <v>内部装修</v>
      </c>
      <c r="R42" s="1306" t="s">
        <v>8</v>
      </c>
      <c r="S42" s="1307">
        <f t="shared" si="9"/>
        <v>100</v>
      </c>
      <c r="T42" s="1306" t="s">
        <v>8</v>
      </c>
      <c r="U42" s="1307">
        <f t="shared" si="10"/>
        <v>100</v>
      </c>
      <c r="V42" s="1306" t="s">
        <v>8</v>
      </c>
      <c r="W42" s="1307">
        <f t="shared" si="11"/>
        <v>100</v>
      </c>
      <c r="X42" s="1301"/>
      <c r="Y42" s="3720"/>
      <c r="Z42" s="1308" t="str">
        <f t="shared" si="12"/>
        <v>内部装修</v>
      </c>
      <c r="AA42" s="1308">
        <f t="shared" si="3"/>
        <v>1</v>
      </c>
      <c r="AB42" s="1308">
        <f t="shared" si="4"/>
        <v>1</v>
      </c>
      <c r="AC42" s="1308">
        <f t="shared" si="5"/>
        <v>1</v>
      </c>
    </row>
    <row r="43" spans="1:29" ht="27" hidden="1">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720"/>
      <c r="Q43" s="1305" t="str">
        <f t="shared" si="8"/>
        <v>内部装修维护情况</v>
      </c>
      <c r="R43" s="1306" t="s">
        <v>8</v>
      </c>
      <c r="S43" s="1307">
        <f t="shared" si="9"/>
        <v>100</v>
      </c>
      <c r="T43" s="1306" t="s">
        <v>8</v>
      </c>
      <c r="U43" s="1307">
        <f t="shared" si="10"/>
        <v>100</v>
      </c>
      <c r="V43" s="1306" t="s">
        <v>8</v>
      </c>
      <c r="W43" s="1307">
        <f t="shared" si="11"/>
        <v>100</v>
      </c>
      <c r="X43" s="1301"/>
      <c r="Y43" s="3720"/>
      <c r="Z43" s="1308" t="str">
        <f t="shared" si="12"/>
        <v>内部装修维护情况</v>
      </c>
      <c r="AA43" s="1308">
        <f t="shared" si="3"/>
        <v>1</v>
      </c>
      <c r="AB43" s="1308">
        <f t="shared" si="4"/>
        <v>1</v>
      </c>
      <c r="AC43" s="1308">
        <f t="shared" si="5"/>
        <v>1</v>
      </c>
    </row>
    <row r="44" spans="1:29" s="1058" customFormat="1" ht="15">
      <c r="A44" s="548"/>
      <c r="B44" s="90">
        <v>111</v>
      </c>
      <c r="C44" s="804"/>
      <c r="D44" s="234">
        <v>100</v>
      </c>
      <c r="E44" s="804"/>
      <c r="F44" s="476">
        <f>SUMIF(126:126,E44,127:127)-SUMIF(126:126,C44,127:127)+100</f>
        <v>100</v>
      </c>
      <c r="G44" s="804"/>
      <c r="H44" s="234">
        <f>SUMIF(126:126,G44,127:127)-SUMIF(126:126,C44,127:127)+100</f>
        <v>100</v>
      </c>
      <c r="I44" s="804"/>
      <c r="J44" s="234">
        <f>SUMIF(126:126,I44,127:127)-SUMIF(126:126,C44,127:127)+100</f>
        <v>100</v>
      </c>
      <c r="K44" s="794"/>
      <c r="L44" s="1742"/>
      <c r="M44" s="1639"/>
      <c r="N44" s="1639"/>
      <c r="O44" s="1743"/>
      <c r="P44" s="3720"/>
      <c r="Q44" s="816">
        <f t="shared" si="8"/>
        <v>111</v>
      </c>
      <c r="R44" s="1302" t="s">
        <v>8</v>
      </c>
      <c r="S44" s="1303">
        <f t="shared" si="9"/>
        <v>100</v>
      </c>
      <c r="T44" s="1302" t="s">
        <v>8</v>
      </c>
      <c r="U44" s="1303">
        <f t="shared" si="10"/>
        <v>100</v>
      </c>
      <c r="V44" s="1302" t="s">
        <v>8</v>
      </c>
      <c r="W44" s="1303">
        <f t="shared" si="11"/>
        <v>100</v>
      </c>
      <c r="X44" s="1304"/>
      <c r="Y44" s="3720"/>
      <c r="Z44" s="995">
        <f t="shared" si="12"/>
        <v>111</v>
      </c>
      <c r="AA44" s="995">
        <f t="shared" si="3"/>
        <v>1</v>
      </c>
      <c r="AB44" s="995">
        <f t="shared" si="4"/>
        <v>1</v>
      </c>
      <c r="AC44" s="995">
        <f t="shared" si="5"/>
        <v>1</v>
      </c>
    </row>
    <row r="45" spans="1:29" ht="15">
      <c r="A45" s="542"/>
      <c r="B45" s="3448" t="s">
        <v>3672</v>
      </c>
      <c r="C45" s="804" t="s">
        <v>3664</v>
      </c>
      <c r="D45" s="3471">
        <v>100</v>
      </c>
      <c r="E45" s="804" t="s">
        <v>3730</v>
      </c>
      <c r="F45" s="3471">
        <f>SUMIF(128:128,E45,129:129)-SUMIF(128:128,C45,129:129)+100</f>
        <v>100</v>
      </c>
      <c r="G45" s="804" t="s">
        <v>3665</v>
      </c>
      <c r="H45" s="3489">
        <f>SUMIF(128:128,G45,129:129)-SUMIF(128:128,C45,129:129)+100</f>
        <v>103</v>
      </c>
      <c r="I45" s="804" t="s">
        <v>3665</v>
      </c>
      <c r="J45" s="3489">
        <f>SUMIF(128:128,I45,129:129)-SUMIF(128:128,C45,129:129)+100</f>
        <v>103</v>
      </c>
      <c r="K45" s="794"/>
      <c r="L45" s="1748"/>
      <c r="M45" s="1741"/>
      <c r="N45" s="1741"/>
      <c r="O45" s="1747"/>
      <c r="P45" s="3720"/>
      <c r="Q45" s="1305" t="str">
        <f t="shared" si="8"/>
        <v>销售状态</v>
      </c>
      <c r="R45" s="1306" t="s">
        <v>8</v>
      </c>
      <c r="S45" s="1307">
        <f t="shared" si="9"/>
        <v>100</v>
      </c>
      <c r="T45" s="1306" t="s">
        <v>8</v>
      </c>
      <c r="U45" s="1307">
        <f t="shared" si="10"/>
        <v>103</v>
      </c>
      <c r="V45" s="1306" t="s">
        <v>8</v>
      </c>
      <c r="W45" s="1307">
        <f t="shared" si="11"/>
        <v>103</v>
      </c>
      <c r="X45" s="1301"/>
      <c r="Y45" s="3720"/>
      <c r="Z45" s="1308" t="str">
        <f t="shared" si="12"/>
        <v>销售状态</v>
      </c>
      <c r="AA45" s="1308">
        <f t="shared" si="3"/>
        <v>1</v>
      </c>
      <c r="AB45" s="1308">
        <f t="shared" si="4"/>
        <v>0.970873786407767</v>
      </c>
      <c r="AC45" s="1308">
        <f t="shared" si="5"/>
        <v>0.970873786407767</v>
      </c>
    </row>
    <row r="46" spans="1:29" ht="15.75" thickBot="1">
      <c r="A46" s="809"/>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805"/>
      <c r="Q46" s="1305">
        <f t="shared" si="8"/>
        <v>111</v>
      </c>
      <c r="R46" s="1306" t="s">
        <v>7</v>
      </c>
      <c r="S46" s="1307">
        <f t="shared" si="9"/>
        <v>100</v>
      </c>
      <c r="T46" s="1306" t="s">
        <v>7</v>
      </c>
      <c r="U46" s="1307">
        <f t="shared" si="10"/>
        <v>100</v>
      </c>
      <c r="V46" s="1306" t="s">
        <v>7</v>
      </c>
      <c r="W46" s="1307">
        <f t="shared" si="11"/>
        <v>100</v>
      </c>
      <c r="X46" s="1301"/>
      <c r="Y46" s="3805"/>
      <c r="Z46" s="1308">
        <f t="shared" si="12"/>
        <v>111</v>
      </c>
      <c r="AA46" s="1308">
        <f t="shared" si="3"/>
        <v>1</v>
      </c>
      <c r="AB46" s="1308">
        <f t="shared" si="4"/>
        <v>1</v>
      </c>
      <c r="AC46" s="1308">
        <f t="shared" si="5"/>
        <v>1</v>
      </c>
    </row>
    <row r="47" spans="1:29" ht="15">
      <c r="A47" s="555" t="s">
        <v>683</v>
      </c>
      <c r="B47" s="810"/>
      <c r="C47" s="2080" t="s">
        <v>6</v>
      </c>
      <c r="D47" s="558"/>
      <c r="E47" s="559">
        <f>住宅!F3</f>
        <v>28372</v>
      </c>
      <c r="F47" s="560"/>
      <c r="G47" s="561">
        <f>住宅!F5</f>
        <v>33276</v>
      </c>
      <c r="H47" s="562"/>
      <c r="I47" s="559">
        <f>住宅!F6</f>
        <v>28087</v>
      </c>
      <c r="J47" s="562"/>
      <c r="K47" s="1330"/>
      <c r="L47" s="1750"/>
      <c r="M47" s="1741"/>
      <c r="N47" s="1741"/>
      <c r="O47" s="1741"/>
      <c r="P47" s="3684" t="str">
        <f>A47</f>
        <v>成交单价（元/平方米）</v>
      </c>
      <c r="Q47" s="3684"/>
      <c r="R47" s="3685">
        <f>E47</f>
        <v>28372</v>
      </c>
      <c r="S47" s="3685"/>
      <c r="T47" s="3685">
        <f>G47</f>
        <v>33276</v>
      </c>
      <c r="U47" s="3685"/>
      <c r="V47" s="3685">
        <f>I47</f>
        <v>28087</v>
      </c>
      <c r="W47" s="3685"/>
      <c r="X47" s="798"/>
      <c r="Y47" s="1313"/>
      <c r="Z47" s="798"/>
      <c r="AA47" s="798"/>
      <c r="AB47" s="798"/>
      <c r="AC47" s="798"/>
    </row>
    <row r="48" spans="1:29" ht="15.75" thickBot="1">
      <c r="A48" s="563" t="s">
        <v>2041</v>
      </c>
      <c r="B48" s="811"/>
      <c r="C48" s="2081">
        <f>R49</f>
        <v>28219</v>
      </c>
      <c r="D48" s="2549" t="s">
        <v>2259</v>
      </c>
      <c r="E48" s="2082">
        <f>R48</f>
        <v>28372</v>
      </c>
      <c r="F48" s="2550"/>
      <c r="G48" s="2081">
        <f>T48</f>
        <v>29286</v>
      </c>
      <c r="H48" s="2550"/>
      <c r="I48" s="2082">
        <f>V48</f>
        <v>26999</v>
      </c>
      <c r="J48" s="2550"/>
      <c r="K48" s="2557">
        <f>F48+H48+J48</f>
        <v>0</v>
      </c>
      <c r="L48" s="1750"/>
      <c r="M48" s="1741"/>
      <c r="N48" s="1741"/>
      <c r="O48" s="1741"/>
      <c r="P48" s="3684" t="str">
        <f>A48</f>
        <v>比较价格（元/平方米）</v>
      </c>
      <c r="Q48" s="3684"/>
      <c r="R48" s="3685">
        <f>IF(F1="售价",ROUND(PRODUCT(R47,AA7:AA46),0),ROUND(PRODUCT(R47,AA7:AA46),1))</f>
        <v>28372</v>
      </c>
      <c r="S48" s="3685"/>
      <c r="T48" s="3685">
        <f>IF(F1="售价",ROUND(PRODUCT(T47,AB7:AB46),0),ROUND(PRODUCT(T47,AB7:AB46),1))</f>
        <v>29286</v>
      </c>
      <c r="U48" s="3685"/>
      <c r="V48" s="3685">
        <f>IF(F1="售价",ROUND(PRODUCT(V47,AC7:AC46),0),ROUND(PRODUCT(V47,AC7:AC46),1))</f>
        <v>26999</v>
      </c>
      <c r="W48" s="3685"/>
      <c r="X48" s="798"/>
      <c r="Y48" s="798"/>
      <c r="Z48" s="798"/>
      <c r="AA48" s="798"/>
      <c r="AB48" s="798"/>
      <c r="AC48" s="798"/>
    </row>
    <row r="49" spans="1:29" ht="15.75" thickBot="1">
      <c r="A49" s="567" t="s">
        <v>2196</v>
      </c>
      <c r="B49" s="568"/>
      <c r="C49" s="468">
        <f>R49</f>
        <v>28219</v>
      </c>
      <c r="D49" s="468"/>
      <c r="E49" s="468"/>
      <c r="F49" s="468"/>
      <c r="G49" s="468"/>
      <c r="H49" s="468"/>
      <c r="I49" s="468"/>
      <c r="J49" s="468"/>
      <c r="K49" s="1331"/>
      <c r="L49" s="1750"/>
      <c r="M49" s="1741"/>
      <c r="N49" s="1741"/>
      <c r="O49" s="1741"/>
      <c r="P49" s="3721" t="str">
        <f>A49</f>
        <v>估价对象XX用房的比较价格（楼面单价，元/平方米）</v>
      </c>
      <c r="Q49" s="3722"/>
      <c r="R49" s="3804">
        <f>IF(F1="售价",ROUND(IF(D48="简单平均",AVERAGE(R48:V48),R48*F48+T48*H48+V48*J48),0),ROUND(IF(D48="简单平均",AVERAGE(R48:V48),R48*F48+T48*H48+V48*J48),1))</f>
        <v>28219</v>
      </c>
      <c r="S49" s="3804"/>
      <c r="T49" s="3804"/>
      <c r="U49" s="3804"/>
      <c r="V49" s="3804"/>
      <c r="W49" s="3804"/>
      <c r="X49" s="798"/>
      <c r="Y49" s="798"/>
      <c r="Z49" s="798"/>
      <c r="AA49" s="798"/>
      <c r="AB49" s="798"/>
      <c r="AC49" s="798"/>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0" t="s">
        <v>506</v>
      </c>
      <c r="D52" s="571"/>
      <c r="E52" s="572">
        <f>IF(E47&lt;E48,E48/E47-1,E47/E48-1)</f>
        <v>0</v>
      </c>
      <c r="F52" s="573" t="str">
        <f>IF(OR(E52&gt;=0.3,E52&lt;=-0.3),"超过30%","")</f>
        <v/>
      </c>
      <c r="G52" s="572">
        <f>IF(G47&lt;G48,G48/G47-1,G47/G48-1)</f>
        <v>0.13624257324318778</v>
      </c>
      <c r="H52" s="573" t="str">
        <f>IF(OR(G52&gt;=0.3,G52&lt;=-0.3),"超过30%","")</f>
        <v/>
      </c>
      <c r="I52" s="572">
        <f>IF(I47&lt;I48,I48/I47-1,I47/I48-1)</f>
        <v>4.0297788806992862E-2</v>
      </c>
      <c r="J52" s="573" t="str">
        <f>IF(OR(I52&gt;=0.3,I52&lt;=-0.3),"超过30%","")</f>
        <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0" t="s">
        <v>507</v>
      </c>
      <c r="D53" s="574"/>
      <c r="E53" s="572">
        <f>IF(E48&lt;G48,G48/E48-1,E48/G48-1)</f>
        <v>3.2214859720851585E-2</v>
      </c>
      <c r="F53" s="573" t="str">
        <f>IF(OR(E53&gt;=0.2,E53&lt;=-0.2),"超过20%","")</f>
        <v/>
      </c>
      <c r="G53" s="572">
        <f>IF(G48&lt;I48,I48/G48-1,G48/I48-1)</f>
        <v>8.4706840994110966E-2</v>
      </c>
      <c r="H53" s="573" t="str">
        <f>IF(OR(G53&gt;=0.2,G53&lt;=-0.2),"超过20%","")</f>
        <v/>
      </c>
      <c r="I53" s="572">
        <f>IF(I48&lt;E48,E48/I48-1,I48/E48-1)</f>
        <v>5.0853735323530547E-2</v>
      </c>
      <c r="J53" s="573" t="str">
        <f>IF(OR(I53&gt;=0.2,I53&lt;=-0.2),"超过20%","")</f>
        <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0" t="s">
        <v>508</v>
      </c>
      <c r="D54" s="574"/>
      <c r="E54" s="572">
        <f>IF(E47&lt;G47,G47/E47-1,E47/G47-1)</f>
        <v>0.17284646834907647</v>
      </c>
      <c r="F54" s="573" t="str">
        <f>IF(OR(E54&gt;=0.3,E54&lt;=-0.3),"超过30%","")</f>
        <v/>
      </c>
      <c r="G54" s="572">
        <f>IF(G47&lt;I47,I47/G47-1,G47/I47-1)</f>
        <v>0.18474739203190094</v>
      </c>
      <c r="H54" s="573" t="str">
        <f>IF(OR(G54&gt;=0.3,G54&lt;=-0.3),"超过30%","")</f>
        <v/>
      </c>
      <c r="I54" s="572">
        <f>IF(I47&lt;E47,E47/I47-1,I47/E47-1)</f>
        <v>1.0147043116032428E-2</v>
      </c>
      <c r="J54" s="573" t="str">
        <f>IF(OR(I54&gt;=0.3,I54&lt;=-0.3),"超过30%","")</f>
        <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4" t="str">
        <f>YEAR(C7)&amp;"-"&amp;MONTH(C7)</f>
        <v>2024-11</v>
      </c>
      <c r="D58" s="2114">
        <f>EDATE(C58,-1)</f>
        <v>45566</v>
      </c>
      <c r="E58" s="2114">
        <f t="shared" ref="E58:O58" si="13">EDATE(D58,-1)</f>
        <v>45536</v>
      </c>
      <c r="F58" s="2114">
        <f t="shared" si="13"/>
        <v>45505</v>
      </c>
      <c r="G58" s="2114">
        <f t="shared" si="13"/>
        <v>45474</v>
      </c>
      <c r="H58" s="2114">
        <f t="shared" si="13"/>
        <v>45444</v>
      </c>
      <c r="I58" s="2114">
        <f t="shared" si="13"/>
        <v>45413</v>
      </c>
      <c r="J58" s="2114">
        <f t="shared" si="13"/>
        <v>45383</v>
      </c>
      <c r="K58" s="2114">
        <f t="shared" si="13"/>
        <v>45352</v>
      </c>
      <c r="L58" s="2114">
        <f t="shared" si="13"/>
        <v>45323</v>
      </c>
      <c r="M58" s="2114">
        <f t="shared" si="13"/>
        <v>45292</v>
      </c>
      <c r="N58" s="2114">
        <f t="shared" si="13"/>
        <v>45261</v>
      </c>
      <c r="O58" s="2114">
        <f t="shared" si="13"/>
        <v>45231</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2">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t="str">
        <f>C9</f>
        <v>住宅</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v>100</v>
      </c>
      <c r="D64" s="612"/>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t="s">
        <v>3398</v>
      </c>
      <c r="D65" s="657" t="s">
        <v>3399</v>
      </c>
      <c r="E65" s="657" t="s">
        <v>3400</v>
      </c>
      <c r="F65" s="657" t="s">
        <v>3401</v>
      </c>
      <c r="G65" s="657" t="s">
        <v>3402</v>
      </c>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v>100</v>
      </c>
      <c r="D66" s="612">
        <f>C66-2</f>
        <v>98</v>
      </c>
      <c r="E66" s="612">
        <f t="shared" ref="E66:G66" si="14">D66-2</f>
        <v>96</v>
      </c>
      <c r="F66" s="612">
        <f t="shared" si="14"/>
        <v>94</v>
      </c>
      <c r="G66" s="612">
        <f t="shared" si="14"/>
        <v>92</v>
      </c>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0（含）-0.5</v>
      </c>
      <c r="D67" s="623" t="str">
        <f t="shared" ref="D67:L67" si="15">D68&amp;"（含）"&amp;"-"&amp;E68</f>
        <v>0.5（含）-1</v>
      </c>
      <c r="E67" s="623" t="str">
        <f t="shared" si="15"/>
        <v>1（含）-1.5</v>
      </c>
      <c r="F67" s="623" t="str">
        <f t="shared" si="15"/>
        <v>1.5（含）-2</v>
      </c>
      <c r="G67" s="623" t="str">
        <f t="shared" si="15"/>
        <v>2（含）-2.5</v>
      </c>
      <c r="H67" s="623" t="str">
        <f t="shared" si="15"/>
        <v>2.5（含）-</v>
      </c>
      <c r="I67" s="623" t="str">
        <f t="shared" si="15"/>
        <v>（含）-</v>
      </c>
      <c r="J67" s="623" t="str">
        <f t="shared" si="15"/>
        <v>（含）-</v>
      </c>
      <c r="K67" s="623" t="str">
        <f t="shared" si="15"/>
        <v>（含）-</v>
      </c>
      <c r="L67" s="623" t="str">
        <f t="shared" si="15"/>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v>0</v>
      </c>
      <c r="D68" s="490">
        <v>0.5</v>
      </c>
      <c r="E68" s="490">
        <v>1</v>
      </c>
      <c r="F68" s="490">
        <v>1.5</v>
      </c>
      <c r="G68" s="490">
        <v>2</v>
      </c>
      <c r="H68" s="490">
        <v>2.5</v>
      </c>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6">C69-$K11</f>
        <v>98</v>
      </c>
      <c r="E69" s="620">
        <f t="shared" si="16"/>
        <v>96</v>
      </c>
      <c r="F69" s="620">
        <f t="shared" si="16"/>
        <v>94</v>
      </c>
      <c r="G69" s="620">
        <f t="shared" si="16"/>
        <v>92</v>
      </c>
      <c r="H69" s="620">
        <f t="shared" si="16"/>
        <v>90</v>
      </c>
      <c r="I69" s="620">
        <f t="shared" si="16"/>
        <v>88</v>
      </c>
      <c r="J69" s="620">
        <f t="shared" si="16"/>
        <v>86</v>
      </c>
      <c r="K69" s="620">
        <f t="shared" si="16"/>
        <v>84</v>
      </c>
      <c r="L69" s="620">
        <f t="shared" si="16"/>
        <v>82</v>
      </c>
      <c r="M69" s="621">
        <f t="shared" si="16"/>
        <v>80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98</v>
      </c>
      <c r="E77" s="620">
        <f>D77-$K15</f>
        <v>96</v>
      </c>
      <c r="F77" s="620">
        <f>E77-$K15</f>
        <v>94</v>
      </c>
      <c r="G77" s="620">
        <f>F77-$K15</f>
        <v>92</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98</v>
      </c>
      <c r="E79" s="620">
        <f>D79-$K17</f>
        <v>96</v>
      </c>
      <c r="F79" s="620">
        <f>E79-$K17</f>
        <v>94</v>
      </c>
      <c r="G79" s="620">
        <f>F79-$K17</f>
        <v>92</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97</v>
      </c>
      <c r="E81" s="620">
        <f>D81-$K19</f>
        <v>94</v>
      </c>
      <c r="F81" s="620">
        <f>E81-$K19</f>
        <v>91</v>
      </c>
      <c r="G81" s="620">
        <f>F81-$K19</f>
        <v>88</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99</v>
      </c>
      <c r="E83" s="620">
        <f>D83-$K21</f>
        <v>98</v>
      </c>
      <c r="F83" s="620">
        <f>E83-$K21</f>
        <v>97</v>
      </c>
      <c r="G83" s="620">
        <f>F83-$K21</f>
        <v>96</v>
      </c>
      <c r="H83" s="854"/>
      <c r="I83" s="854"/>
      <c r="J83" s="854"/>
      <c r="K83" s="854"/>
      <c r="L83" s="854"/>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97</v>
      </c>
      <c r="E85" s="620">
        <f>D85-$K23</f>
        <v>94</v>
      </c>
      <c r="F85" s="620">
        <f>E85-$K23</f>
        <v>91</v>
      </c>
      <c r="G85" s="620">
        <f>F85-$K23</f>
        <v>88</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1554" t="s">
        <v>1616</v>
      </c>
      <c r="C86" s="629"/>
      <c r="D86" s="629"/>
      <c r="E86" s="629"/>
      <c r="F86" s="629"/>
      <c r="G86" s="629"/>
      <c r="H86" s="629"/>
      <c r="I86" s="629"/>
      <c r="J86" s="629"/>
      <c r="K86" s="629"/>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$C$87-($C$86-D86)*$K$25</f>
        <v>100</v>
      </c>
      <c r="E87" s="620">
        <f t="shared" ref="E87:M87" si="17">$C$87-($C$86-E86)*$K$25</f>
        <v>100</v>
      </c>
      <c r="F87" s="620">
        <f t="shared" si="17"/>
        <v>100</v>
      </c>
      <c r="G87" s="620">
        <f t="shared" si="17"/>
        <v>100</v>
      </c>
      <c r="H87" s="620">
        <f t="shared" si="17"/>
        <v>100</v>
      </c>
      <c r="I87" s="620">
        <f t="shared" si="17"/>
        <v>100</v>
      </c>
      <c r="J87" s="620">
        <f t="shared" si="17"/>
        <v>100</v>
      </c>
      <c r="K87" s="620">
        <f t="shared" si="17"/>
        <v>100</v>
      </c>
      <c r="L87" s="620">
        <f t="shared" si="17"/>
        <v>100</v>
      </c>
      <c r="M87" s="620">
        <f t="shared" si="17"/>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
        <v>686</v>
      </c>
      <c r="C88" s="629"/>
      <c r="D88" s="629"/>
      <c r="E88" s="629"/>
      <c r="F88" s="815"/>
      <c r="G88" s="629"/>
      <c r="H88" s="629"/>
      <c r="I88" s="629"/>
      <c r="J88" s="629"/>
      <c r="K88" s="629"/>
      <c r="L88" s="629"/>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51">
        <v>100</v>
      </c>
      <c r="D89" s="620">
        <f t="shared" ref="D89:M89" si="18">C89-$K26</f>
        <v>100</v>
      </c>
      <c r="E89" s="620">
        <f t="shared" si="18"/>
        <v>100</v>
      </c>
      <c r="F89" s="620">
        <f t="shared" si="18"/>
        <v>100</v>
      </c>
      <c r="G89" s="620">
        <f t="shared" si="18"/>
        <v>100</v>
      </c>
      <c r="H89" s="620">
        <f t="shared" si="18"/>
        <v>100</v>
      </c>
      <c r="I89" s="620">
        <f t="shared" si="18"/>
        <v>100</v>
      </c>
      <c r="J89" s="620">
        <f t="shared" si="18"/>
        <v>100</v>
      </c>
      <c r="K89" s="620">
        <f t="shared" si="18"/>
        <v>100</v>
      </c>
      <c r="L89" s="620">
        <f t="shared" si="18"/>
        <v>100</v>
      </c>
      <c r="M89" s="620">
        <f t="shared" si="18"/>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687</v>
      </c>
      <c r="C100" s="3420" t="s">
        <v>3667</v>
      </c>
      <c r="D100" s="3420" t="s">
        <v>3403</v>
      </c>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9">C101-$K32</f>
        <v>97</v>
      </c>
      <c r="E101" s="620">
        <f t="shared" si="19"/>
        <v>94</v>
      </c>
      <c r="F101" s="620">
        <f t="shared" si="19"/>
        <v>91</v>
      </c>
      <c r="G101" s="620">
        <f t="shared" si="19"/>
        <v>88</v>
      </c>
      <c r="H101" s="620">
        <f t="shared" si="19"/>
        <v>85</v>
      </c>
      <c r="I101" s="620">
        <f t="shared" si="19"/>
        <v>82</v>
      </c>
      <c r="J101" s="620">
        <f t="shared" si="19"/>
        <v>79</v>
      </c>
      <c r="K101" s="620">
        <f t="shared" si="19"/>
        <v>76</v>
      </c>
      <c r="L101" s="620">
        <f t="shared" si="19"/>
        <v>73</v>
      </c>
      <c r="M101" s="620">
        <f t="shared" si="19"/>
        <v>70</v>
      </c>
      <c r="N101" s="1767"/>
      <c r="O101" s="1767"/>
      <c r="P101" s="1765"/>
      <c r="Q101" s="1762"/>
      <c r="R101" s="1741"/>
      <c r="S101" s="1741"/>
      <c r="T101" s="1741"/>
      <c r="U101" s="1741"/>
      <c r="V101" s="1741"/>
      <c r="W101" s="1741"/>
      <c r="X101" s="1741"/>
      <c r="Y101" s="1741"/>
      <c r="Z101" s="1741"/>
      <c r="AA101" s="1741"/>
      <c r="AB101" s="1741"/>
      <c r="AC101" s="1741"/>
    </row>
    <row r="102" spans="1:29" ht="29.25" thickTop="1">
      <c r="A102" s="481"/>
      <c r="B102" s="614" t="s">
        <v>688</v>
      </c>
      <c r="C102" s="648" t="str">
        <f>C103&amp;"(含)"&amp;"-"&amp;D103</f>
        <v>0(含)-50000</v>
      </c>
      <c r="D102" s="648" t="str">
        <f t="shared" ref="D102:L102" si="20">D103&amp;"(含)"&amp;"-"&amp;E103</f>
        <v>50000(含)-100000</v>
      </c>
      <c r="E102" s="648" t="str">
        <f t="shared" si="20"/>
        <v>100000(含)-150000</v>
      </c>
      <c r="F102" s="648" t="str">
        <f t="shared" si="20"/>
        <v>150000(含)-</v>
      </c>
      <c r="G102" s="648" t="str">
        <f t="shared" si="20"/>
        <v>(含)-</v>
      </c>
      <c r="H102" s="648" t="str">
        <f t="shared" si="20"/>
        <v>(含)-</v>
      </c>
      <c r="I102" s="648" t="str">
        <f t="shared" si="20"/>
        <v>(含)-</v>
      </c>
      <c r="J102" s="648" t="str">
        <f t="shared" si="20"/>
        <v>(含)-</v>
      </c>
      <c r="K102" s="648" t="str">
        <f t="shared" si="20"/>
        <v>(含)-</v>
      </c>
      <c r="L102" s="648" t="str">
        <f t="shared" si="20"/>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v>0</v>
      </c>
      <c r="D103" s="78">
        <v>50000</v>
      </c>
      <c r="E103" s="78">
        <v>100000</v>
      </c>
      <c r="F103" s="78">
        <v>150000</v>
      </c>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v>100</v>
      </c>
      <c r="D104" s="612">
        <v>101</v>
      </c>
      <c r="E104" s="612">
        <v>102</v>
      </c>
      <c r="F104" s="612">
        <v>103</v>
      </c>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3424" t="s">
        <v>3404</v>
      </c>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C106-$K34</f>
        <v>99</v>
      </c>
      <c r="E106" s="620">
        <f t="shared" si="21"/>
        <v>98</v>
      </c>
      <c r="F106" s="620">
        <f t="shared" si="21"/>
        <v>97</v>
      </c>
      <c r="G106" s="620">
        <f t="shared" si="21"/>
        <v>96</v>
      </c>
      <c r="H106" s="620">
        <f t="shared" si="21"/>
        <v>95</v>
      </c>
      <c r="I106" s="620">
        <f t="shared" si="21"/>
        <v>94</v>
      </c>
      <c r="J106" s="620">
        <f t="shared" si="21"/>
        <v>93</v>
      </c>
      <c r="K106" s="620">
        <f t="shared" si="21"/>
        <v>92</v>
      </c>
      <c r="L106" s="620">
        <f t="shared" si="21"/>
        <v>91</v>
      </c>
      <c r="M106" s="620">
        <f t="shared" si="21"/>
        <v>90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3423" t="s">
        <v>3405</v>
      </c>
      <c r="D107" s="3423" t="s">
        <v>3406</v>
      </c>
      <c r="E107" s="3423" t="s">
        <v>3407</v>
      </c>
      <c r="F107" s="3423" t="s">
        <v>3408</v>
      </c>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C108-$K35</f>
        <v>95</v>
      </c>
      <c r="E108" s="620">
        <f t="shared" si="22"/>
        <v>90</v>
      </c>
      <c r="F108" s="620">
        <f t="shared" si="22"/>
        <v>85</v>
      </c>
      <c r="G108" s="620">
        <f t="shared" si="22"/>
        <v>80</v>
      </c>
      <c r="H108" s="620">
        <f t="shared" si="22"/>
        <v>75</v>
      </c>
      <c r="I108" s="620">
        <f t="shared" si="22"/>
        <v>70</v>
      </c>
      <c r="J108" s="620">
        <f t="shared" si="22"/>
        <v>65</v>
      </c>
      <c r="K108" s="620">
        <f t="shared" si="22"/>
        <v>60</v>
      </c>
      <c r="L108" s="620">
        <f t="shared" si="22"/>
        <v>55</v>
      </c>
      <c r="M108" s="620">
        <f t="shared" si="22"/>
        <v>50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3424" t="s">
        <v>3409</v>
      </c>
      <c r="D109" s="3424" t="s">
        <v>3410</v>
      </c>
      <c r="E109" s="3424" t="s">
        <v>3411</v>
      </c>
      <c r="F109" s="3423" t="s">
        <v>3412</v>
      </c>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1"/>
      <c r="B112" s="622"/>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3424" t="s">
        <v>3413</v>
      </c>
      <c r="D114" s="3424" t="s">
        <v>3414</v>
      </c>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3424" t="s">
        <v>3415</v>
      </c>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3423" t="s">
        <v>3417</v>
      </c>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5">C119-$K40</f>
        <v>99</v>
      </c>
      <c r="E119" s="620">
        <f t="shared" si="25"/>
        <v>98</v>
      </c>
      <c r="F119" s="620">
        <f t="shared" si="25"/>
        <v>97</v>
      </c>
      <c r="G119" s="620">
        <f t="shared" si="25"/>
        <v>96</v>
      </c>
      <c r="H119" s="620">
        <f t="shared" si="25"/>
        <v>95</v>
      </c>
      <c r="I119" s="620">
        <f t="shared" si="25"/>
        <v>94</v>
      </c>
      <c r="J119" s="620">
        <f t="shared" si="25"/>
        <v>93</v>
      </c>
      <c r="K119" s="620">
        <f t="shared" si="25"/>
        <v>92</v>
      </c>
      <c r="L119" s="620">
        <f t="shared" si="25"/>
        <v>91</v>
      </c>
      <c r="M119" s="620">
        <f t="shared" si="25"/>
        <v>90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1"/>
      <c r="B120" s="614" t="s">
        <v>680</v>
      </c>
      <c r="C120" s="629"/>
      <c r="D120" s="629"/>
      <c r="E120" s="629"/>
      <c r="F120" s="629"/>
      <c r="G120" s="629"/>
      <c r="H120" s="629"/>
      <c r="I120" s="629"/>
      <c r="J120" s="629"/>
      <c r="K120" s="629"/>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3424" t="s">
        <v>3409</v>
      </c>
      <c r="D122" s="3424" t="s">
        <v>3410</v>
      </c>
      <c r="E122" s="3424" t="s">
        <v>3411</v>
      </c>
      <c r="F122" s="3423" t="s">
        <v>3412</v>
      </c>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t="str">
        <f>B45</f>
        <v>销售状态</v>
      </c>
      <c r="C128" s="3424" t="s">
        <v>3665</v>
      </c>
      <c r="D128" s="3424" t="s">
        <v>3664</v>
      </c>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v>100</v>
      </c>
      <c r="D129" s="633">
        <v>97</v>
      </c>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4 H7:H44 J7:J44 F46 H46 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697</v>
      </c>
      <c r="C1" s="454" t="s">
        <v>667</v>
      </c>
      <c r="D1" s="1932"/>
      <c r="E1" s="456"/>
      <c r="F1" s="2117"/>
      <c r="G1" s="1327" t="s">
        <v>668</v>
      </c>
      <c r="H1" s="456"/>
      <c r="I1" s="456"/>
      <c r="J1" s="456"/>
      <c r="K1" s="457"/>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690" t="s">
        <v>471</v>
      </c>
      <c r="D4" s="3691"/>
      <c r="E4" s="3729" t="s">
        <v>472</v>
      </c>
      <c r="F4" s="3730"/>
      <c r="G4" s="3690" t="s">
        <v>473</v>
      </c>
      <c r="H4" s="3691"/>
      <c r="I4" s="3690" t="s">
        <v>474</v>
      </c>
      <c r="J4" s="3691"/>
      <c r="K4" s="464" t="s">
        <v>475</v>
      </c>
      <c r="L4" s="1740"/>
      <c r="M4" s="1741"/>
      <c r="N4" s="1741"/>
      <c r="O4" s="1741"/>
      <c r="P4" s="3692" t="s">
        <v>476</v>
      </c>
      <c r="Q4" s="3693"/>
      <c r="R4" s="3698" t="s">
        <v>472</v>
      </c>
      <c r="S4" s="3699"/>
      <c r="T4" s="3698" t="s">
        <v>473</v>
      </c>
      <c r="U4" s="3699"/>
      <c r="V4" s="3685" t="s">
        <v>474</v>
      </c>
      <c r="W4" s="3685"/>
      <c r="X4" s="1301"/>
      <c r="Y4" s="3698" t="s">
        <v>476</v>
      </c>
      <c r="Z4" s="3699"/>
      <c r="AA4" s="3687" t="s">
        <v>472</v>
      </c>
      <c r="AB4" s="3685" t="s">
        <v>473</v>
      </c>
      <c r="AC4" s="3687" t="s">
        <v>474</v>
      </c>
    </row>
    <row r="5" spans="1:29" ht="15">
      <c r="A5" s="465"/>
      <c r="B5" s="466"/>
      <c r="C5" s="3706" t="s">
        <v>2190</v>
      </c>
      <c r="D5" s="3707"/>
      <c r="E5" s="3731" t="s">
        <v>2191</v>
      </c>
      <c r="F5" s="3732"/>
      <c r="G5" s="3706" t="s">
        <v>2192</v>
      </c>
      <c r="H5" s="3707"/>
      <c r="I5" s="3706" t="s">
        <v>2193</v>
      </c>
      <c r="J5" s="3707"/>
      <c r="K5" s="464"/>
      <c r="L5" s="1740"/>
      <c r="M5" s="1741"/>
      <c r="N5" s="1741"/>
      <c r="O5" s="1741"/>
      <c r="P5" s="3694"/>
      <c r="Q5" s="3695"/>
      <c r="R5" s="3700"/>
      <c r="S5" s="3701"/>
      <c r="T5" s="3700"/>
      <c r="U5" s="3701"/>
      <c r="V5" s="3685"/>
      <c r="W5" s="3685"/>
      <c r="X5" s="1301"/>
      <c r="Y5" s="3700"/>
      <c r="Z5" s="3701"/>
      <c r="AA5" s="3688"/>
      <c r="AB5" s="3685"/>
      <c r="AC5" s="3688"/>
    </row>
    <row r="6" spans="1:29" ht="15.75" thickBot="1">
      <c r="A6" s="467"/>
      <c r="B6" s="468"/>
      <c r="C6" s="3704" t="s">
        <v>2194</v>
      </c>
      <c r="D6" s="3705"/>
      <c r="E6" s="3727" t="s">
        <v>2194</v>
      </c>
      <c r="F6" s="3728"/>
      <c r="G6" s="3704" t="s">
        <v>2194</v>
      </c>
      <c r="H6" s="3705"/>
      <c r="I6" s="3704" t="s">
        <v>2194</v>
      </c>
      <c r="J6" s="3705"/>
      <c r="K6" s="464" t="s">
        <v>477</v>
      </c>
      <c r="L6" s="1740"/>
      <c r="M6" s="1741"/>
      <c r="N6" s="1741"/>
      <c r="O6" s="1741"/>
      <c r="P6" s="3696"/>
      <c r="Q6" s="3697"/>
      <c r="R6" s="3700"/>
      <c r="S6" s="3701"/>
      <c r="T6" s="3702"/>
      <c r="U6" s="3703"/>
      <c r="V6" s="3685"/>
      <c r="W6" s="3685"/>
      <c r="X6" s="1301"/>
      <c r="Y6" s="3702"/>
      <c r="Z6" s="3703"/>
      <c r="AA6" s="3689"/>
      <c r="AB6" s="3685"/>
      <c r="AC6" s="3689"/>
    </row>
    <row r="7" spans="1:29" s="1058" customFormat="1" ht="15.75" thickBot="1">
      <c r="A7" s="2208"/>
      <c r="B7" s="2215" t="s">
        <v>478</v>
      </c>
      <c r="C7" s="469">
        <f>'数据-取费表'!B2</f>
        <v>45615</v>
      </c>
      <c r="D7" s="470">
        <v>100</v>
      </c>
      <c r="E7" s="471"/>
      <c r="F7" s="472">
        <f>SUMIF(58:58,YEAR(E7)&amp;"-"&amp;MONTH(E7),59:59)</f>
        <v>0</v>
      </c>
      <c r="G7" s="471"/>
      <c r="H7" s="470">
        <f>SUMIF(58:58,YEAR(G7)&amp;"-"&amp;MONTH(G7),59:59)</f>
        <v>0</v>
      </c>
      <c r="I7" s="471"/>
      <c r="J7" s="470">
        <f>SUMIF(58:58,YEAR(I7)&amp;"-"&amp;MONTH(I7),59:59)</f>
        <v>0</v>
      </c>
      <c r="K7" s="87"/>
      <c r="L7" s="1742"/>
      <c r="M7" s="1639"/>
      <c r="N7" s="1639"/>
      <c r="O7" s="1639"/>
      <c r="P7" s="3714" t="s">
        <v>479</v>
      </c>
      <c r="Q7" s="3716"/>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4" t="s">
        <v>524</v>
      </c>
      <c r="D8" s="470">
        <v>100</v>
      </c>
      <c r="E8" s="474"/>
      <c r="F8" s="472">
        <f>SUMIF(61:61,E8,62:62)-SUMIF(61:61,C8,62:62)+100</f>
        <v>0</v>
      </c>
      <c r="G8" s="474"/>
      <c r="H8" s="470">
        <f>SUMIF(61:61,G8,62:62)-SUMIF(61:61,C8,62:62)+100</f>
        <v>0</v>
      </c>
      <c r="I8" s="474"/>
      <c r="J8" s="470">
        <f>SUMIF(61:61,I8,62:62)-SUMIF(61:61,C8,62:62)+100</f>
        <v>0</v>
      </c>
      <c r="K8" s="87"/>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46" si="3">D8/F8</f>
        <v>#DIV/0!</v>
      </c>
      <c r="AB8" s="995" t="e">
        <f t="shared" ref="AB8:AB46" si="4">D8/H8</f>
        <v>#DIV/0!</v>
      </c>
      <c r="AC8" s="995" t="e">
        <f t="shared" ref="AC8:AC46" si="5">D8/J8</f>
        <v>#DIV/0!</v>
      </c>
    </row>
    <row r="9" spans="1:29" s="1058" customFormat="1" ht="15">
      <c r="A9" s="2210"/>
      <c r="B9" s="2217" t="s">
        <v>2037</v>
      </c>
      <c r="C9" s="790"/>
      <c r="D9" s="153">
        <v>100</v>
      </c>
      <c r="E9" s="792"/>
      <c r="F9" s="153">
        <f>SUMIF(63:63,E9,64:64)-SUMIF(63:63,C9,64:64)+100</f>
        <v>100</v>
      </c>
      <c r="G9" s="791"/>
      <c r="H9" s="153">
        <f>SUMIF(63:63,G9,64:64)-SUMIF(63:63,C9,64:64)+100</f>
        <v>100</v>
      </c>
      <c r="I9" s="791"/>
      <c r="J9" s="153">
        <f>SUMIF(63:63,I9,64:64)-SUMIF(63:63,C9,64:64)+100</f>
        <v>100</v>
      </c>
      <c r="K9" s="87"/>
      <c r="L9" s="1742"/>
      <c r="M9" s="1639"/>
      <c r="N9" s="1639"/>
      <c r="O9" s="1743"/>
      <c r="P9" s="3684" t="s">
        <v>484</v>
      </c>
      <c r="Q9" s="816" t="str">
        <f t="shared" ref="Q9:Q15" si="6">B9</f>
        <v>用途</v>
      </c>
      <c r="R9" s="1302" t="s">
        <v>5</v>
      </c>
      <c r="S9" s="1303">
        <f t="shared" si="0"/>
        <v>100</v>
      </c>
      <c r="T9" s="1302" t="s">
        <v>5</v>
      </c>
      <c r="U9" s="1303">
        <f t="shared" si="1"/>
        <v>100</v>
      </c>
      <c r="V9" s="1302" t="s">
        <v>5</v>
      </c>
      <c r="W9" s="1303">
        <f t="shared" si="2"/>
        <v>100</v>
      </c>
      <c r="X9" s="1304"/>
      <c r="Y9" s="3632" t="s">
        <v>485</v>
      </c>
      <c r="Z9" s="995" t="str">
        <f t="shared" ref="Z9:Z15" si="7">Q9</f>
        <v>用途</v>
      </c>
      <c r="AA9" s="995">
        <f t="shared" si="3"/>
        <v>1</v>
      </c>
      <c r="AB9" s="995">
        <f t="shared" si="4"/>
        <v>1</v>
      </c>
      <c r="AC9" s="995">
        <f t="shared" si="5"/>
        <v>1</v>
      </c>
    </row>
    <row r="10" spans="1:29" s="1131" customFormat="1" ht="27">
      <c r="A10" s="2211"/>
      <c r="B10" s="2216" t="s">
        <v>2038</v>
      </c>
      <c r="C10" s="3386"/>
      <c r="D10" s="234">
        <v>100</v>
      </c>
      <c r="E10" s="3386"/>
      <c r="F10" s="234">
        <f>SUMIF(65:65,E10,66:66)-SUMIF(65:65,C10,66:66)+100</f>
        <v>100</v>
      </c>
      <c r="G10" s="3387"/>
      <c r="H10" s="234">
        <f>SUMIF(65:65,G10,66:66)-SUMIF(65:65,C10,66:66)+100</f>
        <v>100</v>
      </c>
      <c r="I10" s="3386"/>
      <c r="J10" s="234">
        <f>SUMIF(65:65,I10,66:66)-SUMIF(65:65,C10,66:66)+100</f>
        <v>100</v>
      </c>
      <c r="K10" s="87"/>
      <c r="L10" s="1744"/>
      <c r="M10" s="1777"/>
      <c r="N10" s="1777"/>
      <c r="O10" s="1745"/>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684"/>
      <c r="Q11" s="816" t="str">
        <f t="shared" si="6"/>
        <v>容积率</v>
      </c>
      <c r="R11" s="1302" t="s">
        <v>5</v>
      </c>
      <c r="S11" s="1303" t="e">
        <f t="shared" si="0"/>
        <v>#N/A</v>
      </c>
      <c r="T11" s="1302" t="s">
        <v>5</v>
      </c>
      <c r="U11" s="1303" t="e">
        <f t="shared" si="1"/>
        <v>#N/A</v>
      </c>
      <c r="V11" s="1302" t="s">
        <v>5</v>
      </c>
      <c r="W11" s="1303" t="e">
        <f t="shared" si="2"/>
        <v>#N/A</v>
      </c>
      <c r="X11" s="1304"/>
      <c r="Y11" s="3632"/>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SUMIF(70:70,E12,71:71)-SUMIF(70:70,C12,71:71)+100</f>
        <v>100</v>
      </c>
      <c r="G12" s="833"/>
      <c r="H12" s="234">
        <f>SUMIF(70:70,G12,71:71)-SUMIF(70:70,C12,71:71)+100</f>
        <v>100</v>
      </c>
      <c r="I12" s="488"/>
      <c r="J12" s="234">
        <f>SUMIF(70:70,I12,71:71)-SUMIF(70:70,C12,71:71)+100</f>
        <v>100</v>
      </c>
      <c r="K12" s="530"/>
      <c r="L12" s="1742"/>
      <c r="M12" s="1639"/>
      <c r="N12" s="1639"/>
      <c r="O12" s="1743"/>
      <c r="P12" s="3684"/>
      <c r="Q12" s="816">
        <f t="shared" si="6"/>
        <v>111</v>
      </c>
      <c r="R12" s="1302" t="s">
        <v>5</v>
      </c>
      <c r="S12" s="1303">
        <f t="shared" si="0"/>
        <v>100</v>
      </c>
      <c r="T12" s="1302" t="s">
        <v>5</v>
      </c>
      <c r="U12" s="1303">
        <f t="shared" si="1"/>
        <v>100</v>
      </c>
      <c r="V12" s="1302" t="s">
        <v>5</v>
      </c>
      <c r="W12" s="1303">
        <f t="shared" si="2"/>
        <v>100</v>
      </c>
      <c r="X12" s="1304"/>
      <c r="Y12" s="3632"/>
      <c r="Z12" s="995">
        <f t="shared" si="7"/>
        <v>111</v>
      </c>
      <c r="AA12" s="995">
        <f>D12/F12</f>
        <v>1</v>
      </c>
      <c r="AB12" s="995">
        <f>D12/H12</f>
        <v>1</v>
      </c>
      <c r="AC12" s="995">
        <f>D12/J12</f>
        <v>1</v>
      </c>
    </row>
    <row r="13" spans="1:29" ht="15">
      <c r="A13" s="2213"/>
      <c r="B13" s="2219">
        <v>111</v>
      </c>
      <c r="C13" s="488"/>
      <c r="D13" s="489">
        <v>100</v>
      </c>
      <c r="E13" s="488"/>
      <c r="F13" s="234">
        <f>SUMIF(72:72,E13,73:73)-SUMIF(72:72,C13,73:73)+100</f>
        <v>100</v>
      </c>
      <c r="G13" s="833"/>
      <c r="H13" s="489">
        <f>SUMIF(72:72,G13,73:73)-SUMIF(72:72,C13,73:73)+100</f>
        <v>100</v>
      </c>
      <c r="I13" s="488"/>
      <c r="J13" s="489">
        <f>SUMIF(72:72,I13,73:73)-SUMIF(72:72,C13,73:73)+100</f>
        <v>100</v>
      </c>
      <c r="K13" s="530"/>
      <c r="L13" s="1748"/>
      <c r="M13" s="1741"/>
      <c r="N13" s="1741"/>
      <c r="O13" s="1747"/>
      <c r="P13" s="3684"/>
      <c r="Q13" s="816">
        <f t="shared" si="6"/>
        <v>111</v>
      </c>
      <c r="R13" s="1302" t="s">
        <v>5</v>
      </c>
      <c r="S13" s="1303">
        <f t="shared" si="0"/>
        <v>100</v>
      </c>
      <c r="T13" s="1302" t="s">
        <v>5</v>
      </c>
      <c r="U13" s="1303">
        <f t="shared" si="1"/>
        <v>100</v>
      </c>
      <c r="V13" s="1302" t="s">
        <v>5</v>
      </c>
      <c r="W13" s="1303">
        <f t="shared" si="2"/>
        <v>100</v>
      </c>
      <c r="X13" s="1304"/>
      <c r="Y13" s="3632"/>
      <c r="Z13" s="995">
        <f t="shared" si="7"/>
        <v>111</v>
      </c>
      <c r="AA13" s="995">
        <f t="shared" si="3"/>
        <v>1</v>
      </c>
      <c r="AB13" s="995">
        <f t="shared" si="4"/>
        <v>1</v>
      </c>
      <c r="AC13" s="995">
        <f t="shared" si="5"/>
        <v>1</v>
      </c>
    </row>
    <row r="14" spans="1:29" ht="15.75" thickBot="1">
      <c r="A14" s="2214"/>
      <c r="B14" s="2220">
        <v>111</v>
      </c>
      <c r="C14" s="494"/>
      <c r="D14" s="495">
        <v>100</v>
      </c>
      <c r="E14" s="494"/>
      <c r="F14" s="495">
        <f>SUMIF(74:74,E14,75:75)-SUMIF(74:74,C14,75:75)+100</f>
        <v>100</v>
      </c>
      <c r="G14" s="833"/>
      <c r="H14" s="495">
        <f>SUMIF(74:74,G14,75:75)-SUMIF(74:74,C14,75:75)+100</f>
        <v>100</v>
      </c>
      <c r="I14" s="488"/>
      <c r="J14" s="495">
        <f>SUMIF(74:74,I14,75:75)-SUMIF(74:74,C14,75:75)+100</f>
        <v>100</v>
      </c>
      <c r="K14" s="530"/>
      <c r="L14" s="1748"/>
      <c r="M14" s="1741"/>
      <c r="N14" s="1741"/>
      <c r="O14" s="1747"/>
      <c r="P14" s="3684"/>
      <c r="Q14" s="816">
        <f t="shared" si="6"/>
        <v>111</v>
      </c>
      <c r="R14" s="1302" t="s">
        <v>5</v>
      </c>
      <c r="S14" s="1303">
        <f t="shared" si="0"/>
        <v>100</v>
      </c>
      <c r="T14" s="1302" t="s">
        <v>5</v>
      </c>
      <c r="U14" s="1303">
        <f t="shared" si="1"/>
        <v>100</v>
      </c>
      <c r="V14" s="1302" t="s">
        <v>5</v>
      </c>
      <c r="W14" s="1303">
        <f t="shared" si="2"/>
        <v>100</v>
      </c>
      <c r="X14" s="1304"/>
      <c r="Y14" s="3632"/>
      <c r="Z14" s="995">
        <f t="shared" si="7"/>
        <v>111</v>
      </c>
      <c r="AA14" s="995">
        <f t="shared" si="3"/>
        <v>1</v>
      </c>
      <c r="AB14" s="995">
        <f t="shared" si="4"/>
        <v>1</v>
      </c>
      <c r="AC14" s="995">
        <f t="shared" si="5"/>
        <v>1</v>
      </c>
    </row>
    <row r="15" spans="1:29" ht="71.25">
      <c r="A15" s="2206" t="s">
        <v>2035</v>
      </c>
      <c r="B15" s="149"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0"/>
      <c r="L15" s="1748"/>
      <c r="M15" s="1741"/>
      <c r="N15" s="1741"/>
      <c r="O15" s="1747"/>
      <c r="P15" s="3717" t="s">
        <v>489</v>
      </c>
      <c r="Q15" s="1305" t="str">
        <f t="shared" si="6"/>
        <v>商业繁华度</v>
      </c>
      <c r="R15" s="1306" t="s">
        <v>5</v>
      </c>
      <c r="S15" s="1307">
        <f t="shared" si="0"/>
        <v>100</v>
      </c>
      <c r="T15" s="1306" t="s">
        <v>5</v>
      </c>
      <c r="U15" s="1307">
        <f t="shared" si="1"/>
        <v>100</v>
      </c>
      <c r="V15" s="1306" t="s">
        <v>5</v>
      </c>
      <c r="W15" s="1307">
        <f t="shared" si="2"/>
        <v>100</v>
      </c>
      <c r="X15" s="1301"/>
      <c r="Y15" s="3717" t="s">
        <v>489</v>
      </c>
      <c r="Z15" s="1308" t="str">
        <f t="shared" si="7"/>
        <v>商业繁华度</v>
      </c>
      <c r="AA15" s="1308">
        <f t="shared" si="3"/>
        <v>1</v>
      </c>
      <c r="AB15" s="1308">
        <f t="shared" si="4"/>
        <v>1</v>
      </c>
      <c r="AC15" s="1308">
        <f t="shared" si="5"/>
        <v>1</v>
      </c>
    </row>
    <row r="16" spans="1:29" ht="15">
      <c r="A16" s="481"/>
      <c r="B16" s="798"/>
      <c r="C16" s="525"/>
      <c r="D16" s="504"/>
      <c r="E16" s="525"/>
      <c r="F16" s="506"/>
      <c r="G16" s="525"/>
      <c r="H16" s="508"/>
      <c r="I16" s="525"/>
      <c r="J16" s="504"/>
      <c r="K16" s="821"/>
      <c r="L16" s="1748"/>
      <c r="M16" s="1741"/>
      <c r="N16" s="1741"/>
      <c r="O16" s="1747"/>
      <c r="P16" s="3718"/>
      <c r="Q16" s="1305"/>
      <c r="R16" s="1306"/>
      <c r="S16" s="1307"/>
      <c r="T16" s="1306"/>
      <c r="U16" s="1307"/>
      <c r="V16" s="1306"/>
      <c r="W16" s="1307"/>
      <c r="X16" s="1301"/>
      <c r="Y16" s="3718"/>
      <c r="Z16" s="1308"/>
      <c r="AA16" s="1308">
        <v>1</v>
      </c>
      <c r="AB16" s="1308">
        <v>1</v>
      </c>
      <c r="AC16" s="1308">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0"/>
      <c r="L17" s="1748"/>
      <c r="M17" s="1741"/>
      <c r="N17" s="1741"/>
      <c r="O17" s="1747"/>
      <c r="P17" s="3718"/>
      <c r="Q17" s="1305" t="str">
        <f>B17</f>
        <v>交通便捷度</v>
      </c>
      <c r="R17" s="1306" t="s">
        <v>5</v>
      </c>
      <c r="S17" s="1307">
        <f>F17</f>
        <v>100</v>
      </c>
      <c r="T17" s="1306" t="s">
        <v>5</v>
      </c>
      <c r="U17" s="1307">
        <f>H17</f>
        <v>100</v>
      </c>
      <c r="V17" s="1306" t="s">
        <v>5</v>
      </c>
      <c r="W17" s="1307">
        <f>J17</f>
        <v>100</v>
      </c>
      <c r="X17" s="1301"/>
      <c r="Y17" s="3718"/>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1"/>
      <c r="L18" s="1748"/>
      <c r="M18" s="1741"/>
      <c r="N18" s="1741"/>
      <c r="O18" s="1747"/>
      <c r="P18" s="3718"/>
      <c r="Q18" s="1305"/>
      <c r="R18" s="1306"/>
      <c r="S18" s="1307"/>
      <c r="T18" s="1306"/>
      <c r="U18" s="1307"/>
      <c r="V18" s="1306"/>
      <c r="W18" s="1307"/>
      <c r="X18" s="1301"/>
      <c r="Y18" s="3718"/>
      <c r="Z18" s="1308"/>
      <c r="AA18" s="1308">
        <v>1</v>
      </c>
      <c r="AB18" s="1308">
        <v>1</v>
      </c>
      <c r="AC18" s="1308">
        <v>1</v>
      </c>
    </row>
    <row r="19" spans="1:29" ht="42.75">
      <c r="A19" s="481"/>
      <c r="B19" s="2058"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0"/>
      <c r="L19" s="1748"/>
      <c r="M19" s="1741"/>
      <c r="N19" s="1741"/>
      <c r="O19" s="1747"/>
      <c r="P19" s="3718"/>
      <c r="Q19" s="1305" t="str">
        <f>B19</f>
        <v>公共配套设施</v>
      </c>
      <c r="R19" s="1306" t="s">
        <v>5</v>
      </c>
      <c r="S19" s="1307">
        <f>F19</f>
        <v>100</v>
      </c>
      <c r="T19" s="1306" t="s">
        <v>5</v>
      </c>
      <c r="U19" s="1307">
        <f>H19</f>
        <v>100</v>
      </c>
      <c r="V19" s="1306" t="s">
        <v>5</v>
      </c>
      <c r="W19" s="1307">
        <f>J19</f>
        <v>100</v>
      </c>
      <c r="X19" s="1301"/>
      <c r="Y19" s="3718"/>
      <c r="Z19" s="1308" t="str">
        <f>Q19</f>
        <v>公共配套设施</v>
      </c>
      <c r="AA19" s="1308">
        <f t="shared" si="3"/>
        <v>1</v>
      </c>
      <c r="AB19" s="1308">
        <f t="shared" si="4"/>
        <v>1</v>
      </c>
      <c r="AC19" s="1308">
        <f t="shared" si="5"/>
        <v>1</v>
      </c>
    </row>
    <row r="20" spans="1:29" ht="15">
      <c r="A20" s="481"/>
      <c r="B20" s="543"/>
      <c r="C20" s="525"/>
      <c r="D20" s="504"/>
      <c r="E20" s="505"/>
      <c r="F20" s="506"/>
      <c r="G20" s="507"/>
      <c r="H20" s="504"/>
      <c r="I20" s="505"/>
      <c r="J20" s="504"/>
      <c r="K20" s="821"/>
      <c r="L20" s="1748"/>
      <c r="M20" s="1741"/>
      <c r="N20" s="1741"/>
      <c r="O20" s="1747"/>
      <c r="P20" s="3718"/>
      <c r="Q20" s="1305"/>
      <c r="R20" s="1306"/>
      <c r="S20" s="1307"/>
      <c r="T20" s="1306"/>
      <c r="U20" s="1307"/>
      <c r="V20" s="1306"/>
      <c r="W20" s="1307"/>
      <c r="X20" s="1301"/>
      <c r="Y20" s="3718"/>
      <c r="Z20" s="1308"/>
      <c r="AA20" s="1308">
        <v>1</v>
      </c>
      <c r="AB20" s="1308">
        <v>1</v>
      </c>
      <c r="AC20" s="1308">
        <v>1</v>
      </c>
    </row>
    <row r="21" spans="1:29" ht="28.5">
      <c r="A21" s="481"/>
      <c r="B21" s="2051"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0"/>
      <c r="L21" s="1748"/>
      <c r="M21" s="1741"/>
      <c r="N21" s="1741"/>
      <c r="O21" s="1747"/>
      <c r="P21" s="3718"/>
      <c r="Q21" s="1305" t="str">
        <f>B21</f>
        <v>基础设施水平</v>
      </c>
      <c r="R21" s="1306" t="s">
        <v>5</v>
      </c>
      <c r="S21" s="1307">
        <f>F21</f>
        <v>100</v>
      </c>
      <c r="T21" s="1306" t="s">
        <v>5</v>
      </c>
      <c r="U21" s="1307">
        <f>H21</f>
        <v>100</v>
      </c>
      <c r="V21" s="1306" t="s">
        <v>5</v>
      </c>
      <c r="W21" s="1307">
        <f>J21</f>
        <v>100</v>
      </c>
      <c r="X21" s="1301"/>
      <c r="Y21" s="3718"/>
      <c r="Z21" s="1308" t="str">
        <f>Q21</f>
        <v>基础设施水平</v>
      </c>
      <c r="AA21" s="1308">
        <f>D21/F21</f>
        <v>1</v>
      </c>
      <c r="AB21" s="1308">
        <f>D21/H21</f>
        <v>1</v>
      </c>
      <c r="AC21" s="1308">
        <f>D21/J21</f>
        <v>1</v>
      </c>
    </row>
    <row r="22" spans="1:29" ht="15">
      <c r="A22" s="481"/>
      <c r="B22" s="842"/>
      <c r="C22" s="801"/>
      <c r="D22" s="504"/>
      <c r="E22" s="525"/>
      <c r="F22" s="506"/>
      <c r="G22" s="525"/>
      <c r="H22" s="504"/>
      <c r="I22" s="525"/>
      <c r="J22" s="504"/>
      <c r="K22" s="2060"/>
      <c r="L22" s="1748"/>
      <c r="M22" s="1741"/>
      <c r="N22" s="1741"/>
      <c r="O22" s="1747"/>
      <c r="P22" s="3718"/>
      <c r="Q22" s="1305"/>
      <c r="R22" s="1306"/>
      <c r="S22" s="1307"/>
      <c r="T22" s="1306"/>
      <c r="U22" s="1307"/>
      <c r="V22" s="1306"/>
      <c r="W22" s="1307"/>
      <c r="X22" s="1301"/>
      <c r="Y22" s="3718"/>
      <c r="Z22" s="1308"/>
      <c r="AA22" s="1308">
        <v>1</v>
      </c>
      <c r="AB22" s="1308">
        <v>1</v>
      </c>
      <c r="AC22" s="1308">
        <v>1</v>
      </c>
    </row>
    <row r="23" spans="1:29" ht="57">
      <c r="A23" s="481"/>
      <c r="B23" s="676" t="s">
        <v>263</v>
      </c>
      <c r="C23" s="822"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0"/>
      <c r="L23" s="1748"/>
      <c r="M23" s="1741"/>
      <c r="N23" s="1741"/>
      <c r="O23" s="1747"/>
      <c r="P23" s="3718"/>
      <c r="Q23" s="1305" t="str">
        <f>B23</f>
        <v>自然及人文环境</v>
      </c>
      <c r="R23" s="1306" t="s">
        <v>5</v>
      </c>
      <c r="S23" s="1307">
        <f>F23</f>
        <v>100</v>
      </c>
      <c r="T23" s="1306" t="s">
        <v>5</v>
      </c>
      <c r="U23" s="1307">
        <f>H23</f>
        <v>100</v>
      </c>
      <c r="V23" s="1306" t="s">
        <v>5</v>
      </c>
      <c r="W23" s="1307">
        <f>J23</f>
        <v>100</v>
      </c>
      <c r="X23" s="1301"/>
      <c r="Y23" s="3718"/>
      <c r="Z23" s="1308" t="str">
        <f>Q23</f>
        <v>自然及人文环境</v>
      </c>
      <c r="AA23" s="1308">
        <f t="shared" si="3"/>
        <v>1</v>
      </c>
      <c r="AB23" s="1308">
        <f t="shared" si="4"/>
        <v>1</v>
      </c>
      <c r="AC23" s="1308">
        <f t="shared" si="5"/>
        <v>1</v>
      </c>
    </row>
    <row r="24" spans="1:29" ht="15">
      <c r="A24" s="481"/>
      <c r="B24" s="543"/>
      <c r="C24" s="525"/>
      <c r="D24" s="504"/>
      <c r="E24" s="505"/>
      <c r="F24" s="506"/>
      <c r="G24" s="507"/>
      <c r="H24" s="504"/>
      <c r="I24" s="505"/>
      <c r="J24" s="504"/>
      <c r="K24" s="821"/>
      <c r="L24" s="1748"/>
      <c r="M24" s="1741"/>
      <c r="N24" s="1741"/>
      <c r="O24" s="1747"/>
      <c r="P24" s="3718"/>
      <c r="Q24" s="1305"/>
      <c r="R24" s="1306"/>
      <c r="S24" s="1307"/>
      <c r="T24" s="1306"/>
      <c r="U24" s="1307"/>
      <c r="V24" s="1306"/>
      <c r="W24" s="1307"/>
      <c r="X24" s="1301"/>
      <c r="Y24" s="3718"/>
      <c r="Z24" s="1308"/>
      <c r="AA24" s="1308">
        <v>1</v>
      </c>
      <c r="AB24" s="1308">
        <v>1</v>
      </c>
      <c r="AC24" s="1308">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718"/>
      <c r="Q25" s="1305" t="str">
        <f t="shared" ref="Q25:Q46" si="8">B25</f>
        <v>临街状况</v>
      </c>
      <c r="R25" s="1306" t="s">
        <v>5</v>
      </c>
      <c r="S25" s="1307">
        <f>F25</f>
        <v>100</v>
      </c>
      <c r="T25" s="1306" t="s">
        <v>5</v>
      </c>
      <c r="U25" s="1307">
        <f>H25</f>
        <v>100</v>
      </c>
      <c r="V25" s="1306" t="s">
        <v>5</v>
      </c>
      <c r="W25" s="1307">
        <f>J25</f>
        <v>100</v>
      </c>
      <c r="X25" s="1301"/>
      <c r="Y25" s="3718"/>
      <c r="Z25" s="1308" t="str">
        <f>Q25</f>
        <v>临街状况</v>
      </c>
      <c r="AA25" s="1308">
        <f t="shared" si="3"/>
        <v>1</v>
      </c>
      <c r="AB25" s="1308">
        <f t="shared" si="4"/>
        <v>1</v>
      </c>
      <c r="AC25" s="1308">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718"/>
      <c r="Q26" s="1305" t="str">
        <f t="shared" si="8"/>
        <v>平面位置/可视性</v>
      </c>
      <c r="R26" s="1306" t="s">
        <v>5</v>
      </c>
      <c r="S26" s="1307">
        <f>F26</f>
        <v>100</v>
      </c>
      <c r="T26" s="1306" t="s">
        <v>5</v>
      </c>
      <c r="U26" s="1307">
        <f>H26</f>
        <v>100</v>
      </c>
      <c r="V26" s="1306" t="s">
        <v>5</v>
      </c>
      <c r="W26" s="1307">
        <f>J26</f>
        <v>100</v>
      </c>
      <c r="X26" s="1301"/>
      <c r="Y26" s="3718"/>
      <c r="Z26" s="1308" t="str">
        <f>Q26</f>
        <v>平面位置/可视性</v>
      </c>
      <c r="AA26" s="1308">
        <f t="shared" si="3"/>
        <v>1</v>
      </c>
      <c r="AB26" s="1308">
        <f t="shared" si="4"/>
        <v>1</v>
      </c>
      <c r="AC26" s="1308">
        <f t="shared" si="5"/>
        <v>1</v>
      </c>
    </row>
    <row r="27" spans="1:29" s="1058" customFormat="1" ht="15">
      <c r="A27" s="485"/>
      <c r="B27" s="676" t="s">
        <v>699</v>
      </c>
      <c r="C27" s="823"/>
      <c r="D27" s="515">
        <v>100</v>
      </c>
      <c r="E27" s="823"/>
      <c r="F27" s="543">
        <f>SUMIF(90:90,E27,91:91)-SUMIF(90:90,C27,91:91)+100</f>
        <v>100</v>
      </c>
      <c r="G27" s="823"/>
      <c r="H27" s="515">
        <f>SUMIF(90:90,G27,91:91)-SUMIF(90:90,C27,91:91)+100</f>
        <v>100</v>
      </c>
      <c r="I27" s="823"/>
      <c r="J27" s="515">
        <f>SUMIF(90:90,I27,91:91)-SUMIF(90:90,C27,91:91)+100</f>
        <v>100</v>
      </c>
      <c r="K27" s="532"/>
      <c r="L27" s="1742"/>
      <c r="M27" s="1639"/>
      <c r="N27" s="1639"/>
      <c r="O27" s="1743"/>
      <c r="P27" s="3718"/>
      <c r="Q27" s="816" t="str">
        <f t="shared" si="8"/>
        <v>人流量</v>
      </c>
      <c r="R27" s="1302" t="s">
        <v>5</v>
      </c>
      <c r="S27" s="1303">
        <f>F27</f>
        <v>100</v>
      </c>
      <c r="T27" s="1302" t="s">
        <v>5</v>
      </c>
      <c r="U27" s="1303">
        <f>H27</f>
        <v>100</v>
      </c>
      <c r="V27" s="1302" t="s">
        <v>5</v>
      </c>
      <c r="W27" s="1303">
        <f>J27</f>
        <v>100</v>
      </c>
      <c r="X27" s="1304"/>
      <c r="Y27" s="3718"/>
      <c r="Z27" s="995" t="str">
        <f>Q27</f>
        <v>人流量</v>
      </c>
      <c r="AA27" s="1308">
        <f>D27/F27</f>
        <v>1</v>
      </c>
      <c r="AB27" s="1308">
        <f>D27/H27</f>
        <v>1</v>
      </c>
      <c r="AC27" s="1308">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718"/>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18"/>
      <c r="Z28" s="1308" t="str">
        <f t="shared" ref="Z28:Z46" si="12">Q28</f>
        <v>楼层</v>
      </c>
      <c r="AA28" s="1308">
        <f t="shared" si="3"/>
        <v>1</v>
      </c>
      <c r="AB28" s="1308">
        <f t="shared" si="4"/>
        <v>1</v>
      </c>
      <c r="AC28" s="1308">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718"/>
      <c r="Q29" s="1305">
        <f t="shared" si="8"/>
        <v>111</v>
      </c>
      <c r="R29" s="1306" t="s">
        <v>5</v>
      </c>
      <c r="S29" s="1307">
        <f t="shared" si="9"/>
        <v>100</v>
      </c>
      <c r="T29" s="1306" t="s">
        <v>5</v>
      </c>
      <c r="U29" s="1307">
        <f t="shared" si="10"/>
        <v>100</v>
      </c>
      <c r="V29" s="1306" t="s">
        <v>5</v>
      </c>
      <c r="W29" s="1307">
        <f t="shared" si="11"/>
        <v>100</v>
      </c>
      <c r="X29" s="1301"/>
      <c r="Y29" s="3718"/>
      <c r="Z29" s="1308">
        <f t="shared" si="12"/>
        <v>111</v>
      </c>
      <c r="AA29" s="1308">
        <f t="shared" si="3"/>
        <v>1</v>
      </c>
      <c r="AB29" s="1308">
        <f t="shared" si="4"/>
        <v>1</v>
      </c>
      <c r="AC29" s="1308">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718"/>
      <c r="Q30" s="1305">
        <f t="shared" si="8"/>
        <v>111</v>
      </c>
      <c r="R30" s="1306" t="s">
        <v>5</v>
      </c>
      <c r="S30" s="1307">
        <f t="shared" si="9"/>
        <v>100</v>
      </c>
      <c r="T30" s="1306" t="s">
        <v>5</v>
      </c>
      <c r="U30" s="1307">
        <f t="shared" si="10"/>
        <v>100</v>
      </c>
      <c r="V30" s="1306" t="s">
        <v>5</v>
      </c>
      <c r="W30" s="1307">
        <f t="shared" si="11"/>
        <v>100</v>
      </c>
      <c r="X30" s="1301"/>
      <c r="Y30" s="3718"/>
      <c r="Z30" s="1308">
        <f t="shared" si="12"/>
        <v>111</v>
      </c>
      <c r="AA30" s="1308">
        <f t="shared" si="3"/>
        <v>1</v>
      </c>
      <c r="AB30" s="1308">
        <f t="shared" si="4"/>
        <v>1</v>
      </c>
      <c r="AC30" s="1308">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718"/>
      <c r="Q31" s="1305">
        <f t="shared" si="8"/>
        <v>111</v>
      </c>
      <c r="R31" s="1306" t="s">
        <v>5</v>
      </c>
      <c r="S31" s="1307">
        <f t="shared" si="9"/>
        <v>100</v>
      </c>
      <c r="T31" s="1306" t="s">
        <v>5</v>
      </c>
      <c r="U31" s="1307">
        <f t="shared" si="10"/>
        <v>100</v>
      </c>
      <c r="V31" s="1306" t="s">
        <v>5</v>
      </c>
      <c r="W31" s="1307">
        <f t="shared" si="11"/>
        <v>100</v>
      </c>
      <c r="X31" s="1301"/>
      <c r="Y31" s="3718"/>
      <c r="Z31" s="1308">
        <f t="shared" si="12"/>
        <v>111</v>
      </c>
      <c r="AA31" s="1308">
        <f t="shared" si="3"/>
        <v>1</v>
      </c>
      <c r="AB31" s="1308">
        <f t="shared" si="4"/>
        <v>1</v>
      </c>
      <c r="AC31" s="1308">
        <f t="shared" si="5"/>
        <v>1</v>
      </c>
    </row>
    <row r="32" spans="1:29" ht="15">
      <c r="A32" s="2203" t="s">
        <v>2036</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719" t="s">
        <v>499</v>
      </c>
      <c r="Q32" s="1305" t="str">
        <f t="shared" si="8"/>
        <v>商业类型</v>
      </c>
      <c r="R32" s="1306" t="s">
        <v>5</v>
      </c>
      <c r="S32" s="1307">
        <f t="shared" si="9"/>
        <v>100</v>
      </c>
      <c r="T32" s="1306" t="s">
        <v>5</v>
      </c>
      <c r="U32" s="1307">
        <f t="shared" si="10"/>
        <v>100</v>
      </c>
      <c r="V32" s="1306" t="s">
        <v>5</v>
      </c>
      <c r="W32" s="1307">
        <f t="shared" si="11"/>
        <v>100</v>
      </c>
      <c r="X32" s="1301"/>
      <c r="Y32" s="3720" t="s">
        <v>499</v>
      </c>
      <c r="Z32" s="1308" t="str">
        <f t="shared" si="12"/>
        <v>商业类型</v>
      </c>
      <c r="AA32" s="1308">
        <f t="shared" si="3"/>
        <v>1</v>
      </c>
      <c r="AB32" s="1308">
        <f t="shared" si="4"/>
        <v>1</v>
      </c>
      <c r="AC32" s="1308">
        <f t="shared" si="5"/>
        <v>1</v>
      </c>
    </row>
    <row r="33" spans="1:29" s="1132" customFormat="1" ht="15">
      <c r="A33" s="551"/>
      <c r="B33" s="476" t="s">
        <v>673</v>
      </c>
      <c r="C33" s="804"/>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720"/>
      <c r="Q33" s="817" t="str">
        <f t="shared" si="8"/>
        <v>项目建筑规模</v>
      </c>
      <c r="R33" s="1309" t="s">
        <v>5</v>
      </c>
      <c r="S33" s="1310" t="e">
        <f t="shared" si="9"/>
        <v>#N/A</v>
      </c>
      <c r="T33" s="1309" t="s">
        <v>5</v>
      </c>
      <c r="U33" s="1310" t="e">
        <f t="shared" si="10"/>
        <v>#N/A</v>
      </c>
      <c r="V33" s="1309" t="s">
        <v>5</v>
      </c>
      <c r="W33" s="1310" t="e">
        <f t="shared" si="11"/>
        <v>#N/A</v>
      </c>
      <c r="X33" s="1311"/>
      <c r="Y33" s="3720"/>
      <c r="Z33" s="1312" t="str">
        <f t="shared" si="12"/>
        <v>项目建筑规模</v>
      </c>
      <c r="AA33" s="1308" t="e">
        <f t="shared" si="3"/>
        <v>#N/A</v>
      </c>
      <c r="AB33" s="1308" t="e">
        <f t="shared" si="4"/>
        <v>#N/A</v>
      </c>
      <c r="AC33" s="1308" t="e">
        <f t="shared" si="5"/>
        <v>#N/A</v>
      </c>
    </row>
    <row r="34" spans="1:29" ht="15">
      <c r="A34" s="542"/>
      <c r="B34" s="476" t="s">
        <v>674</v>
      </c>
      <c r="C34" s="523"/>
      <c r="D34" s="489">
        <v>100</v>
      </c>
      <c r="E34" s="805"/>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720"/>
      <c r="Q34" s="1305" t="str">
        <f t="shared" si="8"/>
        <v>建筑结构</v>
      </c>
      <c r="R34" s="1306" t="s">
        <v>5</v>
      </c>
      <c r="S34" s="1307">
        <f t="shared" si="9"/>
        <v>100</v>
      </c>
      <c r="T34" s="1306" t="s">
        <v>5</v>
      </c>
      <c r="U34" s="1307">
        <f t="shared" si="10"/>
        <v>100</v>
      </c>
      <c r="V34" s="1306" t="s">
        <v>5</v>
      </c>
      <c r="W34" s="1307">
        <f t="shared" si="11"/>
        <v>100</v>
      </c>
      <c r="X34" s="1301"/>
      <c r="Y34" s="3720"/>
      <c r="Z34" s="1308" t="str">
        <f t="shared" si="12"/>
        <v>建筑结构</v>
      </c>
      <c r="AA34" s="1308">
        <f t="shared" si="3"/>
        <v>1</v>
      </c>
      <c r="AB34" s="1308">
        <f t="shared" si="4"/>
        <v>1</v>
      </c>
      <c r="AC34" s="1308">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720"/>
      <c r="Q35" s="1305" t="str">
        <f t="shared" si="8"/>
        <v>公共部分装修</v>
      </c>
      <c r="R35" s="1306" t="s">
        <v>5</v>
      </c>
      <c r="S35" s="1307">
        <f t="shared" si="9"/>
        <v>100</v>
      </c>
      <c r="T35" s="1306" t="s">
        <v>5</v>
      </c>
      <c r="U35" s="1307">
        <f t="shared" si="10"/>
        <v>100</v>
      </c>
      <c r="V35" s="1306" t="s">
        <v>5</v>
      </c>
      <c r="W35" s="1307">
        <f t="shared" si="11"/>
        <v>100</v>
      </c>
      <c r="X35" s="1301"/>
      <c r="Y35" s="3720"/>
      <c r="Z35" s="1308" t="str">
        <f t="shared" si="12"/>
        <v>公共部分装修</v>
      </c>
      <c r="AA35" s="1308">
        <f t="shared" si="3"/>
        <v>1</v>
      </c>
      <c r="AB35" s="1308">
        <f t="shared" si="4"/>
        <v>1</v>
      </c>
      <c r="AC35" s="1308">
        <f t="shared" si="5"/>
        <v>1</v>
      </c>
    </row>
    <row r="36" spans="1:29" ht="15">
      <c r="A36" s="542"/>
      <c r="B36" s="476" t="s">
        <v>704</v>
      </c>
      <c r="C36" s="806"/>
      <c r="D36" s="489">
        <v>100</v>
      </c>
      <c r="E36" s="806"/>
      <c r="F36" s="524" t="e">
        <f>LOOKUP(E36,110:110,111:111)-LOOKUP(C36,110:110,111:111)+100</f>
        <v>#N/A</v>
      </c>
      <c r="G36" s="806"/>
      <c r="H36" s="524" t="e">
        <f>LOOKUP(G36,110:110,111:111)-LOOKUP(C36,110:110,111:111)+100</f>
        <v>#N/A</v>
      </c>
      <c r="I36" s="806"/>
      <c r="J36" s="489" t="e">
        <f>LOOKUP(I36,110:110,111:111)-LOOKUP(C36,110:110,111:111)+100</f>
        <v>#N/A</v>
      </c>
      <c r="K36" s="532"/>
      <c r="L36" s="1748"/>
      <c r="M36" s="1741"/>
      <c r="N36" s="1741"/>
      <c r="O36" s="1747"/>
      <c r="P36" s="3720"/>
      <c r="Q36" s="1305" t="str">
        <f t="shared" si="8"/>
        <v>成新度</v>
      </c>
      <c r="R36" s="1306" t="s">
        <v>5</v>
      </c>
      <c r="S36" s="1307" t="e">
        <f t="shared" si="9"/>
        <v>#N/A</v>
      </c>
      <c r="T36" s="1306" t="s">
        <v>5</v>
      </c>
      <c r="U36" s="1307" t="e">
        <f t="shared" si="10"/>
        <v>#N/A</v>
      </c>
      <c r="V36" s="1306" t="s">
        <v>5</v>
      </c>
      <c r="W36" s="1307" t="e">
        <f t="shared" si="11"/>
        <v>#N/A</v>
      </c>
      <c r="X36" s="1301"/>
      <c r="Y36" s="3720"/>
      <c r="Z36" s="1308" t="str">
        <f t="shared" si="12"/>
        <v>成新度</v>
      </c>
      <c r="AA36" s="1308" t="e">
        <f t="shared" si="3"/>
        <v>#N/A</v>
      </c>
      <c r="AB36" s="1308" t="e">
        <f t="shared" si="4"/>
        <v>#N/A</v>
      </c>
      <c r="AC36" s="1308" t="e">
        <f t="shared" si="5"/>
        <v>#N/A</v>
      </c>
    </row>
    <row r="37" spans="1:29" s="1058"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720"/>
      <c r="Q37" s="816" t="str">
        <f t="shared" si="8"/>
        <v>市政基础设施</v>
      </c>
      <c r="R37" s="1302" t="s">
        <v>5</v>
      </c>
      <c r="S37" s="1303">
        <f t="shared" si="9"/>
        <v>100</v>
      </c>
      <c r="T37" s="1302" t="s">
        <v>5</v>
      </c>
      <c r="U37" s="1303">
        <f t="shared" si="10"/>
        <v>100</v>
      </c>
      <c r="V37" s="1302" t="s">
        <v>5</v>
      </c>
      <c r="W37" s="1303">
        <f t="shared" si="11"/>
        <v>100</v>
      </c>
      <c r="X37" s="1304"/>
      <c r="Y37" s="3720"/>
      <c r="Z37" s="995" t="str">
        <f t="shared" si="12"/>
        <v>市政基础设施</v>
      </c>
      <c r="AA37" s="995">
        <f t="shared" si="3"/>
        <v>1</v>
      </c>
      <c r="AB37" s="995">
        <f t="shared" si="4"/>
        <v>1</v>
      </c>
      <c r="AC37" s="995">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720" t="s">
        <v>706</v>
      </c>
      <c r="Q38" s="1305" t="str">
        <f t="shared" si="8"/>
        <v>业态</v>
      </c>
      <c r="R38" s="1306" t="s">
        <v>5</v>
      </c>
      <c r="S38" s="1307">
        <f t="shared" si="9"/>
        <v>100</v>
      </c>
      <c r="T38" s="1306" t="s">
        <v>5</v>
      </c>
      <c r="U38" s="1307">
        <f t="shared" si="10"/>
        <v>100</v>
      </c>
      <c r="V38" s="1306" t="s">
        <v>5</v>
      </c>
      <c r="W38" s="1307">
        <f t="shared" si="11"/>
        <v>100</v>
      </c>
      <c r="X38" s="1301"/>
      <c r="Y38" s="3720" t="s">
        <v>706</v>
      </c>
      <c r="Z38" s="1308" t="str">
        <f t="shared" si="12"/>
        <v>业态</v>
      </c>
      <c r="AA38" s="1308">
        <f t="shared" si="3"/>
        <v>1</v>
      </c>
      <c r="AB38" s="1308">
        <f t="shared" si="4"/>
        <v>1</v>
      </c>
      <c r="AC38" s="1308">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720"/>
      <c r="Q39" s="1305" t="str">
        <f t="shared" si="8"/>
        <v>层高</v>
      </c>
      <c r="R39" s="1306" t="s">
        <v>5</v>
      </c>
      <c r="S39" s="1307">
        <f t="shared" si="9"/>
        <v>100</v>
      </c>
      <c r="T39" s="1306" t="s">
        <v>5</v>
      </c>
      <c r="U39" s="1307">
        <f t="shared" si="10"/>
        <v>100</v>
      </c>
      <c r="V39" s="1306" t="s">
        <v>5</v>
      </c>
      <c r="W39" s="1307">
        <f t="shared" si="11"/>
        <v>100</v>
      </c>
      <c r="X39" s="1301"/>
      <c r="Y39" s="3720"/>
      <c r="Z39" s="1308" t="str">
        <f t="shared" si="12"/>
        <v>层高</v>
      </c>
      <c r="AA39" s="1308">
        <f t="shared" si="3"/>
        <v>1</v>
      </c>
      <c r="AB39" s="1308">
        <f t="shared" si="4"/>
        <v>1</v>
      </c>
      <c r="AC39" s="1308">
        <f t="shared" si="5"/>
        <v>1</v>
      </c>
    </row>
    <row r="40" spans="1:29" ht="15">
      <c r="A40" s="542"/>
      <c r="B40" s="476" t="s">
        <v>708</v>
      </c>
      <c r="C40" s="824"/>
      <c r="D40" s="489">
        <v>100</v>
      </c>
      <c r="E40" s="825"/>
      <c r="F40" s="524">
        <f>SUMIF(118:118,E40,119:119)-SUMIF(118:118,C40,119:119)+100</f>
        <v>100</v>
      </c>
      <c r="G40" s="825"/>
      <c r="H40" s="489">
        <f>SUMIF(118:118,G40,119:119)-SUMIF(118:118,C40,119:119)+100</f>
        <v>100</v>
      </c>
      <c r="I40" s="825"/>
      <c r="J40" s="489">
        <f>SUMIF(118:118,I40,119:119)-SUMIF(118:118,C40,119:119)+100</f>
        <v>100</v>
      </c>
      <c r="K40" s="530"/>
      <c r="L40" s="1748"/>
      <c r="M40" s="1741"/>
      <c r="N40" s="1741"/>
      <c r="O40" s="1747"/>
      <c r="P40" s="3720"/>
      <c r="Q40" s="1305" t="str">
        <f t="shared" si="8"/>
        <v>单套建筑面积</v>
      </c>
      <c r="R40" s="1306" t="s">
        <v>5</v>
      </c>
      <c r="S40" s="1307">
        <f t="shared" si="9"/>
        <v>100</v>
      </c>
      <c r="T40" s="1306" t="s">
        <v>5</v>
      </c>
      <c r="U40" s="1307">
        <f t="shared" si="10"/>
        <v>100</v>
      </c>
      <c r="V40" s="1306" t="s">
        <v>5</v>
      </c>
      <c r="W40" s="1307">
        <f t="shared" si="11"/>
        <v>100</v>
      </c>
      <c r="X40" s="1301"/>
      <c r="Y40" s="3720"/>
      <c r="Z40" s="1308" t="str">
        <f t="shared" si="12"/>
        <v>单套建筑面积</v>
      </c>
      <c r="AA40" s="1308">
        <f t="shared" si="3"/>
        <v>1</v>
      </c>
      <c r="AB40" s="1308">
        <f t="shared" si="4"/>
        <v>1</v>
      </c>
      <c r="AC40" s="1308">
        <f t="shared" si="5"/>
        <v>1</v>
      </c>
    </row>
    <row r="41" spans="1:29" s="1132"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720"/>
      <c r="Q41" s="817" t="str">
        <f t="shared" si="8"/>
        <v>进深比</v>
      </c>
      <c r="R41" s="1309" t="s">
        <v>5</v>
      </c>
      <c r="S41" s="1310">
        <f t="shared" si="9"/>
        <v>100</v>
      </c>
      <c r="T41" s="1309" t="s">
        <v>5</v>
      </c>
      <c r="U41" s="1310">
        <f t="shared" si="10"/>
        <v>100</v>
      </c>
      <c r="V41" s="1309" t="s">
        <v>5</v>
      </c>
      <c r="W41" s="1310">
        <f t="shared" si="11"/>
        <v>100</v>
      </c>
      <c r="X41" s="1311"/>
      <c r="Y41" s="3720"/>
      <c r="Z41" s="1312" t="str">
        <f t="shared" si="12"/>
        <v>进深比</v>
      </c>
      <c r="AA41" s="1308">
        <f t="shared" si="3"/>
        <v>1</v>
      </c>
      <c r="AB41" s="1308">
        <f t="shared" si="4"/>
        <v>1</v>
      </c>
      <c r="AC41" s="1308">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720"/>
      <c r="Q42" s="1305" t="str">
        <f t="shared" si="8"/>
        <v>内部装修</v>
      </c>
      <c r="R42" s="1306" t="s">
        <v>5</v>
      </c>
      <c r="S42" s="1307">
        <f t="shared" si="9"/>
        <v>100</v>
      </c>
      <c r="T42" s="1306" t="s">
        <v>5</v>
      </c>
      <c r="U42" s="1307">
        <f t="shared" si="10"/>
        <v>100</v>
      </c>
      <c r="V42" s="1306" t="s">
        <v>5</v>
      </c>
      <c r="W42" s="1307">
        <f t="shared" si="11"/>
        <v>100</v>
      </c>
      <c r="X42" s="1301"/>
      <c r="Y42" s="3720"/>
      <c r="Z42" s="1308" t="str">
        <f t="shared" si="12"/>
        <v>内部装修</v>
      </c>
      <c r="AA42" s="1308">
        <f t="shared" si="3"/>
        <v>1</v>
      </c>
      <c r="AB42" s="1308">
        <f t="shared" si="4"/>
        <v>1</v>
      </c>
      <c r="AC42" s="1308">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720"/>
      <c r="Q43" s="1305" t="str">
        <f t="shared" si="8"/>
        <v>内部装修维护情况</v>
      </c>
      <c r="R43" s="1306" t="s">
        <v>5</v>
      </c>
      <c r="S43" s="1307">
        <f t="shared" si="9"/>
        <v>100</v>
      </c>
      <c r="T43" s="1306" t="s">
        <v>5</v>
      </c>
      <c r="U43" s="1307">
        <f t="shared" si="10"/>
        <v>100</v>
      </c>
      <c r="V43" s="1306" t="s">
        <v>5</v>
      </c>
      <c r="W43" s="1307">
        <f t="shared" si="11"/>
        <v>100</v>
      </c>
      <c r="X43" s="1301"/>
      <c r="Y43" s="3720"/>
      <c r="Z43" s="1308" t="str">
        <f t="shared" si="12"/>
        <v>内部装修维护情况</v>
      </c>
      <c r="AA43" s="1308">
        <f t="shared" si="3"/>
        <v>1</v>
      </c>
      <c r="AB43" s="1308">
        <f t="shared" si="4"/>
        <v>1</v>
      </c>
      <c r="AC43" s="1308">
        <f t="shared" si="5"/>
        <v>1</v>
      </c>
    </row>
    <row r="44" spans="1:29" s="1058" customFormat="1" ht="15">
      <c r="A44" s="548"/>
      <c r="B44" s="90">
        <v>111</v>
      </c>
      <c r="C44" s="804"/>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720"/>
      <c r="Q44" s="816">
        <f t="shared" si="8"/>
        <v>111</v>
      </c>
      <c r="R44" s="1302" t="s">
        <v>5</v>
      </c>
      <c r="S44" s="1303">
        <f t="shared" si="9"/>
        <v>100</v>
      </c>
      <c r="T44" s="1302" t="s">
        <v>5</v>
      </c>
      <c r="U44" s="1303">
        <f t="shared" si="10"/>
        <v>100</v>
      </c>
      <c r="V44" s="1302" t="s">
        <v>5</v>
      </c>
      <c r="W44" s="1303">
        <f t="shared" si="11"/>
        <v>100</v>
      </c>
      <c r="X44" s="1304"/>
      <c r="Y44" s="3720"/>
      <c r="Z44" s="995">
        <f t="shared" si="12"/>
        <v>111</v>
      </c>
      <c r="AA44" s="995">
        <f t="shared" si="3"/>
        <v>1</v>
      </c>
      <c r="AB44" s="995">
        <f t="shared" si="4"/>
        <v>1</v>
      </c>
      <c r="AC44" s="995">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720"/>
      <c r="Q45" s="1305">
        <f t="shared" si="8"/>
        <v>111</v>
      </c>
      <c r="R45" s="1306" t="s">
        <v>5</v>
      </c>
      <c r="S45" s="1307">
        <f t="shared" si="9"/>
        <v>100</v>
      </c>
      <c r="T45" s="1306" t="s">
        <v>5</v>
      </c>
      <c r="U45" s="1307">
        <f t="shared" si="10"/>
        <v>100</v>
      </c>
      <c r="V45" s="1306" t="s">
        <v>5</v>
      </c>
      <c r="W45" s="1307">
        <f t="shared" si="11"/>
        <v>100</v>
      </c>
      <c r="X45" s="1301"/>
      <c r="Y45" s="3720"/>
      <c r="Z45" s="1308">
        <f t="shared" si="12"/>
        <v>111</v>
      </c>
      <c r="AA45" s="1308">
        <f t="shared" si="3"/>
        <v>1</v>
      </c>
      <c r="AB45" s="1308">
        <f t="shared" si="4"/>
        <v>1</v>
      </c>
      <c r="AC45" s="1308">
        <f t="shared" si="5"/>
        <v>1</v>
      </c>
    </row>
    <row r="46" spans="1:29" ht="15.75" thickBot="1">
      <c r="A46" s="809"/>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805"/>
      <c r="Q46" s="1305">
        <f t="shared" si="8"/>
        <v>111</v>
      </c>
      <c r="R46" s="1306" t="s">
        <v>5</v>
      </c>
      <c r="S46" s="1307">
        <f t="shared" si="9"/>
        <v>100</v>
      </c>
      <c r="T46" s="1306" t="s">
        <v>5</v>
      </c>
      <c r="U46" s="1307">
        <f t="shared" si="10"/>
        <v>100</v>
      </c>
      <c r="V46" s="1306" t="s">
        <v>5</v>
      </c>
      <c r="W46" s="1307">
        <f t="shared" si="11"/>
        <v>100</v>
      </c>
      <c r="X46" s="1301"/>
      <c r="Y46" s="3805"/>
      <c r="Z46" s="1308">
        <f t="shared" si="12"/>
        <v>111</v>
      </c>
      <c r="AA46" s="1308">
        <f t="shared" si="3"/>
        <v>1</v>
      </c>
      <c r="AB46" s="1308">
        <f t="shared" si="4"/>
        <v>1</v>
      </c>
      <c r="AC46" s="1308">
        <f t="shared" si="5"/>
        <v>1</v>
      </c>
    </row>
    <row r="47" spans="1:29" ht="15">
      <c r="A47" s="555" t="s">
        <v>683</v>
      </c>
      <c r="B47" s="810"/>
      <c r="C47" s="2080" t="s">
        <v>0</v>
      </c>
      <c r="D47" s="558"/>
      <c r="E47" s="559"/>
      <c r="F47" s="560"/>
      <c r="G47" s="561"/>
      <c r="H47" s="562"/>
      <c r="I47" s="559"/>
      <c r="J47" s="562"/>
      <c r="K47" s="1334"/>
      <c r="L47" s="1750"/>
      <c r="M47" s="1741"/>
      <c r="N47" s="1741"/>
      <c r="O47" s="1741"/>
      <c r="P47" s="3684" t="str">
        <f>A47</f>
        <v>成交单价（元/平方米）</v>
      </c>
      <c r="Q47" s="3684"/>
      <c r="R47" s="3685">
        <f>E47</f>
        <v>0</v>
      </c>
      <c r="S47" s="3685"/>
      <c r="T47" s="3685">
        <f>G47</f>
        <v>0</v>
      </c>
      <c r="U47" s="3685"/>
      <c r="V47" s="3685">
        <f>I47</f>
        <v>0</v>
      </c>
      <c r="W47" s="3685"/>
      <c r="X47" s="798"/>
      <c r="Y47" s="1313"/>
      <c r="Z47" s="798"/>
      <c r="AA47" s="798"/>
      <c r="AB47" s="798"/>
      <c r="AC47" s="798"/>
    </row>
    <row r="48" spans="1:29" ht="15.75" thickBot="1">
      <c r="A48" s="563" t="s">
        <v>2041</v>
      </c>
      <c r="B48" s="811"/>
      <c r="C48" s="2081" t="e">
        <f>R49</f>
        <v>#DIV/0!</v>
      </c>
      <c r="D48" s="2549" t="s">
        <v>2259</v>
      </c>
      <c r="E48" s="2082" t="e">
        <f>R48</f>
        <v>#DIV/0!</v>
      </c>
      <c r="F48" s="2550"/>
      <c r="G48" s="2081" t="e">
        <f>T48</f>
        <v>#DIV/0!</v>
      </c>
      <c r="H48" s="2550"/>
      <c r="I48" s="2082" t="e">
        <f>V48</f>
        <v>#DIV/0!</v>
      </c>
      <c r="J48" s="2550"/>
      <c r="K48" s="2557">
        <f>F48+H48+J48</f>
        <v>0</v>
      </c>
      <c r="L48" s="1750"/>
      <c r="M48" s="1741"/>
      <c r="N48" s="1741"/>
      <c r="O48" s="1741"/>
      <c r="P48" s="3684" t="str">
        <f>A48</f>
        <v>比较价格（元/平方米）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798"/>
      <c r="Y48" s="798"/>
      <c r="Z48" s="798"/>
      <c r="AA48" s="798"/>
      <c r="AB48" s="798"/>
      <c r="AC48" s="798"/>
    </row>
    <row r="49" spans="1:29" ht="15.75" thickBot="1">
      <c r="A49" s="567" t="s">
        <v>2196</v>
      </c>
      <c r="B49" s="568"/>
      <c r="C49" s="468" t="e">
        <f>R49</f>
        <v>#DIV/0!</v>
      </c>
      <c r="D49" s="468"/>
      <c r="E49" s="468"/>
      <c r="F49" s="468"/>
      <c r="G49" s="468"/>
      <c r="H49" s="468"/>
      <c r="I49" s="468"/>
      <c r="J49" s="468"/>
      <c r="K49" s="1335"/>
      <c r="L49" s="1750"/>
      <c r="M49" s="1741"/>
      <c r="N49" s="1741"/>
      <c r="O49" s="1741"/>
      <c r="P49" s="3721" t="str">
        <f>A49</f>
        <v>估价对象XX用房的比较价格（楼面单价，元/平方米）</v>
      </c>
      <c r="Q49" s="3722"/>
      <c r="R49" s="3804" t="e">
        <f>IF(F1="售价",ROUND(IF(D48="简单平均",AVERAGE(R48:V48),R48*F48+T48*H48+V48*J48),0),ROUND(IF(D48="简单平均",AVERAGE(R48:V48),R48*F48+T48*H48+V48*J48),1))</f>
        <v>#DIV/0!</v>
      </c>
      <c r="S49" s="3804"/>
      <c r="T49" s="3804"/>
      <c r="U49" s="3804"/>
      <c r="V49" s="3804"/>
      <c r="W49" s="3804"/>
      <c r="X49" s="798"/>
      <c r="Y49" s="798"/>
      <c r="Z49" s="798"/>
      <c r="AA49" s="798"/>
      <c r="AB49" s="798"/>
      <c r="AC49" s="798"/>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8"/>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1" t="s">
        <v>478</v>
      </c>
      <c r="B58" s="592"/>
      <c r="C58" s="2112" t="str">
        <f>YEAR(C7)&amp;"-"&amp;MONTH(C7)</f>
        <v>2024-11</v>
      </c>
      <c r="D58" s="2114">
        <f>EDATE(C58,-1)</f>
        <v>45566</v>
      </c>
      <c r="E58" s="2114">
        <f t="shared" ref="E58:O58" si="13">EDATE(D58,-1)</f>
        <v>45536</v>
      </c>
      <c r="F58" s="2114">
        <f t="shared" si="13"/>
        <v>45505</v>
      </c>
      <c r="G58" s="2114">
        <f t="shared" si="13"/>
        <v>45474</v>
      </c>
      <c r="H58" s="2114">
        <f t="shared" si="13"/>
        <v>45444</v>
      </c>
      <c r="I58" s="2114">
        <f t="shared" si="13"/>
        <v>45413</v>
      </c>
      <c r="J58" s="2114">
        <f t="shared" si="13"/>
        <v>45383</v>
      </c>
      <c r="K58" s="2114">
        <f t="shared" si="13"/>
        <v>45352</v>
      </c>
      <c r="L58" s="2114">
        <f t="shared" si="13"/>
        <v>45323</v>
      </c>
      <c r="M58" s="2114">
        <f t="shared" si="13"/>
        <v>45292</v>
      </c>
      <c r="N58" s="2114">
        <f t="shared" si="13"/>
        <v>45261</v>
      </c>
      <c r="O58" s="2114">
        <f t="shared" si="13"/>
        <v>45231</v>
      </c>
      <c r="P58" s="1764"/>
      <c r="Q58" s="1764"/>
      <c r="R58" s="1764"/>
      <c r="S58" s="1764"/>
      <c r="T58" s="1764"/>
      <c r="U58" s="1764"/>
      <c r="V58" s="1764"/>
      <c r="W58" s="1764"/>
      <c r="X58" s="1764"/>
      <c r="Y58" s="1764"/>
      <c r="Z58" s="1764"/>
      <c r="AA58" s="1764"/>
      <c r="AB58" s="1764"/>
      <c r="AC58" s="1764"/>
    </row>
    <row r="59" spans="1:29" s="1058"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8"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8" customFormat="1" ht="15">
      <c r="A61" s="602" t="s">
        <v>480</v>
      </c>
      <c r="B61" s="593"/>
      <c r="C61" s="603" t="s">
        <v>524</v>
      </c>
      <c r="D61" s="79"/>
      <c r="E61" s="79"/>
      <c r="F61" s="79"/>
      <c r="G61" s="79"/>
      <c r="H61" s="79"/>
      <c r="I61" s="79"/>
      <c r="J61" s="79"/>
      <c r="K61" s="79"/>
      <c r="L61" s="604"/>
      <c r="M61" s="605"/>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2"/>
      <c r="B62" s="593"/>
      <c r="C62" s="812">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4"/>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8"/>
      <c r="B74" s="622">
        <f>B14</f>
        <v>111</v>
      </c>
      <c r="C74" s="629"/>
      <c r="D74" s="629"/>
      <c r="E74" s="629"/>
      <c r="F74" s="629"/>
      <c r="G74" s="79"/>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2" t="s">
        <v>527</v>
      </c>
      <c r="D76" s="142" t="s">
        <v>528</v>
      </c>
      <c r="E76" s="142" t="s">
        <v>529</v>
      </c>
      <c r="F76" s="142" t="s">
        <v>530</v>
      </c>
      <c r="G76" s="142"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4"/>
      <c r="I83" s="854"/>
      <c r="J83" s="854"/>
      <c r="K83" s="854"/>
      <c r="L83" s="854"/>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5"/>
      <c r="B86" s="614" t="s">
        <v>711</v>
      </c>
      <c r="C86" s="629"/>
      <c r="D86" s="629"/>
      <c r="E86" s="629"/>
      <c r="F86" s="629"/>
      <c r="G86" s="629"/>
      <c r="H86" s="629"/>
      <c r="I86" s="629"/>
      <c r="J86" s="629"/>
      <c r="K86" s="629"/>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5"/>
      <c r="B88" s="614" t="str">
        <f>B26</f>
        <v>平面位置/可视性</v>
      </c>
      <c r="C88" s="629"/>
      <c r="D88" s="629"/>
      <c r="E88" s="629"/>
      <c r="F88" s="815"/>
      <c r="G88" s="629"/>
      <c r="H88" s="629"/>
      <c r="I88" s="629"/>
      <c r="J88" s="629"/>
      <c r="K88" s="629"/>
      <c r="L88" s="629"/>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1"/>
      <c r="B103" s="667"/>
      <c r="C103" s="78"/>
      <c r="D103" s="78"/>
      <c r="E103" s="78"/>
      <c r="F103" s="78"/>
      <c r="G103" s="78"/>
      <c r="H103" s="78"/>
      <c r="I103" s="78"/>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0"/>
      <c r="D118" s="830"/>
      <c r="E118" s="830"/>
      <c r="F118" s="830"/>
      <c r="G118" s="830"/>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79"/>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6"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717</v>
      </c>
      <c r="C1" s="454" t="s">
        <v>667</v>
      </c>
      <c r="D1" s="782"/>
      <c r="E1" s="456"/>
      <c r="F1" s="2117"/>
      <c r="G1" s="1327" t="s">
        <v>668</v>
      </c>
      <c r="H1" s="456"/>
      <c r="I1" s="456"/>
      <c r="J1" s="456"/>
      <c r="K1" s="457"/>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2" t="s">
        <v>470</v>
      </c>
      <c r="B4" s="463"/>
      <c r="C4" s="3690" t="s">
        <v>471</v>
      </c>
      <c r="D4" s="3691"/>
      <c r="E4" s="3729" t="s">
        <v>472</v>
      </c>
      <c r="F4" s="3730"/>
      <c r="G4" s="3690" t="s">
        <v>473</v>
      </c>
      <c r="H4" s="3691"/>
      <c r="I4" s="3690" t="s">
        <v>474</v>
      </c>
      <c r="J4" s="3691"/>
      <c r="K4" s="464" t="s">
        <v>475</v>
      </c>
      <c r="L4" s="1740"/>
      <c r="M4" s="1741"/>
      <c r="N4" s="1741"/>
      <c r="O4" s="1741"/>
      <c r="P4" s="3809" t="s">
        <v>476</v>
      </c>
      <c r="Q4" s="3693"/>
      <c r="R4" s="3698" t="s">
        <v>472</v>
      </c>
      <c r="S4" s="3699"/>
      <c r="T4" s="3698" t="s">
        <v>473</v>
      </c>
      <c r="U4" s="3699"/>
      <c r="V4" s="3685" t="s">
        <v>474</v>
      </c>
      <c r="W4" s="3685"/>
      <c r="X4" s="1301"/>
      <c r="Y4" s="3698" t="s">
        <v>476</v>
      </c>
      <c r="Z4" s="3699"/>
      <c r="AA4" s="3687" t="s">
        <v>472</v>
      </c>
      <c r="AB4" s="3687" t="s">
        <v>473</v>
      </c>
      <c r="AC4" s="3687" t="s">
        <v>474</v>
      </c>
    </row>
    <row r="5" spans="1:29" ht="15">
      <c r="A5" s="465"/>
      <c r="B5" s="466"/>
      <c r="C5" s="3706" t="s">
        <v>2190</v>
      </c>
      <c r="D5" s="3707"/>
      <c r="E5" s="3731" t="s">
        <v>2191</v>
      </c>
      <c r="F5" s="3732"/>
      <c r="G5" s="3706" t="s">
        <v>2192</v>
      </c>
      <c r="H5" s="3707"/>
      <c r="I5" s="3706" t="s">
        <v>2193</v>
      </c>
      <c r="J5" s="3707"/>
      <c r="K5" s="464"/>
      <c r="L5" s="1740"/>
      <c r="M5" s="1741"/>
      <c r="N5" s="1741"/>
      <c r="O5" s="1741"/>
      <c r="P5" s="3810"/>
      <c r="Q5" s="3695"/>
      <c r="R5" s="3700"/>
      <c r="S5" s="3701"/>
      <c r="T5" s="3700"/>
      <c r="U5" s="3701"/>
      <c r="V5" s="3685"/>
      <c r="W5" s="3685"/>
      <c r="X5" s="1301"/>
      <c r="Y5" s="3700"/>
      <c r="Z5" s="3701"/>
      <c r="AA5" s="3688"/>
      <c r="AB5" s="3688"/>
      <c r="AC5" s="3688"/>
    </row>
    <row r="6" spans="1:29" ht="15.75" thickBot="1">
      <c r="A6" s="467"/>
      <c r="B6" s="468"/>
      <c r="C6" s="3704" t="s">
        <v>2194</v>
      </c>
      <c r="D6" s="3705"/>
      <c r="E6" s="3727" t="s">
        <v>2194</v>
      </c>
      <c r="F6" s="3728"/>
      <c r="G6" s="3704" t="s">
        <v>2194</v>
      </c>
      <c r="H6" s="3705"/>
      <c r="I6" s="3704" t="s">
        <v>2194</v>
      </c>
      <c r="J6" s="3705"/>
      <c r="K6" s="464" t="s">
        <v>477</v>
      </c>
      <c r="L6" s="1740"/>
      <c r="M6" s="1741"/>
      <c r="N6" s="1741"/>
      <c r="O6" s="1741"/>
      <c r="P6" s="3811"/>
      <c r="Q6" s="3697"/>
      <c r="R6" s="3700"/>
      <c r="S6" s="3701"/>
      <c r="T6" s="3702"/>
      <c r="U6" s="3703"/>
      <c r="V6" s="3685"/>
      <c r="W6" s="3685"/>
      <c r="X6" s="1301"/>
      <c r="Y6" s="3702"/>
      <c r="Z6" s="3703"/>
      <c r="AA6" s="3689"/>
      <c r="AB6" s="3689"/>
      <c r="AC6" s="3689"/>
    </row>
    <row r="7" spans="1:29" s="1058" customFormat="1" ht="15.75" thickBot="1">
      <c r="A7" s="2208"/>
      <c r="B7" s="2215" t="s">
        <v>478</v>
      </c>
      <c r="C7" s="469">
        <f>'数据-取费表'!B2</f>
        <v>45615</v>
      </c>
      <c r="D7" s="470">
        <v>100</v>
      </c>
      <c r="E7" s="471"/>
      <c r="F7" s="472">
        <f>SUMIF(59:59,YEAR(E7)&amp;"-"&amp;MONTH(E7),60:60)</f>
        <v>0</v>
      </c>
      <c r="G7" s="471"/>
      <c r="H7" s="470">
        <f>SUMIF(59:59,YEAR(G7)&amp;"-"&amp;MONTH(G7),60:60)</f>
        <v>0</v>
      </c>
      <c r="I7" s="471"/>
      <c r="J7" s="470">
        <f>SUMIF(59:59,YEAR(I7)&amp;"-"&amp;MONTH(I7),60:60)</f>
        <v>0</v>
      </c>
      <c r="K7" s="87"/>
      <c r="L7" s="1742"/>
      <c r="M7" s="1639"/>
      <c r="N7" s="1639"/>
      <c r="O7" s="1639"/>
      <c r="P7" s="3716" t="s">
        <v>479</v>
      </c>
      <c r="Q7" s="3716"/>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4" t="s">
        <v>524</v>
      </c>
      <c r="D8" s="470">
        <v>100</v>
      </c>
      <c r="E8" s="474"/>
      <c r="F8" s="472">
        <f>SUMIF(62:62,E8,63:63)-SUMIF(62:62,C8,63:63)+100</f>
        <v>0</v>
      </c>
      <c r="G8" s="474"/>
      <c r="H8" s="470">
        <f>SUMIF(62:62,G8,63:63)-SUMIF(62:62,C8,63:63)+100</f>
        <v>0</v>
      </c>
      <c r="I8" s="474"/>
      <c r="J8" s="470">
        <f>SUMIF(62:62,I8,63:63)-SUMIF(62:62,C8,63:63)+100</f>
        <v>0</v>
      </c>
      <c r="K8" s="87"/>
      <c r="L8" s="1742"/>
      <c r="M8" s="1639"/>
      <c r="N8" s="1639"/>
      <c r="O8" s="1639"/>
      <c r="P8" s="3716" t="s">
        <v>482</v>
      </c>
      <c r="Q8" s="3715"/>
      <c r="R8" s="1302" t="s">
        <v>5</v>
      </c>
      <c r="S8" s="1303">
        <f t="shared" si="0"/>
        <v>0</v>
      </c>
      <c r="T8" s="1302" t="s">
        <v>5</v>
      </c>
      <c r="U8" s="1303">
        <f t="shared" si="1"/>
        <v>0</v>
      </c>
      <c r="V8" s="1302" t="s">
        <v>5</v>
      </c>
      <c r="W8" s="1303">
        <f t="shared" si="2"/>
        <v>0</v>
      </c>
      <c r="X8" s="1304"/>
      <c r="Y8" s="3714" t="s">
        <v>482</v>
      </c>
      <c r="Z8" s="3715"/>
      <c r="AA8" s="995" t="e">
        <f t="shared" ref="AA8:AA47" si="3">D8/F8</f>
        <v>#DIV/0!</v>
      </c>
      <c r="AB8" s="995" t="e">
        <f t="shared" ref="AB8:AB47" si="4">D8/H8</f>
        <v>#DIV/0!</v>
      </c>
      <c r="AC8" s="995" t="e">
        <f t="shared" ref="AC8:AC47" si="5">D8/J8</f>
        <v>#DIV/0!</v>
      </c>
    </row>
    <row r="9" spans="1:29" s="1058" customFormat="1" ht="15">
      <c r="A9" s="2210"/>
      <c r="B9" s="2217" t="s">
        <v>2037</v>
      </c>
      <c r="C9" s="790"/>
      <c r="D9" s="153">
        <v>100</v>
      </c>
      <c r="E9" s="792"/>
      <c r="F9" s="153">
        <f>SUMIF(64:64,E9,65:65)-SUMIF(64:64,C9,65:65)+100</f>
        <v>100</v>
      </c>
      <c r="G9" s="791"/>
      <c r="H9" s="153">
        <f>SUMIF(64:64,G9,65:65)-SUMIF(64:64,C9,65:65)+100</f>
        <v>100</v>
      </c>
      <c r="I9" s="791"/>
      <c r="J9" s="153">
        <f>SUMIF(64:64,I9,65:65)-SUMIF(64:64,C9,65:65)+100</f>
        <v>100</v>
      </c>
      <c r="K9" s="87"/>
      <c r="L9" s="1742"/>
      <c r="M9" s="1639"/>
      <c r="N9" s="1639"/>
      <c r="O9" s="1639"/>
      <c r="P9" s="3684" t="s">
        <v>484</v>
      </c>
      <c r="Q9" s="816" t="str">
        <f t="shared" ref="Q9:Q15" si="6">B9</f>
        <v>用途</v>
      </c>
      <c r="R9" s="1302" t="s">
        <v>5</v>
      </c>
      <c r="S9" s="1303">
        <f t="shared" si="0"/>
        <v>100</v>
      </c>
      <c r="T9" s="1302" t="s">
        <v>5</v>
      </c>
      <c r="U9" s="1303">
        <f t="shared" si="1"/>
        <v>100</v>
      </c>
      <c r="V9" s="1302" t="s">
        <v>5</v>
      </c>
      <c r="W9" s="1303">
        <f t="shared" si="2"/>
        <v>100</v>
      </c>
      <c r="X9" s="1304"/>
      <c r="Y9" s="3632" t="s">
        <v>485</v>
      </c>
      <c r="Z9" s="995" t="str">
        <f t="shared" ref="Z9:Z15" si="7">Q9</f>
        <v>用途</v>
      </c>
      <c r="AA9" s="995">
        <f t="shared" si="3"/>
        <v>1</v>
      </c>
      <c r="AB9" s="995">
        <f t="shared" si="4"/>
        <v>1</v>
      </c>
      <c r="AC9" s="995">
        <f t="shared" si="5"/>
        <v>1</v>
      </c>
    </row>
    <row r="10" spans="1:29" s="1131" customFormat="1" ht="27">
      <c r="A10" s="2211"/>
      <c r="B10" s="2216" t="s">
        <v>2038</v>
      </c>
      <c r="C10" s="3386"/>
      <c r="D10" s="234">
        <v>100</v>
      </c>
      <c r="E10" s="3386"/>
      <c r="F10" s="234">
        <f>SUMIF(66:66,E10,67:67)-SUMIF(66:66,C10,67:67)+100</f>
        <v>100</v>
      </c>
      <c r="G10" s="3387"/>
      <c r="H10" s="234">
        <f>SUMIF(66:66,G10,67:67)-SUMIF(66:66,C10,67:67)+100</f>
        <v>100</v>
      </c>
      <c r="I10" s="3386"/>
      <c r="J10" s="234">
        <f>SUMIF(66:66,I10,67:67)-SUMIF(66:66,C10,67:67)+100</f>
        <v>100</v>
      </c>
      <c r="K10" s="87"/>
      <c r="L10" s="1744"/>
      <c r="M10" s="1777"/>
      <c r="N10" s="1777"/>
      <c r="O10" s="1777"/>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684"/>
      <c r="Q11" s="816" t="str">
        <f t="shared" si="6"/>
        <v>容积率</v>
      </c>
      <c r="R11" s="1302" t="s">
        <v>5</v>
      </c>
      <c r="S11" s="1303" t="e">
        <f t="shared" si="0"/>
        <v>#N/A</v>
      </c>
      <c r="T11" s="1302" t="s">
        <v>5</v>
      </c>
      <c r="U11" s="1303" t="e">
        <f t="shared" si="1"/>
        <v>#N/A</v>
      </c>
      <c r="V11" s="1302" t="s">
        <v>5</v>
      </c>
      <c r="W11" s="1303" t="e">
        <f t="shared" si="2"/>
        <v>#N/A</v>
      </c>
      <c r="X11" s="1304"/>
      <c r="Y11" s="3632"/>
      <c r="Z11" s="995" t="str">
        <f t="shared" si="7"/>
        <v>容积率</v>
      </c>
      <c r="AA11" s="995" t="e">
        <f t="shared" si="3"/>
        <v>#N/A</v>
      </c>
      <c r="AB11" s="995" t="e">
        <f t="shared" si="4"/>
        <v>#N/A</v>
      </c>
      <c r="AC11" s="995" t="e">
        <f t="shared" si="5"/>
        <v>#N/A</v>
      </c>
    </row>
    <row r="12" spans="1:29" s="1058" customFormat="1" ht="15">
      <c r="A12" s="2213"/>
      <c r="B12" s="2219">
        <v>111</v>
      </c>
      <c r="C12" s="477"/>
      <c r="D12" s="487">
        <v>100</v>
      </c>
      <c r="E12" s="477"/>
      <c r="F12" s="234">
        <f>SUMIF(71:71,E12,72:72)-SUMIF(71:71,C12,72:72)+100</f>
        <v>100</v>
      </c>
      <c r="G12" s="831"/>
      <c r="H12" s="234">
        <f>SUMIF(71:71,G12,72:72)-SUMIF(71:71,C12,72:72)+100</f>
        <v>100</v>
      </c>
      <c r="I12" s="477"/>
      <c r="J12" s="234">
        <f>SUMIF(71:71,I12,72:72)-SUMIF(71:71,C12,72:72)+100</f>
        <v>100</v>
      </c>
      <c r="K12" s="530"/>
      <c r="L12" s="1742"/>
      <c r="M12" s="1639"/>
      <c r="N12" s="1639"/>
      <c r="O12" s="1639"/>
      <c r="P12" s="3684"/>
      <c r="Q12" s="816">
        <f t="shared" si="6"/>
        <v>111</v>
      </c>
      <c r="R12" s="1302" t="s">
        <v>5</v>
      </c>
      <c r="S12" s="1303">
        <f t="shared" si="0"/>
        <v>100</v>
      </c>
      <c r="T12" s="1302" t="s">
        <v>5</v>
      </c>
      <c r="U12" s="1303">
        <f t="shared" si="1"/>
        <v>100</v>
      </c>
      <c r="V12" s="1302" t="s">
        <v>5</v>
      </c>
      <c r="W12" s="1303">
        <f t="shared" si="2"/>
        <v>100</v>
      </c>
      <c r="X12" s="1304"/>
      <c r="Y12" s="3632"/>
      <c r="Z12" s="995">
        <f t="shared" si="7"/>
        <v>111</v>
      </c>
      <c r="AA12" s="995">
        <f>D12/F12</f>
        <v>1</v>
      </c>
      <c r="AB12" s="995">
        <f>D12/H12</f>
        <v>1</v>
      </c>
      <c r="AC12" s="995">
        <f>D12/J12</f>
        <v>1</v>
      </c>
    </row>
    <row r="13" spans="1:29" ht="15">
      <c r="A13" s="2213"/>
      <c r="B13" s="2219">
        <v>111</v>
      </c>
      <c r="C13" s="488"/>
      <c r="D13" s="489">
        <v>100</v>
      </c>
      <c r="E13" s="477"/>
      <c r="F13" s="234">
        <f>SUMIF(73:73,E13,74:74)-SUMIF(73:73,C13,74:74)+100</f>
        <v>100</v>
      </c>
      <c r="G13" s="831"/>
      <c r="H13" s="489">
        <f>SUMIF(73:73,G13,74:74)-SUMIF(73:73,C13,74:74)+100</f>
        <v>100</v>
      </c>
      <c r="I13" s="477"/>
      <c r="J13" s="489">
        <f>SUMIF(73:73,I13,74:74)-SUMIF(73:73,C13,74:74)+100</f>
        <v>100</v>
      </c>
      <c r="K13" s="530"/>
      <c r="L13" s="1748"/>
      <c r="M13" s="1741"/>
      <c r="N13" s="1741"/>
      <c r="O13" s="1741"/>
      <c r="P13" s="3684"/>
      <c r="Q13" s="816">
        <f t="shared" si="6"/>
        <v>111</v>
      </c>
      <c r="R13" s="1302" t="s">
        <v>5</v>
      </c>
      <c r="S13" s="1303">
        <f t="shared" si="0"/>
        <v>100</v>
      </c>
      <c r="T13" s="1302" t="s">
        <v>5</v>
      </c>
      <c r="U13" s="1303">
        <f t="shared" si="1"/>
        <v>100</v>
      </c>
      <c r="V13" s="1302" t="s">
        <v>5</v>
      </c>
      <c r="W13" s="1303">
        <f t="shared" si="2"/>
        <v>100</v>
      </c>
      <c r="X13" s="1304"/>
      <c r="Y13" s="3632"/>
      <c r="Z13" s="995">
        <f t="shared" si="7"/>
        <v>111</v>
      </c>
      <c r="AA13" s="995">
        <f t="shared" si="3"/>
        <v>1</v>
      </c>
      <c r="AB13" s="995">
        <f t="shared" si="4"/>
        <v>1</v>
      </c>
      <c r="AC13" s="995">
        <f t="shared" si="5"/>
        <v>1</v>
      </c>
    </row>
    <row r="14" spans="1:29" ht="15.75" thickBot="1">
      <c r="A14" s="2214"/>
      <c r="B14" s="2220">
        <v>111</v>
      </c>
      <c r="C14" s="494"/>
      <c r="D14" s="495">
        <v>100</v>
      </c>
      <c r="E14" s="832"/>
      <c r="F14" s="495">
        <f>SUMIF(75:75,E14,76:76)-SUMIF(75:75,C14,76:76)+100</f>
        <v>100</v>
      </c>
      <c r="G14" s="831"/>
      <c r="H14" s="495">
        <f>SUMIF(75:75,G14,76:76)-SUMIF(75:75,C14,76:76)+100</f>
        <v>100</v>
      </c>
      <c r="I14" s="477"/>
      <c r="J14" s="495">
        <f>SUMIF(75:75,I14,76:76)-SUMIF(75:75,C14,76:76)+100</f>
        <v>100</v>
      </c>
      <c r="K14" s="530"/>
      <c r="L14" s="1748"/>
      <c r="M14" s="1741"/>
      <c r="N14" s="1741"/>
      <c r="O14" s="1741"/>
      <c r="P14" s="3684"/>
      <c r="Q14" s="816">
        <f t="shared" si="6"/>
        <v>111</v>
      </c>
      <c r="R14" s="1302" t="s">
        <v>5</v>
      </c>
      <c r="S14" s="1303">
        <f t="shared" si="0"/>
        <v>100</v>
      </c>
      <c r="T14" s="1302" t="s">
        <v>5</v>
      </c>
      <c r="U14" s="1303">
        <f t="shared" si="1"/>
        <v>100</v>
      </c>
      <c r="V14" s="1302" t="s">
        <v>5</v>
      </c>
      <c r="W14" s="1303">
        <f t="shared" si="2"/>
        <v>100</v>
      </c>
      <c r="X14" s="1304"/>
      <c r="Y14" s="3632"/>
      <c r="Z14" s="995">
        <f t="shared" si="7"/>
        <v>111</v>
      </c>
      <c r="AA14" s="995">
        <f t="shared" si="3"/>
        <v>1</v>
      </c>
      <c r="AB14" s="995">
        <f t="shared" si="4"/>
        <v>1</v>
      </c>
      <c r="AC14" s="995">
        <f t="shared" si="5"/>
        <v>1</v>
      </c>
    </row>
    <row r="15" spans="1:29" ht="71.25">
      <c r="A15" s="2206" t="s">
        <v>2035</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0"/>
      <c r="L15" s="1748"/>
      <c r="M15" s="1741"/>
      <c r="N15" s="1741"/>
      <c r="O15" s="1741"/>
      <c r="P15" s="3717" t="s">
        <v>489</v>
      </c>
      <c r="Q15" s="1305" t="str">
        <f t="shared" si="6"/>
        <v>办公集聚程度</v>
      </c>
      <c r="R15" s="1306" t="s">
        <v>5</v>
      </c>
      <c r="S15" s="1307">
        <f t="shared" si="0"/>
        <v>100</v>
      </c>
      <c r="T15" s="1306" t="s">
        <v>5</v>
      </c>
      <c r="U15" s="1307">
        <f t="shared" si="1"/>
        <v>100</v>
      </c>
      <c r="V15" s="1306" t="s">
        <v>5</v>
      </c>
      <c r="W15" s="1307">
        <f t="shared" si="2"/>
        <v>100</v>
      </c>
      <c r="X15" s="1301"/>
      <c r="Y15" s="3717" t="s">
        <v>489</v>
      </c>
      <c r="Z15" s="1308" t="str">
        <f t="shared" si="7"/>
        <v>办公集聚程度</v>
      </c>
      <c r="AA15" s="1308">
        <f t="shared" si="3"/>
        <v>1</v>
      </c>
      <c r="AB15" s="1308">
        <f t="shared" si="4"/>
        <v>1</v>
      </c>
      <c r="AC15" s="1308">
        <f t="shared" si="5"/>
        <v>1</v>
      </c>
    </row>
    <row r="16" spans="1:29" ht="15">
      <c r="A16" s="481"/>
      <c r="B16" s="502"/>
      <c r="C16" s="503"/>
      <c r="D16" s="504"/>
      <c r="E16" s="525"/>
      <c r="F16" s="504"/>
      <c r="G16" s="503"/>
      <c r="H16" s="508"/>
      <c r="I16" s="525"/>
      <c r="J16" s="504"/>
      <c r="K16" s="821"/>
      <c r="L16" s="1748"/>
      <c r="M16" s="1741"/>
      <c r="N16" s="1741"/>
      <c r="O16" s="1741"/>
      <c r="P16" s="3718"/>
      <c r="Q16" s="1305"/>
      <c r="R16" s="1306"/>
      <c r="S16" s="1307"/>
      <c r="T16" s="1306"/>
      <c r="U16" s="1307"/>
      <c r="V16" s="1306"/>
      <c r="W16" s="1307"/>
      <c r="X16" s="1301"/>
      <c r="Y16" s="3718"/>
      <c r="Z16" s="1308"/>
      <c r="AA16" s="1308">
        <v>1</v>
      </c>
      <c r="AB16" s="1308">
        <v>1</v>
      </c>
      <c r="AC16" s="1308">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0"/>
      <c r="L17" s="1748"/>
      <c r="M17" s="1741"/>
      <c r="N17" s="1741"/>
      <c r="O17" s="1741"/>
      <c r="P17" s="3718"/>
      <c r="Q17" s="1305" t="str">
        <f>B17</f>
        <v>交通便捷度</v>
      </c>
      <c r="R17" s="1306" t="s">
        <v>5</v>
      </c>
      <c r="S17" s="1307">
        <f>F17</f>
        <v>100</v>
      </c>
      <c r="T17" s="1306" t="s">
        <v>5</v>
      </c>
      <c r="U17" s="1307">
        <f>H17</f>
        <v>100</v>
      </c>
      <c r="V17" s="1306" t="s">
        <v>5</v>
      </c>
      <c r="W17" s="1307">
        <f>J17</f>
        <v>100</v>
      </c>
      <c r="X17" s="1301"/>
      <c r="Y17" s="3718"/>
      <c r="Z17" s="1308" t="str">
        <f>Q17</f>
        <v>交通便捷度</v>
      </c>
      <c r="AA17" s="1308">
        <f t="shared" si="3"/>
        <v>1</v>
      </c>
      <c r="AB17" s="1308">
        <f t="shared" si="4"/>
        <v>1</v>
      </c>
      <c r="AC17" s="1308">
        <f t="shared" si="5"/>
        <v>1</v>
      </c>
    </row>
    <row r="18" spans="1:29" ht="15">
      <c r="A18" s="481"/>
      <c r="B18" s="515"/>
      <c r="C18" s="516"/>
      <c r="D18" s="508"/>
      <c r="E18" s="518"/>
      <c r="F18" s="508"/>
      <c r="G18" s="517"/>
      <c r="H18" s="504"/>
      <c r="I18" s="517"/>
      <c r="J18" s="504"/>
      <c r="K18" s="821"/>
      <c r="L18" s="1748"/>
      <c r="M18" s="1741"/>
      <c r="N18" s="1741"/>
      <c r="O18" s="1741"/>
      <c r="P18" s="3718"/>
      <c r="Q18" s="1305"/>
      <c r="R18" s="1306"/>
      <c r="S18" s="1307"/>
      <c r="T18" s="1306"/>
      <c r="U18" s="1307"/>
      <c r="V18" s="1306"/>
      <c r="W18" s="1307"/>
      <c r="X18" s="1301"/>
      <c r="Y18" s="3718"/>
      <c r="Z18" s="1308"/>
      <c r="AA18" s="1308">
        <v>1</v>
      </c>
      <c r="AB18" s="1308">
        <v>1</v>
      </c>
      <c r="AC18" s="1308">
        <v>1</v>
      </c>
    </row>
    <row r="19" spans="1:29" ht="42.75">
      <c r="A19" s="481"/>
      <c r="B19" s="2061"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0"/>
      <c r="L19" s="1748"/>
      <c r="M19" s="1741"/>
      <c r="N19" s="1741"/>
      <c r="O19" s="1741"/>
      <c r="P19" s="3718"/>
      <c r="Q19" s="1305" t="str">
        <f>B19</f>
        <v>公共配套设施</v>
      </c>
      <c r="R19" s="1306" t="s">
        <v>5</v>
      </c>
      <c r="S19" s="1307">
        <f>F19</f>
        <v>100</v>
      </c>
      <c r="T19" s="1306" t="s">
        <v>5</v>
      </c>
      <c r="U19" s="1307">
        <f>H19</f>
        <v>100</v>
      </c>
      <c r="V19" s="1306" t="s">
        <v>5</v>
      </c>
      <c r="W19" s="1307">
        <f>J19</f>
        <v>100</v>
      </c>
      <c r="X19" s="1301"/>
      <c r="Y19" s="3718"/>
      <c r="Z19" s="1308" t="str">
        <f>Q19</f>
        <v>公共配套设施</v>
      </c>
      <c r="AA19" s="1308">
        <f t="shared" si="3"/>
        <v>1</v>
      </c>
      <c r="AB19" s="1308">
        <f t="shared" si="4"/>
        <v>1</v>
      </c>
      <c r="AC19" s="1308">
        <f t="shared" si="5"/>
        <v>1</v>
      </c>
    </row>
    <row r="20" spans="1:29" ht="15">
      <c r="A20" s="481"/>
      <c r="B20" s="515"/>
      <c r="C20" s="503"/>
      <c r="D20" s="504"/>
      <c r="E20" s="507"/>
      <c r="F20" s="504"/>
      <c r="G20" s="505"/>
      <c r="H20" s="504"/>
      <c r="I20" s="505"/>
      <c r="J20" s="504"/>
      <c r="K20" s="821"/>
      <c r="L20" s="1748"/>
      <c r="M20" s="1741"/>
      <c r="N20" s="1741"/>
      <c r="O20" s="1741"/>
      <c r="P20" s="3718"/>
      <c r="Q20" s="1305"/>
      <c r="R20" s="1306"/>
      <c r="S20" s="1307"/>
      <c r="T20" s="1306"/>
      <c r="U20" s="1307"/>
      <c r="V20" s="1306"/>
      <c r="W20" s="1307"/>
      <c r="X20" s="1301"/>
      <c r="Y20" s="3718"/>
      <c r="Z20" s="1308"/>
      <c r="AA20" s="1308">
        <v>1</v>
      </c>
      <c r="AB20" s="1308">
        <v>1</v>
      </c>
      <c r="AC20" s="1308">
        <v>1</v>
      </c>
    </row>
    <row r="21" spans="1:29" ht="28.5">
      <c r="A21" s="481"/>
      <c r="B21" s="2049"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0"/>
      <c r="L21" s="1748"/>
      <c r="M21" s="1741"/>
      <c r="N21" s="1741"/>
      <c r="O21" s="1741"/>
      <c r="P21" s="3718"/>
      <c r="Q21" s="1305" t="str">
        <f>B21</f>
        <v>基础设施水平</v>
      </c>
      <c r="R21" s="1306" t="s">
        <v>5</v>
      </c>
      <c r="S21" s="1307">
        <f>F21</f>
        <v>100</v>
      </c>
      <c r="T21" s="1306" t="s">
        <v>5</v>
      </c>
      <c r="U21" s="1307">
        <f>H21</f>
        <v>100</v>
      </c>
      <c r="V21" s="1306" t="s">
        <v>5</v>
      </c>
      <c r="W21" s="1307">
        <f>J21</f>
        <v>100</v>
      </c>
      <c r="X21" s="1301"/>
      <c r="Y21" s="3718"/>
      <c r="Z21" s="1308" t="str">
        <f>Q21</f>
        <v>基础设施水平</v>
      </c>
      <c r="AA21" s="1308">
        <f>D21/F21</f>
        <v>1</v>
      </c>
      <c r="AB21" s="1308">
        <f>D21/H21</f>
        <v>1</v>
      </c>
      <c r="AC21" s="1308">
        <f>D21/J21</f>
        <v>1</v>
      </c>
    </row>
    <row r="22" spans="1:29" ht="15">
      <c r="A22" s="481"/>
      <c r="B22" s="527"/>
      <c r="C22" s="516"/>
      <c r="D22" s="504"/>
      <c r="E22" s="525"/>
      <c r="F22" s="504"/>
      <c r="G22" s="503"/>
      <c r="H22" s="504"/>
      <c r="I22" s="503"/>
      <c r="J22" s="504"/>
      <c r="K22" s="2060"/>
      <c r="L22" s="1748"/>
      <c r="M22" s="1741"/>
      <c r="N22" s="1741"/>
      <c r="O22" s="1741"/>
      <c r="P22" s="3718"/>
      <c r="Q22" s="1305"/>
      <c r="R22" s="1306"/>
      <c r="S22" s="1307"/>
      <c r="T22" s="1306"/>
      <c r="U22" s="1307"/>
      <c r="V22" s="1306"/>
      <c r="W22" s="1307"/>
      <c r="X22" s="1301"/>
      <c r="Y22" s="3718"/>
      <c r="Z22" s="1308"/>
      <c r="AA22" s="1308">
        <v>1</v>
      </c>
      <c r="AB22" s="1308">
        <v>1</v>
      </c>
      <c r="AC22" s="1308">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0"/>
      <c r="L23" s="1748"/>
      <c r="M23" s="1741"/>
      <c r="N23" s="1741"/>
      <c r="O23" s="1741"/>
      <c r="P23" s="3718"/>
      <c r="Q23" s="1305" t="str">
        <f>B23</f>
        <v>环境质量</v>
      </c>
      <c r="R23" s="1306" t="s">
        <v>5</v>
      </c>
      <c r="S23" s="1307">
        <f>F23</f>
        <v>100</v>
      </c>
      <c r="T23" s="1306" t="s">
        <v>5</v>
      </c>
      <c r="U23" s="1307">
        <f>H23</f>
        <v>100</v>
      </c>
      <c r="V23" s="1306" t="s">
        <v>5</v>
      </c>
      <c r="W23" s="1307">
        <f>J23</f>
        <v>100</v>
      </c>
      <c r="X23" s="1301"/>
      <c r="Y23" s="3718"/>
      <c r="Z23" s="1308" t="str">
        <f>Q23</f>
        <v>环境质量</v>
      </c>
      <c r="AA23" s="1308">
        <f t="shared" si="3"/>
        <v>1</v>
      </c>
      <c r="AB23" s="1308">
        <f t="shared" si="4"/>
        <v>1</v>
      </c>
      <c r="AC23" s="1308">
        <f t="shared" si="5"/>
        <v>1</v>
      </c>
    </row>
    <row r="24" spans="1:29" ht="15">
      <c r="A24" s="481"/>
      <c r="B24" s="527"/>
      <c r="C24" s="503"/>
      <c r="D24" s="504"/>
      <c r="E24" s="507"/>
      <c r="F24" s="504"/>
      <c r="G24" s="505"/>
      <c r="H24" s="504"/>
      <c r="I24" s="505"/>
      <c r="J24" s="504"/>
      <c r="K24" s="821"/>
      <c r="L24" s="1748"/>
      <c r="M24" s="1741"/>
      <c r="N24" s="1741"/>
      <c r="O24" s="1741"/>
      <c r="P24" s="3718"/>
      <c r="Q24" s="1305"/>
      <c r="R24" s="1306"/>
      <c r="S24" s="1307"/>
      <c r="T24" s="1306"/>
      <c r="U24" s="1307"/>
      <c r="V24" s="1306"/>
      <c r="W24" s="1307"/>
      <c r="X24" s="1301"/>
      <c r="Y24" s="3718"/>
      <c r="Z24" s="1308"/>
      <c r="AA24" s="1308">
        <v>1</v>
      </c>
      <c r="AB24" s="1308">
        <v>1</v>
      </c>
      <c r="AC24" s="1308">
        <v>1</v>
      </c>
    </row>
    <row r="25" spans="1:29" ht="27">
      <c r="A25" s="465"/>
      <c r="B25" s="509" t="s">
        <v>497</v>
      </c>
      <c r="C25" s="833"/>
      <c r="D25" s="489">
        <v>100</v>
      </c>
      <c r="E25" s="488"/>
      <c r="F25" s="489">
        <f>SUMIF(87:87,E26,88:88)-SUMIF(87:87,C26,88:88)+100</f>
        <v>100</v>
      </c>
      <c r="G25" s="833"/>
      <c r="H25" s="489">
        <f>SUMIF(87:87,G26,88:88)-SUMIF(87:87,C26,88:88)+100</f>
        <v>100</v>
      </c>
      <c r="I25" s="488"/>
      <c r="J25" s="489">
        <f>SUMIF(87:87,I26,88:88)-SUMIF(87:87,C26,88:88)+100</f>
        <v>100</v>
      </c>
      <c r="K25" s="820"/>
      <c r="L25" s="1748"/>
      <c r="M25" s="1741"/>
      <c r="N25" s="1741"/>
      <c r="O25" s="1741"/>
      <c r="P25" s="3718"/>
      <c r="Q25" s="1305" t="str">
        <f>B25</f>
        <v>毗邻道路的类型与等级</v>
      </c>
      <c r="R25" s="1306" t="s">
        <v>5</v>
      </c>
      <c r="S25" s="1307">
        <f>F25</f>
        <v>100</v>
      </c>
      <c r="T25" s="1306" t="s">
        <v>5</v>
      </c>
      <c r="U25" s="1307">
        <f>H25</f>
        <v>100</v>
      </c>
      <c r="V25" s="1306" t="s">
        <v>5</v>
      </c>
      <c r="W25" s="1307">
        <f>J25</f>
        <v>100</v>
      </c>
      <c r="X25" s="1301"/>
      <c r="Y25" s="3718"/>
      <c r="Z25" s="1308" t="str">
        <f>Q25</f>
        <v>毗邻道路的类型与等级</v>
      </c>
      <c r="AA25" s="1308">
        <f t="shared" si="3"/>
        <v>1</v>
      </c>
      <c r="AB25" s="1308">
        <f t="shared" si="4"/>
        <v>1</v>
      </c>
      <c r="AC25" s="1308">
        <f t="shared" si="5"/>
        <v>1</v>
      </c>
    </row>
    <row r="26" spans="1:29" ht="15">
      <c r="A26" s="465"/>
      <c r="B26" s="515"/>
      <c r="C26" s="529"/>
      <c r="D26" s="489"/>
      <c r="E26" s="531"/>
      <c r="F26" s="489"/>
      <c r="G26" s="529"/>
      <c r="H26" s="489"/>
      <c r="I26" s="531"/>
      <c r="J26" s="489"/>
      <c r="K26" s="821"/>
      <c r="L26" s="1748"/>
      <c r="M26" s="1741"/>
      <c r="N26" s="1741"/>
      <c r="O26" s="1741"/>
      <c r="P26" s="3718"/>
      <c r="Q26" s="1305"/>
      <c r="R26" s="1306"/>
      <c r="S26" s="1307"/>
      <c r="T26" s="1306"/>
      <c r="U26" s="1307"/>
      <c r="V26" s="1306"/>
      <c r="W26" s="1307"/>
      <c r="X26" s="1301"/>
      <c r="Y26" s="3718"/>
      <c r="Z26" s="1308"/>
      <c r="AA26" s="1308">
        <v>1</v>
      </c>
      <c r="AB26" s="1308">
        <v>1</v>
      </c>
      <c r="AC26" s="1308">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718"/>
      <c r="Q27" s="1305" t="str">
        <f t="shared" ref="Q27:Q47" si="8">B27</f>
        <v>楼层</v>
      </c>
      <c r="R27" s="1306" t="s">
        <v>5</v>
      </c>
      <c r="S27" s="1307">
        <f>F27</f>
        <v>100</v>
      </c>
      <c r="T27" s="1306" t="s">
        <v>5</v>
      </c>
      <c r="U27" s="1307">
        <f>H27</f>
        <v>100</v>
      </c>
      <c r="V27" s="1306" t="s">
        <v>5</v>
      </c>
      <c r="W27" s="1307">
        <f>J27</f>
        <v>100</v>
      </c>
      <c r="X27" s="1301"/>
      <c r="Y27" s="3718"/>
      <c r="Z27" s="1308" t="str">
        <f>Q27</f>
        <v>楼层</v>
      </c>
      <c r="AA27" s="1308">
        <f t="shared" si="3"/>
        <v>1</v>
      </c>
      <c r="AB27" s="1308">
        <f t="shared" si="4"/>
        <v>1</v>
      </c>
      <c r="AC27" s="1308">
        <f t="shared" si="5"/>
        <v>1</v>
      </c>
    </row>
    <row r="28" spans="1:29" s="1058" customFormat="1" ht="15">
      <c r="A28" s="485"/>
      <c r="B28" s="509" t="s">
        <v>719</v>
      </c>
      <c r="C28" s="834"/>
      <c r="D28" s="515">
        <v>100</v>
      </c>
      <c r="E28" s="823"/>
      <c r="F28" s="515">
        <f>SUMIF(91:91,E28,92:92)-SUMIF(91:91,C28,92:92)+100</f>
        <v>100</v>
      </c>
      <c r="G28" s="834"/>
      <c r="H28" s="515">
        <f>SUMIF(91:91,G28,92:92)-SUMIF(91:91,C28,92:92)+100</f>
        <v>100</v>
      </c>
      <c r="I28" s="823"/>
      <c r="J28" s="515">
        <f>SUMIF(91:91,I28,92:92)-SUMIF(91:91,C28,92:92)+100</f>
        <v>100</v>
      </c>
      <c r="K28" s="532"/>
      <c r="L28" s="1742"/>
      <c r="M28" s="1639"/>
      <c r="N28" s="1639"/>
      <c r="O28" s="1639"/>
      <c r="P28" s="3718"/>
      <c r="Q28" s="816" t="str">
        <f t="shared" si="8"/>
        <v>朝向</v>
      </c>
      <c r="R28" s="1302" t="s">
        <v>5</v>
      </c>
      <c r="S28" s="1303">
        <f>F28</f>
        <v>100</v>
      </c>
      <c r="T28" s="1302" t="s">
        <v>5</v>
      </c>
      <c r="U28" s="1303">
        <f>H28</f>
        <v>100</v>
      </c>
      <c r="V28" s="1302" t="s">
        <v>5</v>
      </c>
      <c r="W28" s="1303">
        <f>J28</f>
        <v>100</v>
      </c>
      <c r="X28" s="1304"/>
      <c r="Y28" s="3718"/>
      <c r="Z28" s="995" t="str">
        <f>Q28</f>
        <v>朝向</v>
      </c>
      <c r="AA28" s="1308">
        <f>D28/F28</f>
        <v>1</v>
      </c>
      <c r="AB28" s="1308">
        <f>D28/H28</f>
        <v>1</v>
      </c>
      <c r="AC28" s="1308">
        <f>D28/J28</f>
        <v>1</v>
      </c>
    </row>
    <row r="29" spans="1:29" ht="15">
      <c r="A29" s="481"/>
      <c r="B29" s="533">
        <v>111</v>
      </c>
      <c r="C29" s="833"/>
      <c r="D29" s="489">
        <v>100</v>
      </c>
      <c r="E29" s="477"/>
      <c r="F29" s="489">
        <f>SUMIF(93:93,E29,94:94)-SUMIF(93:93,C29,94:94)+100</f>
        <v>100</v>
      </c>
      <c r="G29" s="831"/>
      <c r="H29" s="489">
        <f>SUMIF(93:93,G29,94:94)-SUMIF(93:93,C29,94:94)+100</f>
        <v>100</v>
      </c>
      <c r="I29" s="477"/>
      <c r="J29" s="489">
        <f>SUMIF(93:93,I29,94:94)-SUMIF(93:93,C29,94:94)+100</f>
        <v>100</v>
      </c>
      <c r="K29" s="530"/>
      <c r="L29" s="1748"/>
      <c r="M29" s="1741"/>
      <c r="N29" s="1741"/>
      <c r="O29" s="1741"/>
      <c r="P29" s="3718"/>
      <c r="Q29" s="1305">
        <f t="shared" si="8"/>
        <v>111</v>
      </c>
      <c r="R29" s="1306" t="s">
        <v>5</v>
      </c>
      <c r="S29" s="1307">
        <f t="shared" ref="S29:S47" si="9">F29</f>
        <v>100</v>
      </c>
      <c r="T29" s="1306" t="s">
        <v>5</v>
      </c>
      <c r="U29" s="1307">
        <f t="shared" ref="U29:U47" si="10">H29</f>
        <v>100</v>
      </c>
      <c r="V29" s="1306" t="s">
        <v>5</v>
      </c>
      <c r="W29" s="1307">
        <f t="shared" ref="W29:W47" si="11">J29</f>
        <v>100</v>
      </c>
      <c r="X29" s="1301"/>
      <c r="Y29" s="3718"/>
      <c r="Z29" s="1308">
        <f t="shared" ref="Z29:Z47" si="12">Q29</f>
        <v>111</v>
      </c>
      <c r="AA29" s="1308">
        <f t="shared" si="3"/>
        <v>1</v>
      </c>
      <c r="AB29" s="1308">
        <f t="shared" si="4"/>
        <v>1</v>
      </c>
      <c r="AC29" s="1308">
        <f t="shared" si="5"/>
        <v>1</v>
      </c>
    </row>
    <row r="30" spans="1:29" ht="15">
      <c r="A30" s="481"/>
      <c r="B30" s="533">
        <v>111</v>
      </c>
      <c r="C30" s="833"/>
      <c r="D30" s="489">
        <v>100</v>
      </c>
      <c r="E30" s="477"/>
      <c r="F30" s="489">
        <f>SUMIF(95:95,E30,96:96)-SUMIF(95:95,C30,96:96)+100</f>
        <v>100</v>
      </c>
      <c r="G30" s="831"/>
      <c r="H30" s="489">
        <f>SUMIF(95:95,G30,96:96)-SUMIF(95:95,C30,96:96)+100</f>
        <v>100</v>
      </c>
      <c r="I30" s="477"/>
      <c r="J30" s="489">
        <f>SUMIF(95:95,I30,96:96)-SUMIF(95:95,C30,96:96)+100</f>
        <v>100</v>
      </c>
      <c r="K30" s="530"/>
      <c r="L30" s="1748"/>
      <c r="M30" s="1741"/>
      <c r="N30" s="1741"/>
      <c r="O30" s="1741"/>
      <c r="P30" s="3718"/>
      <c r="Q30" s="1305">
        <f t="shared" si="8"/>
        <v>111</v>
      </c>
      <c r="R30" s="1306" t="s">
        <v>5</v>
      </c>
      <c r="S30" s="1307">
        <f t="shared" si="9"/>
        <v>100</v>
      </c>
      <c r="T30" s="1306" t="s">
        <v>5</v>
      </c>
      <c r="U30" s="1307">
        <f t="shared" si="10"/>
        <v>100</v>
      </c>
      <c r="V30" s="1306" t="s">
        <v>5</v>
      </c>
      <c r="W30" s="1307">
        <f t="shared" si="11"/>
        <v>100</v>
      </c>
      <c r="X30" s="1301"/>
      <c r="Y30" s="3718"/>
      <c r="Z30" s="1308">
        <f t="shared" si="12"/>
        <v>111</v>
      </c>
      <c r="AA30" s="1308">
        <f t="shared" si="3"/>
        <v>1</v>
      </c>
      <c r="AB30" s="1308">
        <f t="shared" si="4"/>
        <v>1</v>
      </c>
      <c r="AC30" s="1308">
        <f t="shared" si="5"/>
        <v>1</v>
      </c>
    </row>
    <row r="31" spans="1:29" ht="15">
      <c r="A31" s="481"/>
      <c r="B31" s="533">
        <v>111</v>
      </c>
      <c r="C31" s="833"/>
      <c r="D31" s="489">
        <v>100</v>
      </c>
      <c r="E31" s="477"/>
      <c r="F31" s="489">
        <f>SUMIF(97:97,E31,98:98)-SUMIF(97:97,C31,98:98)+100</f>
        <v>100</v>
      </c>
      <c r="G31" s="831"/>
      <c r="H31" s="489">
        <f>SUMIF(97:97,G31,98:98)-SUMIF(97:97,C31,98:98)+100</f>
        <v>100</v>
      </c>
      <c r="I31" s="477"/>
      <c r="J31" s="489">
        <f>SUMIF(97:97,I31,98:98)-SUMIF(97:97,C31,98:98)+100</f>
        <v>100</v>
      </c>
      <c r="K31" s="530"/>
      <c r="L31" s="1748"/>
      <c r="M31" s="1741"/>
      <c r="N31" s="1741"/>
      <c r="O31" s="1741"/>
      <c r="P31" s="3718"/>
      <c r="Q31" s="1305">
        <f t="shared" si="8"/>
        <v>111</v>
      </c>
      <c r="R31" s="1306" t="s">
        <v>5</v>
      </c>
      <c r="S31" s="1307">
        <f t="shared" si="9"/>
        <v>100</v>
      </c>
      <c r="T31" s="1306" t="s">
        <v>5</v>
      </c>
      <c r="U31" s="1307">
        <f t="shared" si="10"/>
        <v>100</v>
      </c>
      <c r="V31" s="1306" t="s">
        <v>5</v>
      </c>
      <c r="W31" s="1307">
        <f t="shared" si="11"/>
        <v>100</v>
      </c>
      <c r="X31" s="1301"/>
      <c r="Y31" s="3718"/>
      <c r="Z31" s="1308">
        <f t="shared" si="12"/>
        <v>111</v>
      </c>
      <c r="AA31" s="1308">
        <f t="shared" si="3"/>
        <v>1</v>
      </c>
      <c r="AB31" s="1308">
        <f t="shared" si="4"/>
        <v>1</v>
      </c>
      <c r="AC31" s="1308">
        <f t="shared" si="5"/>
        <v>1</v>
      </c>
    </row>
    <row r="32" spans="1:29" ht="15.75" thickBot="1">
      <c r="A32" s="492"/>
      <c r="B32" s="835">
        <v>111</v>
      </c>
      <c r="C32" s="836"/>
      <c r="D32" s="495">
        <v>100</v>
      </c>
      <c r="E32" s="832"/>
      <c r="F32" s="495">
        <f>SUMIF(99:99,E32,100:100)-SUMIF(99:99,C32,100:100)+100</f>
        <v>100</v>
      </c>
      <c r="G32" s="831"/>
      <c r="H32" s="495">
        <f>SUMIF(99:99,G32,100:100)-SUMIF(99:99,C32,100:100)+100</f>
        <v>100</v>
      </c>
      <c r="I32" s="477"/>
      <c r="J32" s="495">
        <f>SUMIF(99:99,I32,100:100)-SUMIF(99:99,C32,100:100)+100</f>
        <v>100</v>
      </c>
      <c r="K32" s="530"/>
      <c r="L32" s="1748"/>
      <c r="M32" s="1741"/>
      <c r="N32" s="1741"/>
      <c r="O32" s="1741"/>
      <c r="P32" s="3718"/>
      <c r="Q32" s="1305">
        <f t="shared" si="8"/>
        <v>111</v>
      </c>
      <c r="R32" s="1306" t="s">
        <v>5</v>
      </c>
      <c r="S32" s="1307">
        <f t="shared" si="9"/>
        <v>100</v>
      </c>
      <c r="T32" s="1306" t="s">
        <v>5</v>
      </c>
      <c r="U32" s="1307">
        <f t="shared" si="10"/>
        <v>100</v>
      </c>
      <c r="V32" s="1306" t="s">
        <v>5</v>
      </c>
      <c r="W32" s="1307">
        <f t="shared" si="11"/>
        <v>100</v>
      </c>
      <c r="X32" s="1301"/>
      <c r="Y32" s="3718"/>
      <c r="Z32" s="1308">
        <f t="shared" si="12"/>
        <v>111</v>
      </c>
      <c r="AA32" s="1308">
        <f t="shared" si="3"/>
        <v>1</v>
      </c>
      <c r="AB32" s="1308">
        <f t="shared" si="4"/>
        <v>1</v>
      </c>
      <c r="AC32" s="1308">
        <f t="shared" si="5"/>
        <v>1</v>
      </c>
    </row>
    <row r="33" spans="1:29" ht="15">
      <c r="A33" s="2203" t="s">
        <v>2036</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719" t="s">
        <v>499</v>
      </c>
      <c r="Q33" s="1305" t="str">
        <f t="shared" si="8"/>
        <v>建筑类型</v>
      </c>
      <c r="R33" s="1306" t="s">
        <v>5</v>
      </c>
      <c r="S33" s="1307">
        <f t="shared" si="9"/>
        <v>100</v>
      </c>
      <c r="T33" s="1306" t="s">
        <v>5</v>
      </c>
      <c r="U33" s="1307">
        <f t="shared" si="10"/>
        <v>100</v>
      </c>
      <c r="V33" s="1306" t="s">
        <v>5</v>
      </c>
      <c r="W33" s="1307">
        <f t="shared" si="11"/>
        <v>100</v>
      </c>
      <c r="X33" s="1301"/>
      <c r="Y33" s="3720" t="s">
        <v>499</v>
      </c>
      <c r="Z33" s="1308" t="str">
        <f t="shared" si="12"/>
        <v>建筑类型</v>
      </c>
      <c r="AA33" s="1308">
        <f t="shared" si="3"/>
        <v>1</v>
      </c>
      <c r="AB33" s="1308">
        <f t="shared" si="4"/>
        <v>1</v>
      </c>
      <c r="AC33" s="1308">
        <f t="shared" si="5"/>
        <v>1</v>
      </c>
    </row>
    <row r="34" spans="1:29" s="1132" customFormat="1" ht="15">
      <c r="A34" s="551"/>
      <c r="B34" s="476" t="s">
        <v>673</v>
      </c>
      <c r="C34" s="804"/>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720"/>
      <c r="Q34" s="817" t="str">
        <f t="shared" si="8"/>
        <v>项目建筑规模</v>
      </c>
      <c r="R34" s="1309" t="s">
        <v>5</v>
      </c>
      <c r="S34" s="1310" t="e">
        <f t="shared" si="9"/>
        <v>#N/A</v>
      </c>
      <c r="T34" s="1309" t="s">
        <v>5</v>
      </c>
      <c r="U34" s="1310" t="e">
        <f t="shared" si="10"/>
        <v>#N/A</v>
      </c>
      <c r="V34" s="1309" t="s">
        <v>5</v>
      </c>
      <c r="W34" s="1310" t="e">
        <f t="shared" si="11"/>
        <v>#N/A</v>
      </c>
      <c r="X34" s="1311"/>
      <c r="Y34" s="3720"/>
      <c r="Z34" s="1312" t="str">
        <f t="shared" si="12"/>
        <v>项目建筑规模</v>
      </c>
      <c r="AA34" s="1308" t="e">
        <f t="shared" si="3"/>
        <v>#N/A</v>
      </c>
      <c r="AB34" s="1308" t="e">
        <f t="shared" si="4"/>
        <v>#N/A</v>
      </c>
      <c r="AC34" s="1308"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720"/>
      <c r="Q35" s="1305" t="str">
        <f t="shared" si="8"/>
        <v>建筑结构</v>
      </c>
      <c r="R35" s="1306" t="s">
        <v>5</v>
      </c>
      <c r="S35" s="1307">
        <f t="shared" si="9"/>
        <v>100</v>
      </c>
      <c r="T35" s="1306" t="s">
        <v>5</v>
      </c>
      <c r="U35" s="1307">
        <f t="shared" si="10"/>
        <v>100</v>
      </c>
      <c r="V35" s="1306" t="s">
        <v>5</v>
      </c>
      <c r="W35" s="1307">
        <f t="shared" si="11"/>
        <v>100</v>
      </c>
      <c r="X35" s="1301"/>
      <c r="Y35" s="3720"/>
      <c r="Z35" s="1308" t="str">
        <f t="shared" si="12"/>
        <v>建筑结构</v>
      </c>
      <c r="AA35" s="1308">
        <f t="shared" si="3"/>
        <v>1</v>
      </c>
      <c r="AB35" s="1308">
        <f t="shared" si="4"/>
        <v>1</v>
      </c>
      <c r="AC35" s="1308">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720"/>
      <c r="Q36" s="1305" t="str">
        <f t="shared" si="8"/>
        <v>公共部分装修</v>
      </c>
      <c r="R36" s="1306" t="s">
        <v>5</v>
      </c>
      <c r="S36" s="1307">
        <f t="shared" si="9"/>
        <v>100</v>
      </c>
      <c r="T36" s="1306" t="s">
        <v>5</v>
      </c>
      <c r="U36" s="1307">
        <f t="shared" si="10"/>
        <v>100</v>
      </c>
      <c r="V36" s="1306" t="s">
        <v>5</v>
      </c>
      <c r="W36" s="1307">
        <f t="shared" si="11"/>
        <v>100</v>
      </c>
      <c r="X36" s="1301"/>
      <c r="Y36" s="3720"/>
      <c r="Z36" s="1308" t="str">
        <f t="shared" si="12"/>
        <v>公共部分装修</v>
      </c>
      <c r="AA36" s="1308">
        <f t="shared" si="3"/>
        <v>1</v>
      </c>
      <c r="AB36" s="1308">
        <f t="shared" si="4"/>
        <v>1</v>
      </c>
      <c r="AC36" s="1308">
        <f t="shared" si="5"/>
        <v>1</v>
      </c>
    </row>
    <row r="37" spans="1:29" ht="15">
      <c r="A37" s="542"/>
      <c r="B37" s="476" t="s">
        <v>704</v>
      </c>
      <c r="C37" s="806"/>
      <c r="D37" s="489">
        <v>100</v>
      </c>
      <c r="E37" s="806"/>
      <c r="F37" s="524" t="e">
        <f>LOOKUP(E37,111:111,112:112)-LOOKUP(C37,111:111,112:112)+100</f>
        <v>#N/A</v>
      </c>
      <c r="G37" s="806"/>
      <c r="H37" s="524" t="e">
        <f>LOOKUP(G37,111:111,112:112)-LOOKUP(C37,111:111,112:112)+100</f>
        <v>#N/A</v>
      </c>
      <c r="I37" s="806"/>
      <c r="J37" s="489" t="e">
        <f>LOOKUP(I37,111:111,112:112)-LOOKUP(C37,111:111,112:112)+100</f>
        <v>#N/A</v>
      </c>
      <c r="K37" s="532"/>
      <c r="L37" s="1748"/>
      <c r="M37" s="1741"/>
      <c r="N37" s="1741"/>
      <c r="O37" s="1741"/>
      <c r="P37" s="3720"/>
      <c r="Q37" s="1305" t="str">
        <f t="shared" si="8"/>
        <v>成新度</v>
      </c>
      <c r="R37" s="1306" t="s">
        <v>5</v>
      </c>
      <c r="S37" s="1307" t="e">
        <f t="shared" si="9"/>
        <v>#N/A</v>
      </c>
      <c r="T37" s="1306" t="s">
        <v>5</v>
      </c>
      <c r="U37" s="1307" t="e">
        <f t="shared" si="10"/>
        <v>#N/A</v>
      </c>
      <c r="V37" s="1306" t="s">
        <v>5</v>
      </c>
      <c r="W37" s="1307" t="e">
        <f t="shared" si="11"/>
        <v>#N/A</v>
      </c>
      <c r="X37" s="1301"/>
      <c r="Y37" s="3720"/>
      <c r="Z37" s="1308" t="str">
        <f t="shared" si="12"/>
        <v>成新度</v>
      </c>
      <c r="AA37" s="1308" t="e">
        <f t="shared" si="3"/>
        <v>#N/A</v>
      </c>
      <c r="AB37" s="1308" t="e">
        <f t="shared" si="4"/>
        <v>#N/A</v>
      </c>
      <c r="AC37" s="1308" t="e">
        <f t="shared" si="5"/>
        <v>#N/A</v>
      </c>
    </row>
    <row r="38" spans="1:29" s="1058"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720"/>
      <c r="Q38" s="816" t="str">
        <f t="shared" si="8"/>
        <v>写字楼等级</v>
      </c>
      <c r="R38" s="1302" t="s">
        <v>5</v>
      </c>
      <c r="S38" s="1303">
        <f t="shared" si="9"/>
        <v>100</v>
      </c>
      <c r="T38" s="1302" t="s">
        <v>5</v>
      </c>
      <c r="U38" s="1303">
        <f t="shared" si="10"/>
        <v>100</v>
      </c>
      <c r="V38" s="1302" t="s">
        <v>5</v>
      </c>
      <c r="W38" s="1303">
        <f t="shared" si="11"/>
        <v>100</v>
      </c>
      <c r="X38" s="1304"/>
      <c r="Y38" s="3720"/>
      <c r="Z38" s="995" t="str">
        <f t="shared" si="12"/>
        <v>写字楼等级</v>
      </c>
      <c r="AA38" s="995">
        <f t="shared" si="3"/>
        <v>1</v>
      </c>
      <c r="AB38" s="995">
        <f t="shared" si="4"/>
        <v>1</v>
      </c>
      <c r="AC38" s="995">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720" t="s">
        <v>499</v>
      </c>
      <c r="Q39" s="1305" t="str">
        <f t="shared" si="8"/>
        <v>物业管理</v>
      </c>
      <c r="R39" s="1306" t="s">
        <v>5</v>
      </c>
      <c r="S39" s="1307">
        <f t="shared" si="9"/>
        <v>100</v>
      </c>
      <c r="T39" s="1306" t="s">
        <v>5</v>
      </c>
      <c r="U39" s="1307">
        <f t="shared" si="10"/>
        <v>100</v>
      </c>
      <c r="V39" s="1306" t="s">
        <v>5</v>
      </c>
      <c r="W39" s="1307">
        <f t="shared" si="11"/>
        <v>100</v>
      </c>
      <c r="X39" s="1301"/>
      <c r="Y39" s="3720" t="s">
        <v>499</v>
      </c>
      <c r="Z39" s="1308" t="str">
        <f t="shared" si="12"/>
        <v>物业管理</v>
      </c>
      <c r="AA39" s="1308">
        <f t="shared" si="3"/>
        <v>1</v>
      </c>
      <c r="AB39" s="1308">
        <f t="shared" si="4"/>
        <v>1</v>
      </c>
      <c r="AC39" s="1308">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720"/>
      <c r="Q40" s="1305" t="str">
        <f t="shared" si="8"/>
        <v>市政基础设施</v>
      </c>
      <c r="R40" s="1306" t="s">
        <v>5</v>
      </c>
      <c r="S40" s="1307">
        <f t="shared" si="9"/>
        <v>100</v>
      </c>
      <c r="T40" s="1306" t="s">
        <v>5</v>
      </c>
      <c r="U40" s="1307">
        <f t="shared" si="10"/>
        <v>100</v>
      </c>
      <c r="V40" s="1306" t="s">
        <v>5</v>
      </c>
      <c r="W40" s="1307">
        <f t="shared" si="11"/>
        <v>100</v>
      </c>
      <c r="X40" s="1301"/>
      <c r="Y40" s="3720"/>
      <c r="Z40" s="1308" t="str">
        <f t="shared" si="12"/>
        <v>市政基础设施</v>
      </c>
      <c r="AA40" s="1308">
        <f t="shared" si="3"/>
        <v>1</v>
      </c>
      <c r="AB40" s="1308">
        <f t="shared" si="4"/>
        <v>1</v>
      </c>
      <c r="AC40" s="1308">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720"/>
      <c r="Q41" s="1305" t="str">
        <f t="shared" si="8"/>
        <v>层高</v>
      </c>
      <c r="R41" s="1306" t="s">
        <v>5</v>
      </c>
      <c r="S41" s="1307">
        <f t="shared" si="9"/>
        <v>100</v>
      </c>
      <c r="T41" s="1306" t="s">
        <v>5</v>
      </c>
      <c r="U41" s="1307">
        <f t="shared" si="10"/>
        <v>100</v>
      </c>
      <c r="V41" s="1306" t="s">
        <v>5</v>
      </c>
      <c r="W41" s="1307">
        <f t="shared" si="11"/>
        <v>100</v>
      </c>
      <c r="X41" s="1301"/>
      <c r="Y41" s="3720"/>
      <c r="Z41" s="1308" t="str">
        <f t="shared" si="12"/>
        <v>层高</v>
      </c>
      <c r="AA41" s="1308">
        <f t="shared" si="3"/>
        <v>1</v>
      </c>
      <c r="AB41" s="1308">
        <f t="shared" si="4"/>
        <v>1</v>
      </c>
      <c r="AC41" s="1308">
        <f t="shared" si="5"/>
        <v>1</v>
      </c>
    </row>
    <row r="42" spans="1:29" s="1132"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720"/>
      <c r="Q42" s="817" t="str">
        <f t="shared" si="8"/>
        <v>单套建筑面积</v>
      </c>
      <c r="R42" s="1309" t="s">
        <v>5</v>
      </c>
      <c r="S42" s="1310">
        <f t="shared" si="9"/>
        <v>100</v>
      </c>
      <c r="T42" s="1309" t="s">
        <v>5</v>
      </c>
      <c r="U42" s="1310">
        <f t="shared" si="10"/>
        <v>100</v>
      </c>
      <c r="V42" s="1309" t="s">
        <v>5</v>
      </c>
      <c r="W42" s="1310">
        <f t="shared" si="11"/>
        <v>100</v>
      </c>
      <c r="X42" s="1311"/>
      <c r="Y42" s="3720"/>
      <c r="Z42" s="1312" t="str">
        <f t="shared" si="12"/>
        <v>单套建筑面积</v>
      </c>
      <c r="AA42" s="1308">
        <f t="shared" si="3"/>
        <v>1</v>
      </c>
      <c r="AB42" s="1308">
        <f t="shared" si="4"/>
        <v>1</v>
      </c>
      <c r="AC42" s="1308">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720"/>
      <c r="Q43" s="1305" t="str">
        <f t="shared" si="8"/>
        <v>内部装修</v>
      </c>
      <c r="R43" s="1306" t="s">
        <v>5</v>
      </c>
      <c r="S43" s="1307">
        <f t="shared" si="9"/>
        <v>100</v>
      </c>
      <c r="T43" s="1306" t="s">
        <v>5</v>
      </c>
      <c r="U43" s="1307">
        <f t="shared" si="10"/>
        <v>100</v>
      </c>
      <c r="V43" s="1306" t="s">
        <v>5</v>
      </c>
      <c r="W43" s="1307">
        <f t="shared" si="11"/>
        <v>100</v>
      </c>
      <c r="X43" s="1301"/>
      <c r="Y43" s="3720"/>
      <c r="Z43" s="1308" t="str">
        <f t="shared" si="12"/>
        <v>内部装修</v>
      </c>
      <c r="AA43" s="1308">
        <f t="shared" si="3"/>
        <v>1</v>
      </c>
      <c r="AB43" s="1308">
        <f t="shared" si="4"/>
        <v>1</v>
      </c>
      <c r="AC43" s="1308">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720"/>
      <c r="Q44" s="1305" t="str">
        <f t="shared" si="8"/>
        <v>内部装修维护情况</v>
      </c>
      <c r="R44" s="1306" t="s">
        <v>5</v>
      </c>
      <c r="S44" s="1307">
        <f t="shared" si="9"/>
        <v>100</v>
      </c>
      <c r="T44" s="1306" t="s">
        <v>5</v>
      </c>
      <c r="U44" s="1307">
        <f t="shared" si="10"/>
        <v>100</v>
      </c>
      <c r="V44" s="1306" t="s">
        <v>5</v>
      </c>
      <c r="W44" s="1307">
        <f t="shared" si="11"/>
        <v>100</v>
      </c>
      <c r="X44" s="1301"/>
      <c r="Y44" s="3720"/>
      <c r="Z44" s="1308" t="str">
        <f t="shared" si="12"/>
        <v>内部装修维护情况</v>
      </c>
      <c r="AA44" s="1308">
        <f t="shared" si="3"/>
        <v>1</v>
      </c>
      <c r="AB44" s="1308">
        <f t="shared" si="4"/>
        <v>1</v>
      </c>
      <c r="AC44" s="1308">
        <f t="shared" si="5"/>
        <v>1</v>
      </c>
    </row>
    <row r="45" spans="1:29" s="1058" customFormat="1" ht="15">
      <c r="A45" s="548"/>
      <c r="B45" s="90">
        <v>111</v>
      </c>
      <c r="C45" s="804"/>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720"/>
      <c r="Q45" s="816">
        <f t="shared" si="8"/>
        <v>111</v>
      </c>
      <c r="R45" s="1302" t="s">
        <v>5</v>
      </c>
      <c r="S45" s="1303">
        <f t="shared" si="9"/>
        <v>100</v>
      </c>
      <c r="T45" s="1302" t="s">
        <v>5</v>
      </c>
      <c r="U45" s="1303">
        <f t="shared" si="10"/>
        <v>100</v>
      </c>
      <c r="V45" s="1302" t="s">
        <v>5</v>
      </c>
      <c r="W45" s="1303">
        <f t="shared" si="11"/>
        <v>100</v>
      </c>
      <c r="X45" s="1304"/>
      <c r="Y45" s="3720"/>
      <c r="Z45" s="995">
        <f t="shared" si="12"/>
        <v>111</v>
      </c>
      <c r="AA45" s="995">
        <f t="shared" si="3"/>
        <v>1</v>
      </c>
      <c r="AB45" s="995">
        <f t="shared" si="4"/>
        <v>1</v>
      </c>
      <c r="AC45" s="995">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720"/>
      <c r="Q46" s="1305">
        <f t="shared" si="8"/>
        <v>111</v>
      </c>
      <c r="R46" s="1306" t="s">
        <v>5</v>
      </c>
      <c r="S46" s="1307">
        <f t="shared" si="9"/>
        <v>100</v>
      </c>
      <c r="T46" s="1306" t="s">
        <v>5</v>
      </c>
      <c r="U46" s="1307">
        <f t="shared" si="10"/>
        <v>100</v>
      </c>
      <c r="V46" s="1306" t="s">
        <v>5</v>
      </c>
      <c r="W46" s="1307">
        <f t="shared" si="11"/>
        <v>100</v>
      </c>
      <c r="X46" s="1301"/>
      <c r="Y46" s="3720"/>
      <c r="Z46" s="1308">
        <f t="shared" si="12"/>
        <v>111</v>
      </c>
      <c r="AA46" s="1308">
        <f t="shared" si="3"/>
        <v>1</v>
      </c>
      <c r="AB46" s="1308">
        <f t="shared" si="4"/>
        <v>1</v>
      </c>
      <c r="AC46" s="1308">
        <f t="shared" si="5"/>
        <v>1</v>
      </c>
    </row>
    <row r="47" spans="1:29" ht="15.75" thickBot="1">
      <c r="A47" s="809"/>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805"/>
      <c r="Q47" s="1305">
        <f t="shared" si="8"/>
        <v>111</v>
      </c>
      <c r="R47" s="1306" t="s">
        <v>5</v>
      </c>
      <c r="S47" s="1307">
        <f t="shared" si="9"/>
        <v>100</v>
      </c>
      <c r="T47" s="1306" t="s">
        <v>5</v>
      </c>
      <c r="U47" s="1307">
        <f t="shared" si="10"/>
        <v>100</v>
      </c>
      <c r="V47" s="1306" t="s">
        <v>5</v>
      </c>
      <c r="W47" s="1307">
        <f t="shared" si="11"/>
        <v>100</v>
      </c>
      <c r="X47" s="1301"/>
      <c r="Y47" s="3805"/>
      <c r="Z47" s="1308">
        <f t="shared" si="12"/>
        <v>111</v>
      </c>
      <c r="AA47" s="1308">
        <f t="shared" si="3"/>
        <v>1</v>
      </c>
      <c r="AB47" s="1308">
        <f t="shared" si="4"/>
        <v>1</v>
      </c>
      <c r="AC47" s="1308">
        <f t="shared" si="5"/>
        <v>1</v>
      </c>
    </row>
    <row r="48" spans="1:29" ht="15">
      <c r="A48" s="555" t="s">
        <v>683</v>
      </c>
      <c r="B48" s="810"/>
      <c r="C48" s="2080" t="s">
        <v>0</v>
      </c>
      <c r="D48" s="558"/>
      <c r="E48" s="559"/>
      <c r="F48" s="560"/>
      <c r="G48" s="561"/>
      <c r="H48" s="562"/>
      <c r="I48" s="559"/>
      <c r="J48" s="562"/>
      <c r="K48" s="1334"/>
      <c r="L48" s="1750"/>
      <c r="M48" s="1741"/>
      <c r="N48" s="1741"/>
      <c r="O48" s="1741"/>
      <c r="P48" s="3722" t="str">
        <f>A48</f>
        <v>成交单价（元/平方米）</v>
      </c>
      <c r="Q48" s="3684"/>
      <c r="R48" s="3685">
        <f>E48</f>
        <v>0</v>
      </c>
      <c r="S48" s="3685"/>
      <c r="T48" s="3685">
        <f>G48</f>
        <v>0</v>
      </c>
      <c r="U48" s="3685"/>
      <c r="V48" s="3685">
        <f>I48</f>
        <v>0</v>
      </c>
      <c r="W48" s="3685"/>
      <c r="X48" s="798"/>
      <c r="Y48" s="1313"/>
      <c r="Z48" s="798"/>
      <c r="AA48" s="798"/>
      <c r="AB48" s="798"/>
      <c r="AC48" s="798"/>
    </row>
    <row r="49" spans="1:29" ht="15.75" thickBot="1">
      <c r="A49" s="563" t="s">
        <v>2041</v>
      </c>
      <c r="B49" s="811"/>
      <c r="C49" s="2081" t="e">
        <f>R50</f>
        <v>#DIV/0!</v>
      </c>
      <c r="D49" s="2549" t="s">
        <v>2259</v>
      </c>
      <c r="E49" s="2082" t="e">
        <f>R49</f>
        <v>#DIV/0!</v>
      </c>
      <c r="F49" s="2550"/>
      <c r="G49" s="2081" t="e">
        <f>T49</f>
        <v>#DIV/0!</v>
      </c>
      <c r="H49" s="2550"/>
      <c r="I49" s="2082" t="e">
        <f>V49</f>
        <v>#DIV/0!</v>
      </c>
      <c r="J49" s="2550"/>
      <c r="K49" s="2557">
        <f>F49+H49+J49</f>
        <v>0</v>
      </c>
      <c r="L49" s="1750"/>
      <c r="M49" s="1741"/>
      <c r="N49" s="1741"/>
      <c r="O49" s="1741"/>
      <c r="P49" s="3722" t="str">
        <f>A49</f>
        <v>比较价格（元/平方米）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798"/>
      <c r="Y49" s="798"/>
      <c r="Z49" s="798"/>
      <c r="AA49" s="798"/>
      <c r="AB49" s="798"/>
      <c r="AC49" s="798"/>
    </row>
    <row r="50" spans="1:29" ht="15.75" thickBot="1">
      <c r="A50" s="567" t="s">
        <v>2196</v>
      </c>
      <c r="B50" s="568"/>
      <c r="C50" s="468" t="e">
        <f>R50</f>
        <v>#DIV/0!</v>
      </c>
      <c r="D50" s="468"/>
      <c r="E50" s="468"/>
      <c r="F50" s="468"/>
      <c r="G50" s="468"/>
      <c r="H50" s="468"/>
      <c r="I50" s="468"/>
      <c r="J50" s="468"/>
      <c r="K50" s="1335"/>
      <c r="L50" s="1750"/>
      <c r="M50" s="1741"/>
      <c r="N50" s="1741"/>
      <c r="O50" s="1741"/>
      <c r="P50" s="3808" t="str">
        <f>A50</f>
        <v>估价对象XX用房的比较价格（楼面单价，元/平方米）</v>
      </c>
      <c r="Q50" s="3722"/>
      <c r="R50" s="3804" t="e">
        <f>IF(F1="售价",ROUND(IF(D49="简单平均",AVERAGE(R49:V49),R49*F49+T49*H49+V49*J49),0),ROUND(IF(D49="简单平均",AVERAGE(R49:V49),R49*F49+T49*H49+V49*J49),1))</f>
        <v>#DIV/0!</v>
      </c>
      <c r="S50" s="3804"/>
      <c r="T50" s="3804"/>
      <c r="U50" s="3804"/>
      <c r="V50" s="3804"/>
      <c r="W50" s="3804"/>
      <c r="X50" s="798"/>
      <c r="Y50" s="798"/>
      <c r="Z50" s="798"/>
      <c r="AA50" s="798"/>
      <c r="AB50" s="798"/>
      <c r="AC50" s="798"/>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8"/>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1" t="s">
        <v>478</v>
      </c>
      <c r="B59" s="592"/>
      <c r="C59" s="2112" t="str">
        <f>YEAR(C7)&amp;"-"&amp;MONTH(C7)</f>
        <v>2024-11</v>
      </c>
      <c r="D59" s="2114">
        <f>EDATE(C59,-1)</f>
        <v>45566</v>
      </c>
      <c r="E59" s="2114">
        <f t="shared" ref="E59:O59" si="13">EDATE(D59,-1)</f>
        <v>45536</v>
      </c>
      <c r="F59" s="2114">
        <f t="shared" si="13"/>
        <v>45505</v>
      </c>
      <c r="G59" s="2114">
        <f t="shared" si="13"/>
        <v>45474</v>
      </c>
      <c r="H59" s="2114">
        <f t="shared" si="13"/>
        <v>45444</v>
      </c>
      <c r="I59" s="2114">
        <f t="shared" si="13"/>
        <v>45413</v>
      </c>
      <c r="J59" s="2114">
        <f t="shared" si="13"/>
        <v>45383</v>
      </c>
      <c r="K59" s="2114">
        <f t="shared" si="13"/>
        <v>45352</v>
      </c>
      <c r="L59" s="2114">
        <f t="shared" si="13"/>
        <v>45323</v>
      </c>
      <c r="M59" s="2114">
        <f t="shared" si="13"/>
        <v>45292</v>
      </c>
      <c r="N59" s="2114">
        <f t="shared" si="13"/>
        <v>45261</v>
      </c>
      <c r="O59" s="2114">
        <f t="shared" si="13"/>
        <v>45231</v>
      </c>
      <c r="P59" s="1806"/>
      <c r="Q59" s="1764"/>
      <c r="R59" s="1764"/>
      <c r="S59" s="1764"/>
      <c r="T59" s="1764"/>
      <c r="U59" s="1764"/>
      <c r="V59" s="1764"/>
      <c r="W59" s="1764"/>
      <c r="X59" s="1764"/>
      <c r="Y59" s="1764"/>
      <c r="Z59" s="1764"/>
      <c r="AA59" s="1764"/>
      <c r="AB59" s="1764"/>
      <c r="AC59" s="1764"/>
    </row>
    <row r="60" spans="1:29" s="1058"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8"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8" customFormat="1" ht="15">
      <c r="A62" s="602" t="s">
        <v>480</v>
      </c>
      <c r="B62" s="593"/>
      <c r="C62" s="603" t="s">
        <v>524</v>
      </c>
      <c r="D62" s="79"/>
      <c r="E62" s="79"/>
      <c r="F62" s="79"/>
      <c r="G62" s="79"/>
      <c r="H62" s="79"/>
      <c r="I62" s="79"/>
      <c r="J62" s="79"/>
      <c r="K62" s="79"/>
      <c r="L62" s="604"/>
      <c r="M62" s="605"/>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2"/>
      <c r="B63" s="593"/>
      <c r="C63" s="812">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8"/>
      <c r="B75" s="622">
        <f>B14</f>
        <v>111</v>
      </c>
      <c r="C75" s="79"/>
      <c r="D75" s="79"/>
      <c r="E75" s="79"/>
      <c r="F75" s="79"/>
      <c r="G75" s="79"/>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2"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2" t="s">
        <v>527</v>
      </c>
      <c r="D77" s="142" t="s">
        <v>528</v>
      </c>
      <c r="E77" s="142" t="s">
        <v>529</v>
      </c>
      <c r="F77" s="142" t="s">
        <v>530</v>
      </c>
      <c r="G77" s="142"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4"/>
      <c r="I84" s="854"/>
      <c r="J84" s="854"/>
      <c r="K84" s="854"/>
      <c r="L84" s="854"/>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5"/>
      <c r="B87" s="614" t="s">
        <v>725</v>
      </c>
      <c r="C87" s="629"/>
      <c r="D87" s="629"/>
      <c r="E87" s="629"/>
      <c r="F87" s="629"/>
      <c r="G87" s="629"/>
      <c r="H87" s="629"/>
      <c r="I87" s="629"/>
      <c r="J87" s="629"/>
      <c r="K87" s="629"/>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5"/>
      <c r="B89" s="614" t="str">
        <f>B27</f>
        <v>楼层</v>
      </c>
      <c r="C89" s="629"/>
      <c r="D89" s="629"/>
      <c r="E89" s="629"/>
      <c r="F89" s="815"/>
      <c r="G89" s="629"/>
      <c r="H89" s="629"/>
      <c r="I89" s="629"/>
      <c r="J89" s="629"/>
      <c r="K89" s="629"/>
      <c r="L89" s="629"/>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79"/>
      <c r="D99" s="79"/>
      <c r="E99" s="79"/>
      <c r="F99" s="79"/>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1"/>
      <c r="B104" s="667"/>
      <c r="C104" s="78"/>
      <c r="D104" s="78"/>
      <c r="E104" s="78"/>
      <c r="F104" s="78"/>
      <c r="G104" s="78"/>
      <c r="H104" s="78"/>
      <c r="I104" s="78"/>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7" t="s">
        <v>727</v>
      </c>
      <c r="C119" s="657"/>
      <c r="D119" s="657"/>
      <c r="E119" s="657"/>
      <c r="F119" s="657"/>
      <c r="G119" s="657"/>
      <c r="H119" s="657"/>
      <c r="I119" s="657"/>
      <c r="J119" s="657"/>
      <c r="K119" s="657"/>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79"/>
      <c r="D131" s="79"/>
      <c r="E131" s="79"/>
      <c r="F131" s="79"/>
      <c r="G131" s="661"/>
      <c r="H131" s="661"/>
      <c r="I131" s="661"/>
      <c r="J131" s="661"/>
      <c r="K131" s="79"/>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56.25">
      <c r="A4" s="1487" t="str">
        <f>"受贵公司委托，我公司对"&amp;项目基本情况!K2&amp;项目基本情况!B9&amp;"进行了预评估。"</f>
        <v>受贵公司委托，我公司对北京市延庆区南辛堡村、民主村、百眼泉村棚户区改造项目YQ00-0309-0017地块R2二类居住用地出让国有建设用地使用权抵押价格进行了预评估。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延庆区南辛堡村、民主村、百眼泉村棚户区改造项目YQ00-0309-0017地块R2二类居住用地出让国有建设用地使用权。根据《国有土地使用证》[]，估价对象（分摊）出让国有建设用地使用权面积为12997.77平方米。根据《建设工程规划许可证》[]、《出让合同》[]，估价对象规划建筑面积为28699.4252平方米。</v>
      </c>
    </row>
    <row r="7" spans="1:4" ht="93.75">
      <c r="A7" s="2177" t="s">
        <v>2029</v>
      </c>
    </row>
    <row r="8" spans="1:4" ht="18.75">
      <c r="A8" s="1490" t="s">
        <v>1430</v>
      </c>
    </row>
    <row r="9" spans="1:4" ht="93.75">
      <c r="A9" s="1487" t="str">
        <f>IF(项目基本情况!B8="抵押",IF(项目基本情况!B5=项目基本情况!B6,定义!C51,定义!B51),定义!D51)</f>
        <v>拟使用北京市延庆区南辛堡村、民主村、百眼泉村棚户区改造项目YQ00-0309-0017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2024年11月19日（评估专业人员勘察现场之日）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根据《国有土地使用证》[]，估价对象（分摊）出让国有建设用地使用权面积为12997.77平方米。根据《建设工程规划许可证》[]、《出让合同》[]，估价对象规划建筑面积为28699.4252平方米。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9" t="s">
        <v>2030</v>
      </c>
    </row>
    <row r="24" spans="1:1" ht="18.75">
      <c r="A24" s="1487" t="s">
        <v>1593</v>
      </c>
    </row>
    <row r="25" spans="1:1" ht="93.75">
      <c r="A25" s="1487" t="str">
        <f>定义!C53</f>
        <v>本次估价的“出让国有建设用地使用权价格”是指在估价对象土地所有权为国家所有，使用权性质为出让，在公开市场条件下、于估价期日2024年11月19日，在规划利用条件下、设定土地开发程度为红线外“七通”、宗地内场地平整，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453" t="s">
        <v>728</v>
      </c>
      <c r="C1" s="454" t="s">
        <v>667</v>
      </c>
      <c r="D1" s="782"/>
      <c r="E1" s="456"/>
      <c r="F1" s="2117"/>
      <c r="G1" s="1327" t="s">
        <v>668</v>
      </c>
      <c r="H1" s="456"/>
      <c r="I1" s="456"/>
      <c r="J1" s="456"/>
      <c r="K1" s="457"/>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2" t="s">
        <v>470</v>
      </c>
      <c r="B4" s="463"/>
      <c r="C4" s="3690" t="s">
        <v>471</v>
      </c>
      <c r="D4" s="3691"/>
      <c r="E4" s="3729" t="s">
        <v>472</v>
      </c>
      <c r="F4" s="3730"/>
      <c r="G4" s="3690" t="s">
        <v>473</v>
      </c>
      <c r="H4" s="3691"/>
      <c r="I4" s="3690" t="s">
        <v>474</v>
      </c>
      <c r="J4" s="3691"/>
      <c r="K4" s="464" t="s">
        <v>475</v>
      </c>
      <c r="L4" s="1740"/>
      <c r="M4" s="1741"/>
      <c r="N4" s="1741"/>
      <c r="O4" s="1741"/>
      <c r="P4" s="3692" t="s">
        <v>476</v>
      </c>
      <c r="Q4" s="3693"/>
      <c r="R4" s="3698" t="s">
        <v>472</v>
      </c>
      <c r="S4" s="3699"/>
      <c r="T4" s="3698" t="s">
        <v>473</v>
      </c>
      <c r="U4" s="3699"/>
      <c r="V4" s="3685" t="s">
        <v>474</v>
      </c>
      <c r="W4" s="3685"/>
      <c r="X4" s="1301"/>
      <c r="Y4" s="3698" t="s">
        <v>476</v>
      </c>
      <c r="Z4" s="3699"/>
      <c r="AA4" s="3687" t="s">
        <v>472</v>
      </c>
      <c r="AB4" s="3688" t="s">
        <v>473</v>
      </c>
      <c r="AC4" s="3687" t="s">
        <v>474</v>
      </c>
    </row>
    <row r="5" spans="1:29" ht="15">
      <c r="A5" s="465"/>
      <c r="B5" s="466"/>
      <c r="C5" s="3706" t="s">
        <v>2190</v>
      </c>
      <c r="D5" s="3707"/>
      <c r="E5" s="3731" t="s">
        <v>2191</v>
      </c>
      <c r="F5" s="3732"/>
      <c r="G5" s="3706" t="s">
        <v>2192</v>
      </c>
      <c r="H5" s="3707"/>
      <c r="I5" s="3706" t="s">
        <v>2193</v>
      </c>
      <c r="J5" s="3707"/>
      <c r="K5" s="464"/>
      <c r="L5" s="1740"/>
      <c r="M5" s="1741"/>
      <c r="N5" s="1741"/>
      <c r="O5" s="1741"/>
      <c r="P5" s="3694"/>
      <c r="Q5" s="3695"/>
      <c r="R5" s="3700"/>
      <c r="S5" s="3701"/>
      <c r="T5" s="3700"/>
      <c r="U5" s="3701"/>
      <c r="V5" s="3685"/>
      <c r="W5" s="3685"/>
      <c r="X5" s="1301"/>
      <c r="Y5" s="3700"/>
      <c r="Z5" s="3701"/>
      <c r="AA5" s="3688"/>
      <c r="AB5" s="3688"/>
      <c r="AC5" s="3688"/>
    </row>
    <row r="6" spans="1:29" ht="15.75" thickBot="1">
      <c r="A6" s="467"/>
      <c r="B6" s="468"/>
      <c r="C6" s="3704" t="s">
        <v>2194</v>
      </c>
      <c r="D6" s="3705"/>
      <c r="E6" s="3727" t="s">
        <v>2194</v>
      </c>
      <c r="F6" s="3728"/>
      <c r="G6" s="3704" t="s">
        <v>2194</v>
      </c>
      <c r="H6" s="3705"/>
      <c r="I6" s="3704" t="s">
        <v>2194</v>
      </c>
      <c r="J6" s="3705"/>
      <c r="K6" s="464" t="s">
        <v>477</v>
      </c>
      <c r="L6" s="1740"/>
      <c r="M6" s="1741"/>
      <c r="N6" s="1741"/>
      <c r="O6" s="1741"/>
      <c r="P6" s="3696"/>
      <c r="Q6" s="3697"/>
      <c r="R6" s="3700"/>
      <c r="S6" s="3701"/>
      <c r="T6" s="3702"/>
      <c r="U6" s="3703"/>
      <c r="V6" s="3685"/>
      <c r="W6" s="3685"/>
      <c r="X6" s="1301"/>
      <c r="Y6" s="3702"/>
      <c r="Z6" s="3703"/>
      <c r="AA6" s="3689"/>
      <c r="AB6" s="3689"/>
      <c r="AC6" s="3689"/>
    </row>
    <row r="7" spans="1:29" s="1058" customFormat="1" ht="15.75" thickBot="1">
      <c r="A7" s="2208"/>
      <c r="B7" s="2215" t="s">
        <v>478</v>
      </c>
      <c r="C7" s="469">
        <f>'数据-取费表'!B2</f>
        <v>45615</v>
      </c>
      <c r="D7" s="470">
        <v>100</v>
      </c>
      <c r="E7" s="471"/>
      <c r="F7" s="472">
        <f>SUMIF(52:52,YEAR(E7)&amp;"-"&amp;MONTH(E7),53:53)</f>
        <v>0</v>
      </c>
      <c r="G7" s="471"/>
      <c r="H7" s="470">
        <f>SUMIF(52:52,YEAR(G7)&amp;"-"&amp;MONTH(G7),53:53)</f>
        <v>0</v>
      </c>
      <c r="I7" s="471"/>
      <c r="J7" s="470">
        <f>SUMIF(52:52,YEAR(I7)&amp;"-"&amp;MONTH(I7),53:53)</f>
        <v>0</v>
      </c>
      <c r="K7" s="87"/>
      <c r="L7" s="1742"/>
      <c r="M7" s="1639"/>
      <c r="N7" s="1639"/>
      <c r="O7" s="1639"/>
      <c r="P7" s="3714" t="s">
        <v>479</v>
      </c>
      <c r="Q7" s="3716"/>
      <c r="R7" s="1302" t="s">
        <v>5</v>
      </c>
      <c r="S7" s="1303">
        <f t="shared" ref="S7:S15" si="0">F7</f>
        <v>0</v>
      </c>
      <c r="T7" s="1302" t="s">
        <v>5</v>
      </c>
      <c r="U7" s="1303">
        <f t="shared" ref="U7:U15" si="1">H7</f>
        <v>0</v>
      </c>
      <c r="V7" s="1302" t="s">
        <v>5</v>
      </c>
      <c r="W7" s="1303">
        <f t="shared" ref="W7:W15" si="2">J7</f>
        <v>0</v>
      </c>
      <c r="X7" s="1304"/>
      <c r="Y7" s="3714" t="s">
        <v>479</v>
      </c>
      <c r="Z7" s="3715"/>
      <c r="AA7" s="995" t="e">
        <f>D7/F7</f>
        <v>#DIV/0!</v>
      </c>
      <c r="AB7" s="995" t="e">
        <f>D7/H7</f>
        <v>#DIV/0!</v>
      </c>
      <c r="AC7" s="995" t="e">
        <f>D7/J7</f>
        <v>#DIV/0!</v>
      </c>
    </row>
    <row r="8" spans="1:29" s="1058" customFormat="1" ht="15.75" thickBot="1">
      <c r="A8" s="2209"/>
      <c r="B8" s="2216" t="s">
        <v>480</v>
      </c>
      <c r="C8" s="474" t="s">
        <v>524</v>
      </c>
      <c r="D8" s="470">
        <v>100</v>
      </c>
      <c r="E8" s="474"/>
      <c r="F8" s="472">
        <f>SUMIF(55:55,E8,56:56)-SUMIF(55:55,C8,56:56)+100</f>
        <v>0</v>
      </c>
      <c r="G8" s="474"/>
      <c r="H8" s="470">
        <f>SUMIF(55:55,G8,56:56)-SUMIF(55:55,C8,56:56)+100</f>
        <v>0</v>
      </c>
      <c r="I8" s="474"/>
      <c r="J8" s="470">
        <f>SUMIF(55:55,I8,56:56)-SUMIF(55:55,C8,56:56)+100</f>
        <v>0</v>
      </c>
      <c r="K8" s="87"/>
      <c r="L8" s="1742"/>
      <c r="M8" s="1639"/>
      <c r="N8" s="1639"/>
      <c r="O8" s="1639"/>
      <c r="P8" s="3714" t="s">
        <v>482</v>
      </c>
      <c r="Q8" s="3715"/>
      <c r="R8" s="1302" t="s">
        <v>5</v>
      </c>
      <c r="S8" s="1303">
        <f t="shared" si="0"/>
        <v>0</v>
      </c>
      <c r="T8" s="1302" t="s">
        <v>5</v>
      </c>
      <c r="U8" s="1303">
        <f t="shared" si="1"/>
        <v>0</v>
      </c>
      <c r="V8" s="1302" t="s">
        <v>5</v>
      </c>
      <c r="W8" s="1303">
        <f t="shared" si="2"/>
        <v>0</v>
      </c>
      <c r="X8" s="1304"/>
      <c r="Y8" s="3714" t="s">
        <v>482</v>
      </c>
      <c r="Z8" s="3715"/>
      <c r="AA8" s="995" t="e">
        <f t="shared" ref="AA8:AA40" si="3">D8/F8</f>
        <v>#DIV/0!</v>
      </c>
      <c r="AB8" s="995" t="e">
        <f t="shared" ref="AB8:AB40" si="4">D8/H8</f>
        <v>#DIV/0!</v>
      </c>
      <c r="AC8" s="995" t="e">
        <f t="shared" ref="AC8:AC40" si="5">D8/J8</f>
        <v>#DIV/0!</v>
      </c>
    </row>
    <row r="9" spans="1:29" s="1058" customFormat="1" ht="15">
      <c r="A9" s="2210"/>
      <c r="B9" s="2217" t="s">
        <v>2037</v>
      </c>
      <c r="C9" s="790"/>
      <c r="D9" s="153">
        <v>100</v>
      </c>
      <c r="E9" s="792"/>
      <c r="F9" s="153">
        <f>SUMIF(57:57,E9,58:58)-SUMIF(57:57,C9,58:58)+100</f>
        <v>100</v>
      </c>
      <c r="G9" s="791"/>
      <c r="H9" s="153">
        <f>SUMIF(57:57,G9,58:58)-SUMIF(57:57,C9,58:58)+100</f>
        <v>100</v>
      </c>
      <c r="I9" s="791"/>
      <c r="J9" s="153">
        <f>SUMIF(57:57,I9,58:58)-SUMIF(57:57,C9,58:58)+100</f>
        <v>100</v>
      </c>
      <c r="K9" s="87"/>
      <c r="L9" s="1742"/>
      <c r="M9" s="1639"/>
      <c r="N9" s="1639"/>
      <c r="O9" s="1743"/>
      <c r="P9" s="3684" t="s">
        <v>484</v>
      </c>
      <c r="Q9" s="816" t="str">
        <f t="shared" ref="Q9:Q15" si="6">B9</f>
        <v>用途</v>
      </c>
      <c r="R9" s="1302" t="s">
        <v>5</v>
      </c>
      <c r="S9" s="1303">
        <f t="shared" si="0"/>
        <v>100</v>
      </c>
      <c r="T9" s="1302" t="s">
        <v>5</v>
      </c>
      <c r="U9" s="1303">
        <f t="shared" si="1"/>
        <v>100</v>
      </c>
      <c r="V9" s="1302" t="s">
        <v>5</v>
      </c>
      <c r="W9" s="1303">
        <f t="shared" si="2"/>
        <v>100</v>
      </c>
      <c r="X9" s="1304"/>
      <c r="Y9" s="3632" t="s">
        <v>485</v>
      </c>
      <c r="Z9" s="995" t="str">
        <f t="shared" ref="Z9:Z15" si="7">Q9</f>
        <v>用途</v>
      </c>
      <c r="AA9" s="995">
        <f t="shared" si="3"/>
        <v>1</v>
      </c>
      <c r="AB9" s="995">
        <f t="shared" si="4"/>
        <v>1</v>
      </c>
      <c r="AC9" s="995">
        <f t="shared" si="5"/>
        <v>1</v>
      </c>
    </row>
    <row r="10" spans="1:29" s="1131" customFormat="1" ht="27">
      <c r="A10" s="2211"/>
      <c r="B10" s="2216" t="s">
        <v>2038</v>
      </c>
      <c r="C10" s="3386"/>
      <c r="D10" s="234">
        <v>100</v>
      </c>
      <c r="E10" s="3386"/>
      <c r="F10" s="234">
        <f>SUMIF(59:59,E10,60:60)-SUMIF(59:59,C10,60:60)+100</f>
        <v>100</v>
      </c>
      <c r="G10" s="3387"/>
      <c r="H10" s="234">
        <f>SUMIF(59:59,G10,60:60)-SUMIF(59:59,C10,60:60)+100</f>
        <v>100</v>
      </c>
      <c r="I10" s="3386"/>
      <c r="J10" s="234">
        <f>SUMIF(59:59,I10,60:60)-SUMIF(59:59,C10,60:60)+100</f>
        <v>100</v>
      </c>
      <c r="K10" s="87"/>
      <c r="L10" s="1744"/>
      <c r="M10" s="1777"/>
      <c r="N10" s="1777"/>
      <c r="O10" s="1745"/>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2"/>
      <c r="B11" s="2216" t="s">
        <v>2039</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684"/>
      <c r="Q11" s="816" t="str">
        <f t="shared" si="6"/>
        <v>容积率</v>
      </c>
      <c r="R11" s="1302" t="s">
        <v>5</v>
      </c>
      <c r="S11" s="1303" t="e">
        <f t="shared" si="0"/>
        <v>#N/A</v>
      </c>
      <c r="T11" s="1302" t="s">
        <v>5</v>
      </c>
      <c r="U11" s="1303" t="e">
        <f t="shared" si="1"/>
        <v>#N/A</v>
      </c>
      <c r="V11" s="1302" t="s">
        <v>5</v>
      </c>
      <c r="W11" s="1303" t="e">
        <f t="shared" si="2"/>
        <v>#N/A</v>
      </c>
      <c r="X11" s="1304"/>
      <c r="Y11" s="3632"/>
      <c r="Z11" s="995" t="str">
        <f t="shared" si="7"/>
        <v>容积率</v>
      </c>
      <c r="AA11" s="995" t="e">
        <f t="shared" si="3"/>
        <v>#N/A</v>
      </c>
      <c r="AB11" s="995" t="e">
        <f t="shared" si="4"/>
        <v>#N/A</v>
      </c>
      <c r="AC11" s="995" t="e">
        <f t="shared" si="5"/>
        <v>#N/A</v>
      </c>
    </row>
    <row r="12" spans="1:29" s="1058" customFormat="1" ht="15">
      <c r="A12" s="2213"/>
      <c r="B12" s="2219">
        <v>111</v>
      </c>
      <c r="C12" s="477"/>
      <c r="D12" s="487">
        <v>100</v>
      </c>
      <c r="E12" s="488"/>
      <c r="F12" s="234">
        <f>SUMIF(64:64,E12,65:65)-SUMIF(64:64,C12,65:65)+100</f>
        <v>100</v>
      </c>
      <c r="G12" s="840"/>
      <c r="H12" s="234">
        <f>SUMIF(64:64,G12,65:65)-SUMIF(64:64,C12,65:65)+100</f>
        <v>100</v>
      </c>
      <c r="I12" s="804"/>
      <c r="J12" s="234">
        <f>SUMIF(64:64,I12,65:65)-SUMIF(64:64,C12,65:65)+100</f>
        <v>100</v>
      </c>
      <c r="K12" s="530"/>
      <c r="L12" s="1742"/>
      <c r="M12" s="1639"/>
      <c r="N12" s="1639"/>
      <c r="O12" s="1743"/>
      <c r="P12" s="3684"/>
      <c r="Q12" s="816">
        <f t="shared" si="6"/>
        <v>111</v>
      </c>
      <c r="R12" s="1302" t="s">
        <v>5</v>
      </c>
      <c r="S12" s="1303">
        <f t="shared" si="0"/>
        <v>100</v>
      </c>
      <c r="T12" s="1302" t="s">
        <v>5</v>
      </c>
      <c r="U12" s="1303">
        <f t="shared" si="1"/>
        <v>100</v>
      </c>
      <c r="V12" s="1302" t="s">
        <v>5</v>
      </c>
      <c r="W12" s="1303">
        <f t="shared" si="2"/>
        <v>100</v>
      </c>
      <c r="X12" s="1304"/>
      <c r="Y12" s="3632"/>
      <c r="Z12" s="995">
        <f t="shared" si="7"/>
        <v>111</v>
      </c>
      <c r="AA12" s="995">
        <f>D12/F12</f>
        <v>1</v>
      </c>
      <c r="AB12" s="995">
        <f>D12/H12</f>
        <v>1</v>
      </c>
      <c r="AC12" s="995">
        <f>D12/J12</f>
        <v>1</v>
      </c>
    </row>
    <row r="13" spans="1:29" ht="15">
      <c r="A13" s="2213"/>
      <c r="B13" s="2219">
        <v>111</v>
      </c>
      <c r="C13" s="488"/>
      <c r="D13" s="489">
        <v>100</v>
      </c>
      <c r="E13" s="488"/>
      <c r="F13" s="234">
        <f>SUMIF(66:66,E13,67:67)-SUMIF(66:66,C13,67:67)+100</f>
        <v>100</v>
      </c>
      <c r="G13" s="840"/>
      <c r="H13" s="489">
        <f>SUMIF(66:66,G13,67:67)-SUMIF(66:66,C13,67:67)+100</f>
        <v>100</v>
      </c>
      <c r="I13" s="804"/>
      <c r="J13" s="489">
        <f>SUMIF(66:66,I13,67:67)-SUMIF(66:66,C13,67:67)+100</f>
        <v>100</v>
      </c>
      <c r="K13" s="530"/>
      <c r="L13" s="1748"/>
      <c r="M13" s="1741"/>
      <c r="N13" s="1741"/>
      <c r="O13" s="1747"/>
      <c r="P13" s="3684"/>
      <c r="Q13" s="816">
        <f t="shared" si="6"/>
        <v>111</v>
      </c>
      <c r="R13" s="1302" t="s">
        <v>5</v>
      </c>
      <c r="S13" s="1303">
        <f t="shared" si="0"/>
        <v>100</v>
      </c>
      <c r="T13" s="1302" t="s">
        <v>5</v>
      </c>
      <c r="U13" s="1303">
        <f t="shared" si="1"/>
        <v>100</v>
      </c>
      <c r="V13" s="1302" t="s">
        <v>5</v>
      </c>
      <c r="W13" s="1303">
        <f t="shared" si="2"/>
        <v>100</v>
      </c>
      <c r="X13" s="1304"/>
      <c r="Y13" s="3632"/>
      <c r="Z13" s="995">
        <f t="shared" si="7"/>
        <v>111</v>
      </c>
      <c r="AA13" s="995">
        <f t="shared" si="3"/>
        <v>1</v>
      </c>
      <c r="AB13" s="995">
        <f t="shared" si="4"/>
        <v>1</v>
      </c>
      <c r="AC13" s="995">
        <f t="shared" si="5"/>
        <v>1</v>
      </c>
    </row>
    <row r="14" spans="1:29" ht="15.75" thickBot="1">
      <c r="A14" s="2214"/>
      <c r="B14" s="2220">
        <v>111</v>
      </c>
      <c r="C14" s="494"/>
      <c r="D14" s="495">
        <v>100</v>
      </c>
      <c r="E14" s="494"/>
      <c r="F14" s="495">
        <f>SUMIF(68:68,E14,69:69)-SUMIF(68:68,C14,69:69)+100</f>
        <v>100</v>
      </c>
      <c r="G14" s="840"/>
      <c r="H14" s="495">
        <f>SUMIF(68:68,G14,69:69)-SUMIF(68:68,C14,69:69)+100</f>
        <v>100</v>
      </c>
      <c r="I14" s="804"/>
      <c r="J14" s="495">
        <f>SUMIF(68:68,I14,69:69)-SUMIF(68:68,C14,69:69)+100</f>
        <v>100</v>
      </c>
      <c r="K14" s="530"/>
      <c r="L14" s="1748"/>
      <c r="M14" s="1741"/>
      <c r="N14" s="1741"/>
      <c r="O14" s="1747"/>
      <c r="P14" s="3684"/>
      <c r="Q14" s="816">
        <f t="shared" si="6"/>
        <v>111</v>
      </c>
      <c r="R14" s="1302" t="s">
        <v>5</v>
      </c>
      <c r="S14" s="1303">
        <f t="shared" si="0"/>
        <v>100</v>
      </c>
      <c r="T14" s="1302" t="s">
        <v>5</v>
      </c>
      <c r="U14" s="1303">
        <f t="shared" si="1"/>
        <v>100</v>
      </c>
      <c r="V14" s="1302" t="s">
        <v>5</v>
      </c>
      <c r="W14" s="1303">
        <f t="shared" si="2"/>
        <v>100</v>
      </c>
      <c r="X14" s="1304"/>
      <c r="Y14" s="3632"/>
      <c r="Z14" s="995">
        <f t="shared" si="7"/>
        <v>111</v>
      </c>
      <c r="AA14" s="995">
        <f t="shared" si="3"/>
        <v>1</v>
      </c>
      <c r="AB14" s="995">
        <f t="shared" si="4"/>
        <v>1</v>
      </c>
      <c r="AC14" s="995">
        <f t="shared" si="5"/>
        <v>1</v>
      </c>
    </row>
    <row r="15" spans="1:29" ht="57">
      <c r="A15" s="2206" t="s">
        <v>2035</v>
      </c>
      <c r="B15" s="149" t="s">
        <v>729</v>
      </c>
      <c r="C15" s="841"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0"/>
      <c r="L15" s="1748"/>
      <c r="M15" s="1741"/>
      <c r="N15" s="1741"/>
      <c r="O15" s="1747"/>
      <c r="P15" s="3717" t="s">
        <v>489</v>
      </c>
      <c r="Q15" s="1305" t="str">
        <f t="shared" si="6"/>
        <v>产业集聚程度</v>
      </c>
      <c r="R15" s="1306" t="s">
        <v>5</v>
      </c>
      <c r="S15" s="1307">
        <f t="shared" si="0"/>
        <v>100</v>
      </c>
      <c r="T15" s="1306" t="s">
        <v>5</v>
      </c>
      <c r="U15" s="1307">
        <f t="shared" si="1"/>
        <v>100</v>
      </c>
      <c r="V15" s="1306" t="s">
        <v>5</v>
      </c>
      <c r="W15" s="1307">
        <f t="shared" si="2"/>
        <v>100</v>
      </c>
      <c r="X15" s="1301"/>
      <c r="Y15" s="3717" t="s">
        <v>489</v>
      </c>
      <c r="Z15" s="1308" t="str">
        <f t="shared" si="7"/>
        <v>产业集聚程度</v>
      </c>
      <c r="AA15" s="1308">
        <f t="shared" si="3"/>
        <v>1</v>
      </c>
      <c r="AB15" s="1308">
        <f t="shared" si="4"/>
        <v>1</v>
      </c>
      <c r="AC15" s="1308">
        <f t="shared" si="5"/>
        <v>1</v>
      </c>
    </row>
    <row r="16" spans="1:29" ht="15">
      <c r="A16" s="481"/>
      <c r="B16" s="798"/>
      <c r="C16" s="525"/>
      <c r="D16" s="504"/>
      <c r="E16" s="525"/>
      <c r="F16" s="506"/>
      <c r="G16" s="525"/>
      <c r="H16" s="508"/>
      <c r="I16" s="525"/>
      <c r="J16" s="504"/>
      <c r="K16" s="821"/>
      <c r="L16" s="1748"/>
      <c r="M16" s="1741"/>
      <c r="N16" s="1741"/>
      <c r="O16" s="1747"/>
      <c r="P16" s="3718"/>
      <c r="Q16" s="1305"/>
      <c r="R16" s="1306"/>
      <c r="S16" s="1307"/>
      <c r="T16" s="1306"/>
      <c r="U16" s="1307"/>
      <c r="V16" s="1306"/>
      <c r="W16" s="1307"/>
      <c r="X16" s="1301"/>
      <c r="Y16" s="3718"/>
      <c r="Z16" s="1308"/>
      <c r="AA16" s="1308">
        <v>1</v>
      </c>
      <c r="AB16" s="1308">
        <v>1</v>
      </c>
      <c r="AC16" s="1308">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0"/>
      <c r="L17" s="1748"/>
      <c r="M17" s="1741"/>
      <c r="N17" s="1741"/>
      <c r="O17" s="1747"/>
      <c r="P17" s="3718"/>
      <c r="Q17" s="1305" t="str">
        <f>B17</f>
        <v>交通便捷度</v>
      </c>
      <c r="R17" s="1306" t="s">
        <v>5</v>
      </c>
      <c r="S17" s="1307">
        <f>F17</f>
        <v>100</v>
      </c>
      <c r="T17" s="1306" t="s">
        <v>5</v>
      </c>
      <c r="U17" s="1307">
        <f>H17</f>
        <v>100</v>
      </c>
      <c r="V17" s="1306" t="s">
        <v>5</v>
      </c>
      <c r="W17" s="1307">
        <f>J17</f>
        <v>100</v>
      </c>
      <c r="X17" s="1301"/>
      <c r="Y17" s="3718"/>
      <c r="Z17" s="1308" t="str">
        <f>Q17</f>
        <v>交通便捷度</v>
      </c>
      <c r="AA17" s="1308">
        <f t="shared" si="3"/>
        <v>1</v>
      </c>
      <c r="AB17" s="1308">
        <f t="shared" si="4"/>
        <v>1</v>
      </c>
      <c r="AC17" s="1308">
        <f t="shared" si="5"/>
        <v>1</v>
      </c>
    </row>
    <row r="18" spans="1:29" ht="15">
      <c r="A18" s="481"/>
      <c r="B18" s="543"/>
      <c r="C18" s="801"/>
      <c r="D18" s="508"/>
      <c r="E18" s="517"/>
      <c r="F18" s="512"/>
      <c r="G18" s="518"/>
      <c r="H18" s="504"/>
      <c r="I18" s="517"/>
      <c r="J18" s="504"/>
      <c r="K18" s="821"/>
      <c r="L18" s="1748"/>
      <c r="M18" s="1741"/>
      <c r="N18" s="1741"/>
      <c r="O18" s="1747"/>
      <c r="P18" s="3718"/>
      <c r="Q18" s="1305"/>
      <c r="R18" s="1306"/>
      <c r="S18" s="1307"/>
      <c r="T18" s="1306"/>
      <c r="U18" s="1307"/>
      <c r="V18" s="1306"/>
      <c r="W18" s="1307"/>
      <c r="X18" s="1301"/>
      <c r="Y18" s="3718"/>
      <c r="Z18" s="1308"/>
      <c r="AA18" s="1308">
        <v>1</v>
      </c>
      <c r="AB18" s="1308">
        <v>1</v>
      </c>
      <c r="AC18" s="1308">
        <v>1</v>
      </c>
    </row>
    <row r="19" spans="1:29" ht="42.75">
      <c r="A19" s="481"/>
      <c r="B19" s="2061"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0"/>
      <c r="L19" s="1748"/>
      <c r="M19" s="1741"/>
      <c r="N19" s="1741"/>
      <c r="O19" s="1747"/>
      <c r="P19" s="3718"/>
      <c r="Q19" s="1305" t="str">
        <f>B19</f>
        <v>公共配套设施</v>
      </c>
      <c r="R19" s="1306" t="s">
        <v>5</v>
      </c>
      <c r="S19" s="1307">
        <f>F19</f>
        <v>100</v>
      </c>
      <c r="T19" s="1306" t="s">
        <v>5</v>
      </c>
      <c r="U19" s="1307">
        <f>H19</f>
        <v>100</v>
      </c>
      <c r="V19" s="1306" t="s">
        <v>5</v>
      </c>
      <c r="W19" s="1307">
        <f>J19</f>
        <v>100</v>
      </c>
      <c r="X19" s="1301"/>
      <c r="Y19" s="3718"/>
      <c r="Z19" s="1308" t="str">
        <f>Q19</f>
        <v>公共配套设施</v>
      </c>
      <c r="AA19" s="1308">
        <f t="shared" si="3"/>
        <v>1</v>
      </c>
      <c r="AB19" s="1308">
        <f t="shared" si="4"/>
        <v>1</v>
      </c>
      <c r="AC19" s="1308">
        <f t="shared" si="5"/>
        <v>1</v>
      </c>
    </row>
    <row r="20" spans="1:29" ht="15">
      <c r="A20" s="481"/>
      <c r="B20" s="515"/>
      <c r="C20" s="525"/>
      <c r="D20" s="504"/>
      <c r="E20" s="505"/>
      <c r="F20" s="506"/>
      <c r="G20" s="507"/>
      <c r="H20" s="504"/>
      <c r="I20" s="505"/>
      <c r="J20" s="504"/>
      <c r="K20" s="821"/>
      <c r="L20" s="1748"/>
      <c r="M20" s="1741"/>
      <c r="N20" s="1741"/>
      <c r="O20" s="1747"/>
      <c r="P20" s="3718"/>
      <c r="Q20" s="1305"/>
      <c r="R20" s="1306"/>
      <c r="S20" s="1307"/>
      <c r="T20" s="1306"/>
      <c r="U20" s="1307"/>
      <c r="V20" s="1306"/>
      <c r="W20" s="1307"/>
      <c r="X20" s="1301"/>
      <c r="Y20" s="3718"/>
      <c r="Z20" s="1308"/>
      <c r="AA20" s="1308">
        <v>1</v>
      </c>
      <c r="AB20" s="1308">
        <v>1</v>
      </c>
      <c r="AC20" s="1308">
        <v>1</v>
      </c>
    </row>
    <row r="21" spans="1:29" ht="28.5">
      <c r="A21" s="481"/>
      <c r="B21" s="2049"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0"/>
      <c r="L21" s="1748"/>
      <c r="M21" s="1741"/>
      <c r="N21" s="1741"/>
      <c r="O21" s="1747"/>
      <c r="P21" s="3718"/>
      <c r="Q21" s="1305" t="str">
        <f>B21</f>
        <v>基础设施水平</v>
      </c>
      <c r="R21" s="1306" t="s">
        <v>5</v>
      </c>
      <c r="S21" s="1307">
        <f>F21</f>
        <v>100</v>
      </c>
      <c r="T21" s="1306" t="s">
        <v>5</v>
      </c>
      <c r="U21" s="1307">
        <f>H21</f>
        <v>100</v>
      </c>
      <c r="V21" s="1306" t="s">
        <v>5</v>
      </c>
      <c r="W21" s="1307">
        <f>J21</f>
        <v>100</v>
      </c>
      <c r="X21" s="1301"/>
      <c r="Y21" s="3718"/>
      <c r="Z21" s="1308" t="str">
        <f>Q21</f>
        <v>基础设施水平</v>
      </c>
      <c r="AA21" s="1308">
        <f>D21/F21</f>
        <v>1</v>
      </c>
      <c r="AB21" s="1308">
        <f>D21/H21</f>
        <v>1</v>
      </c>
      <c r="AC21" s="1308">
        <f>D21/J21</f>
        <v>1</v>
      </c>
    </row>
    <row r="22" spans="1:29" ht="15">
      <c r="A22" s="481"/>
      <c r="B22" s="527"/>
      <c r="C22" s="801"/>
      <c r="D22" s="504"/>
      <c r="E22" s="525"/>
      <c r="F22" s="506"/>
      <c r="G22" s="525"/>
      <c r="H22" s="504"/>
      <c r="I22" s="525"/>
      <c r="J22" s="504"/>
      <c r="K22" s="2060"/>
      <c r="L22" s="1748"/>
      <c r="M22" s="1741"/>
      <c r="N22" s="1741"/>
      <c r="O22" s="1747"/>
      <c r="P22" s="3718"/>
      <c r="Q22" s="1305"/>
      <c r="R22" s="1306"/>
      <c r="S22" s="1307"/>
      <c r="T22" s="1306"/>
      <c r="U22" s="1307"/>
      <c r="V22" s="1306"/>
      <c r="W22" s="1307"/>
      <c r="X22" s="1301"/>
      <c r="Y22" s="3718"/>
      <c r="Z22" s="1308"/>
      <c r="AA22" s="1308">
        <v>1</v>
      </c>
      <c r="AB22" s="1308">
        <v>1</v>
      </c>
      <c r="AC22" s="1308">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0"/>
      <c r="L23" s="1748"/>
      <c r="M23" s="1741"/>
      <c r="N23" s="1741"/>
      <c r="O23" s="1747"/>
      <c r="P23" s="3718"/>
      <c r="Q23" s="1305" t="str">
        <f>B23</f>
        <v>环境质量</v>
      </c>
      <c r="R23" s="1306" t="s">
        <v>5</v>
      </c>
      <c r="S23" s="1307">
        <f>F23</f>
        <v>100</v>
      </c>
      <c r="T23" s="1306" t="s">
        <v>5</v>
      </c>
      <c r="U23" s="1307">
        <f>H23</f>
        <v>100</v>
      </c>
      <c r="V23" s="1306" t="s">
        <v>5</v>
      </c>
      <c r="W23" s="1307">
        <f>J23</f>
        <v>100</v>
      </c>
      <c r="X23" s="1301"/>
      <c r="Y23" s="3718"/>
      <c r="Z23" s="1308" t="str">
        <f>Q23</f>
        <v>环境质量</v>
      </c>
      <c r="AA23" s="1308">
        <f t="shared" si="3"/>
        <v>1</v>
      </c>
      <c r="AB23" s="1308">
        <f t="shared" si="4"/>
        <v>1</v>
      </c>
      <c r="AC23" s="1308">
        <f t="shared" si="5"/>
        <v>1</v>
      </c>
    </row>
    <row r="24" spans="1:29" ht="15">
      <c r="A24" s="481"/>
      <c r="B24" s="842"/>
      <c r="C24" s="525"/>
      <c r="D24" s="504"/>
      <c r="E24" s="505"/>
      <c r="F24" s="506"/>
      <c r="G24" s="507"/>
      <c r="H24" s="504"/>
      <c r="I24" s="505"/>
      <c r="J24" s="504"/>
      <c r="K24" s="821"/>
      <c r="L24" s="1748"/>
      <c r="M24" s="1741"/>
      <c r="N24" s="1741"/>
      <c r="O24" s="1747"/>
      <c r="P24" s="3718"/>
      <c r="Q24" s="1305"/>
      <c r="R24" s="1306"/>
      <c r="S24" s="1307"/>
      <c r="T24" s="1306"/>
      <c r="U24" s="1307"/>
      <c r="V24" s="1306"/>
      <c r="W24" s="1307"/>
      <c r="X24" s="1301"/>
      <c r="Y24" s="3718"/>
      <c r="Z24" s="1308"/>
      <c r="AA24" s="1308">
        <v>1</v>
      </c>
      <c r="AB24" s="1308">
        <v>1</v>
      </c>
      <c r="AC24" s="1308">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718"/>
      <c r="Q25" s="1305">
        <f>B25</f>
        <v>111</v>
      </c>
      <c r="R25" s="1306" t="s">
        <v>5</v>
      </c>
      <c r="S25" s="1307">
        <f>F25</f>
        <v>100</v>
      </c>
      <c r="T25" s="1306" t="s">
        <v>5</v>
      </c>
      <c r="U25" s="1307">
        <f>H25</f>
        <v>100</v>
      </c>
      <c r="V25" s="1306" t="s">
        <v>5</v>
      </c>
      <c r="W25" s="1307">
        <f>J25</f>
        <v>100</v>
      </c>
      <c r="X25" s="1301"/>
      <c r="Y25" s="3718"/>
      <c r="Z25" s="1308">
        <f>Q25</f>
        <v>111</v>
      </c>
      <c r="AA25" s="1308">
        <f t="shared" si="3"/>
        <v>1</v>
      </c>
      <c r="AB25" s="1308">
        <f t="shared" si="4"/>
        <v>1</v>
      </c>
      <c r="AC25" s="1308">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718"/>
      <c r="Q26" s="1305">
        <f t="shared" ref="Q26:Q40" si="8">B26</f>
        <v>111</v>
      </c>
      <c r="R26" s="1306" t="s">
        <v>5</v>
      </c>
      <c r="S26" s="1307">
        <f>F26</f>
        <v>100</v>
      </c>
      <c r="T26" s="1306" t="s">
        <v>5</v>
      </c>
      <c r="U26" s="1307">
        <f>H26</f>
        <v>100</v>
      </c>
      <c r="V26" s="1306" t="s">
        <v>5</v>
      </c>
      <c r="W26" s="1307">
        <f>J26</f>
        <v>100</v>
      </c>
      <c r="X26" s="1301"/>
      <c r="Y26" s="3718"/>
      <c r="Z26" s="1308">
        <f>Q26</f>
        <v>111</v>
      </c>
      <c r="AA26" s="1308">
        <f t="shared" si="3"/>
        <v>1</v>
      </c>
      <c r="AB26" s="1308">
        <f t="shared" si="4"/>
        <v>1</v>
      </c>
      <c r="AC26" s="1308">
        <f t="shared" si="5"/>
        <v>1</v>
      </c>
    </row>
    <row r="27" spans="1:29" s="1058"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718"/>
      <c r="Q27" s="816">
        <f t="shared" si="8"/>
        <v>111</v>
      </c>
      <c r="R27" s="1302" t="s">
        <v>5</v>
      </c>
      <c r="S27" s="1303">
        <f>F27</f>
        <v>100</v>
      </c>
      <c r="T27" s="1302" t="s">
        <v>5</v>
      </c>
      <c r="U27" s="1303">
        <f>H27</f>
        <v>100</v>
      </c>
      <c r="V27" s="1302" t="s">
        <v>5</v>
      </c>
      <c r="W27" s="1303">
        <f>J27</f>
        <v>100</v>
      </c>
      <c r="X27" s="1304"/>
      <c r="Y27" s="3718"/>
      <c r="Z27" s="995">
        <f>Q27</f>
        <v>111</v>
      </c>
      <c r="AA27" s="1308">
        <f>D27/F27</f>
        <v>1</v>
      </c>
      <c r="AB27" s="1308">
        <f>D27/H27</f>
        <v>1</v>
      </c>
      <c r="AC27" s="1308">
        <f>D27/J27</f>
        <v>1</v>
      </c>
    </row>
    <row r="28" spans="1:29" ht="15.75" thickBot="1">
      <c r="A28" s="492"/>
      <c r="B28" s="90">
        <v>111</v>
      </c>
      <c r="C28" s="494"/>
      <c r="D28" s="495">
        <v>100</v>
      </c>
      <c r="E28" s="488"/>
      <c r="F28" s="795">
        <f>SUMIF(86:86,E28,87:87)-SUMIF(86:86,C28,87:87)+100</f>
        <v>100</v>
      </c>
      <c r="G28" s="804"/>
      <c r="H28" s="495">
        <f>SUMIF(86:86,G28,87:87)-SUMIF(86:86,C28,87:87)+100</f>
        <v>100</v>
      </c>
      <c r="I28" s="804"/>
      <c r="J28" s="495">
        <f>SUMIF(86:86,I28,87:87)-SUMIF(86:86,C28,87:87)+100</f>
        <v>100</v>
      </c>
      <c r="K28" s="530"/>
      <c r="L28" s="1748"/>
      <c r="M28" s="1741"/>
      <c r="N28" s="1741"/>
      <c r="O28" s="1747"/>
      <c r="P28" s="3718"/>
      <c r="Q28" s="1305">
        <f t="shared" si="8"/>
        <v>111</v>
      </c>
      <c r="R28" s="1306" t="s">
        <v>5</v>
      </c>
      <c r="S28" s="1307">
        <f t="shared" ref="S28:S40" si="9">F28</f>
        <v>100</v>
      </c>
      <c r="T28" s="1306" t="s">
        <v>5</v>
      </c>
      <c r="U28" s="1307">
        <f t="shared" ref="U28:U40" si="10">H28</f>
        <v>100</v>
      </c>
      <c r="V28" s="1306" t="s">
        <v>5</v>
      </c>
      <c r="W28" s="1307">
        <f t="shared" ref="W28:W40" si="11">J28</f>
        <v>100</v>
      </c>
      <c r="X28" s="1301"/>
      <c r="Y28" s="3718"/>
      <c r="Z28" s="1308">
        <f t="shared" ref="Z28:Z40" si="12">Q28</f>
        <v>111</v>
      </c>
      <c r="AA28" s="1308">
        <f t="shared" si="3"/>
        <v>1</v>
      </c>
      <c r="AB28" s="1308">
        <f t="shared" si="4"/>
        <v>1</v>
      </c>
      <c r="AC28" s="1308">
        <f t="shared" si="5"/>
        <v>1</v>
      </c>
    </row>
    <row r="29" spans="1:29" ht="15">
      <c r="A29" s="2203" t="s">
        <v>2036</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719" t="s">
        <v>499</v>
      </c>
      <c r="Q29" s="1305" t="str">
        <f t="shared" si="8"/>
        <v>建筑类型</v>
      </c>
      <c r="R29" s="1306" t="s">
        <v>5</v>
      </c>
      <c r="S29" s="1307">
        <f t="shared" si="9"/>
        <v>100</v>
      </c>
      <c r="T29" s="1306" t="s">
        <v>5</v>
      </c>
      <c r="U29" s="1307">
        <f t="shared" si="10"/>
        <v>100</v>
      </c>
      <c r="V29" s="1306" t="s">
        <v>5</v>
      </c>
      <c r="W29" s="1307">
        <f t="shared" si="11"/>
        <v>100</v>
      </c>
      <c r="X29" s="1301"/>
      <c r="Y29" s="3720" t="s">
        <v>499</v>
      </c>
      <c r="Z29" s="1308" t="str">
        <f t="shared" si="12"/>
        <v>建筑类型</v>
      </c>
      <c r="AA29" s="1308">
        <f t="shared" si="3"/>
        <v>1</v>
      </c>
      <c r="AB29" s="1308">
        <f t="shared" si="4"/>
        <v>1</v>
      </c>
      <c r="AC29" s="1308">
        <f t="shared" si="5"/>
        <v>1</v>
      </c>
    </row>
    <row r="30" spans="1:29" s="1132" customFormat="1" ht="15">
      <c r="A30" s="551"/>
      <c r="B30" s="476" t="s">
        <v>673</v>
      </c>
      <c r="C30" s="804"/>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720"/>
      <c r="Q30" s="817" t="str">
        <f t="shared" si="8"/>
        <v>项目建筑规模</v>
      </c>
      <c r="R30" s="1309" t="s">
        <v>5</v>
      </c>
      <c r="S30" s="1310" t="e">
        <f t="shared" si="9"/>
        <v>#N/A</v>
      </c>
      <c r="T30" s="1309" t="s">
        <v>5</v>
      </c>
      <c r="U30" s="1310" t="e">
        <f t="shared" si="10"/>
        <v>#N/A</v>
      </c>
      <c r="V30" s="1309" t="s">
        <v>5</v>
      </c>
      <c r="W30" s="1310" t="e">
        <f t="shared" si="11"/>
        <v>#N/A</v>
      </c>
      <c r="X30" s="1311"/>
      <c r="Y30" s="3720"/>
      <c r="Z30" s="1312" t="str">
        <f t="shared" si="12"/>
        <v>项目建筑规模</v>
      </c>
      <c r="AA30" s="1308" t="e">
        <f t="shared" si="3"/>
        <v>#N/A</v>
      </c>
      <c r="AB30" s="1308" t="e">
        <f t="shared" si="4"/>
        <v>#N/A</v>
      </c>
      <c r="AC30" s="1308"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720"/>
      <c r="Q31" s="1305" t="str">
        <f t="shared" si="8"/>
        <v>建筑结构</v>
      </c>
      <c r="R31" s="1306" t="s">
        <v>5</v>
      </c>
      <c r="S31" s="1307">
        <f t="shared" si="9"/>
        <v>100</v>
      </c>
      <c r="T31" s="1306" t="s">
        <v>5</v>
      </c>
      <c r="U31" s="1307">
        <f t="shared" si="10"/>
        <v>100</v>
      </c>
      <c r="V31" s="1306" t="s">
        <v>5</v>
      </c>
      <c r="W31" s="1307">
        <f t="shared" si="11"/>
        <v>100</v>
      </c>
      <c r="X31" s="1301"/>
      <c r="Y31" s="3720"/>
      <c r="Z31" s="1308" t="str">
        <f t="shared" si="12"/>
        <v>建筑结构</v>
      </c>
      <c r="AA31" s="1308">
        <f t="shared" si="3"/>
        <v>1</v>
      </c>
      <c r="AB31" s="1308">
        <f t="shared" si="4"/>
        <v>1</v>
      </c>
      <c r="AC31" s="1308">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720"/>
      <c r="Q32" s="1305" t="str">
        <f t="shared" si="8"/>
        <v>公共部分装修</v>
      </c>
      <c r="R32" s="1306" t="s">
        <v>5</v>
      </c>
      <c r="S32" s="1307">
        <f t="shared" si="9"/>
        <v>100</v>
      </c>
      <c r="T32" s="1306" t="s">
        <v>5</v>
      </c>
      <c r="U32" s="1307">
        <f t="shared" si="10"/>
        <v>100</v>
      </c>
      <c r="V32" s="1306" t="s">
        <v>5</v>
      </c>
      <c r="W32" s="1307">
        <f t="shared" si="11"/>
        <v>100</v>
      </c>
      <c r="X32" s="1301"/>
      <c r="Y32" s="3720"/>
      <c r="Z32" s="1308" t="str">
        <f t="shared" si="12"/>
        <v>公共部分装修</v>
      </c>
      <c r="AA32" s="1308">
        <f t="shared" si="3"/>
        <v>1</v>
      </c>
      <c r="AB32" s="1308">
        <f t="shared" si="4"/>
        <v>1</v>
      </c>
      <c r="AC32" s="1308">
        <f t="shared" si="5"/>
        <v>1</v>
      </c>
    </row>
    <row r="33" spans="1:29" ht="15">
      <c r="A33" s="542"/>
      <c r="B33" s="476" t="s">
        <v>704</v>
      </c>
      <c r="C33" s="804"/>
      <c r="D33" s="489">
        <v>100</v>
      </c>
      <c r="E33" s="806"/>
      <c r="F33" s="524" t="e">
        <f>LOOKUP(E33,98:98,99:99)-LOOKUP(C33,98:98,99:99)+100</f>
        <v>#N/A</v>
      </c>
      <c r="G33" s="806"/>
      <c r="H33" s="524" t="e">
        <f>LOOKUP(G33,98:98,99:99)-LOOKUP(C33,98:98,99:99)+100</f>
        <v>#N/A</v>
      </c>
      <c r="I33" s="806"/>
      <c r="J33" s="489" t="e">
        <f>LOOKUP(I33,98:98,99:99)-LOOKUP(C33,98:98,99:99)+100</f>
        <v>#N/A</v>
      </c>
      <c r="K33" s="532"/>
      <c r="L33" s="1748"/>
      <c r="M33" s="1741"/>
      <c r="N33" s="1741"/>
      <c r="O33" s="1747"/>
      <c r="P33" s="3720"/>
      <c r="Q33" s="1305" t="str">
        <f t="shared" si="8"/>
        <v>成新度</v>
      </c>
      <c r="R33" s="1306" t="s">
        <v>5</v>
      </c>
      <c r="S33" s="1307" t="e">
        <f t="shared" si="9"/>
        <v>#N/A</v>
      </c>
      <c r="T33" s="1306" t="s">
        <v>5</v>
      </c>
      <c r="U33" s="1307" t="e">
        <f t="shared" si="10"/>
        <v>#N/A</v>
      </c>
      <c r="V33" s="1306" t="s">
        <v>5</v>
      </c>
      <c r="W33" s="1307" t="e">
        <f t="shared" si="11"/>
        <v>#N/A</v>
      </c>
      <c r="X33" s="1301"/>
      <c r="Y33" s="3720"/>
      <c r="Z33" s="1308" t="str">
        <f t="shared" si="12"/>
        <v>成新度</v>
      </c>
      <c r="AA33" s="1308" t="e">
        <f t="shared" si="3"/>
        <v>#N/A</v>
      </c>
      <c r="AB33" s="1308" t="e">
        <f t="shared" si="4"/>
        <v>#N/A</v>
      </c>
      <c r="AC33" s="1308" t="e">
        <f t="shared" si="5"/>
        <v>#N/A</v>
      </c>
    </row>
    <row r="34" spans="1:29" s="1058"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720"/>
      <c r="Q34" s="816" t="str">
        <f t="shared" si="8"/>
        <v>物业管理</v>
      </c>
      <c r="R34" s="1302" t="s">
        <v>5</v>
      </c>
      <c r="S34" s="1303">
        <f t="shared" si="9"/>
        <v>100</v>
      </c>
      <c r="T34" s="1302" t="s">
        <v>5</v>
      </c>
      <c r="U34" s="1303">
        <f t="shared" si="10"/>
        <v>100</v>
      </c>
      <c r="V34" s="1302" t="s">
        <v>5</v>
      </c>
      <c r="W34" s="1303">
        <f t="shared" si="11"/>
        <v>100</v>
      </c>
      <c r="X34" s="1304"/>
      <c r="Y34" s="3720"/>
      <c r="Z34" s="995" t="str">
        <f t="shared" si="12"/>
        <v>物业管理</v>
      </c>
      <c r="AA34" s="995">
        <f t="shared" si="3"/>
        <v>1</v>
      </c>
      <c r="AB34" s="995">
        <f t="shared" si="4"/>
        <v>1</v>
      </c>
      <c r="AC34" s="995">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720" t="s">
        <v>499</v>
      </c>
      <c r="Q35" s="1305" t="str">
        <f t="shared" si="8"/>
        <v>市政基础设施</v>
      </c>
      <c r="R35" s="1306" t="s">
        <v>5</v>
      </c>
      <c r="S35" s="1307">
        <f t="shared" si="9"/>
        <v>100</v>
      </c>
      <c r="T35" s="1306" t="s">
        <v>5</v>
      </c>
      <c r="U35" s="1307">
        <f t="shared" si="10"/>
        <v>100</v>
      </c>
      <c r="V35" s="1306" t="s">
        <v>5</v>
      </c>
      <c r="W35" s="1307">
        <f t="shared" si="11"/>
        <v>100</v>
      </c>
      <c r="X35" s="1301"/>
      <c r="Y35" s="3720" t="s">
        <v>499</v>
      </c>
      <c r="Z35" s="1308" t="str">
        <f t="shared" si="12"/>
        <v>市政基础设施</v>
      </c>
      <c r="AA35" s="1308">
        <f t="shared" si="3"/>
        <v>1</v>
      </c>
      <c r="AB35" s="1308">
        <f t="shared" si="4"/>
        <v>1</v>
      </c>
      <c r="AC35" s="1308">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720"/>
      <c r="Q36" s="1305" t="str">
        <f t="shared" si="8"/>
        <v>内部装修</v>
      </c>
      <c r="R36" s="1306" t="s">
        <v>5</v>
      </c>
      <c r="S36" s="1307">
        <f t="shared" si="9"/>
        <v>100</v>
      </c>
      <c r="T36" s="1306" t="s">
        <v>5</v>
      </c>
      <c r="U36" s="1307">
        <f t="shared" si="10"/>
        <v>100</v>
      </c>
      <c r="V36" s="1306" t="s">
        <v>5</v>
      </c>
      <c r="W36" s="1307">
        <f t="shared" si="11"/>
        <v>100</v>
      </c>
      <c r="X36" s="1301"/>
      <c r="Y36" s="3720"/>
      <c r="Z36" s="1308" t="str">
        <f t="shared" si="12"/>
        <v>内部装修</v>
      </c>
      <c r="AA36" s="1308">
        <f t="shared" si="3"/>
        <v>1</v>
      </c>
      <c r="AB36" s="1308">
        <f t="shared" si="4"/>
        <v>1</v>
      </c>
      <c r="AC36" s="1308">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720"/>
      <c r="Q37" s="1305" t="str">
        <f t="shared" si="8"/>
        <v>内部装修状况</v>
      </c>
      <c r="R37" s="1306" t="s">
        <v>5</v>
      </c>
      <c r="S37" s="1307">
        <f t="shared" si="9"/>
        <v>100</v>
      </c>
      <c r="T37" s="1306" t="s">
        <v>5</v>
      </c>
      <c r="U37" s="1307">
        <f t="shared" si="10"/>
        <v>100</v>
      </c>
      <c r="V37" s="1306" t="s">
        <v>5</v>
      </c>
      <c r="W37" s="1307">
        <f t="shared" si="11"/>
        <v>100</v>
      </c>
      <c r="X37" s="1301"/>
      <c r="Y37" s="3720"/>
      <c r="Z37" s="1308" t="str">
        <f t="shared" si="12"/>
        <v>内部装修状况</v>
      </c>
      <c r="AA37" s="1308">
        <f t="shared" si="3"/>
        <v>1</v>
      </c>
      <c r="AB37" s="1308">
        <f t="shared" si="4"/>
        <v>1</v>
      </c>
      <c r="AC37" s="1308">
        <f t="shared" si="5"/>
        <v>1</v>
      </c>
    </row>
    <row r="38" spans="1:29" s="1132" customFormat="1" ht="15">
      <c r="A38" s="551"/>
      <c r="B38" s="90">
        <v>111</v>
      </c>
      <c r="C38" s="804"/>
      <c r="D38" s="489">
        <v>100</v>
      </c>
      <c r="E38" s="488"/>
      <c r="F38" s="524">
        <f>SUMIF(108:108,E38,109:109)-SUMIF(108:108,C38,109:109)+100</f>
        <v>100</v>
      </c>
      <c r="G38" s="804"/>
      <c r="H38" s="489">
        <f>SUMIF(108:108,G38,109:109)-SUMIF(108:108,C38,109:109)+100</f>
        <v>100</v>
      </c>
      <c r="I38" s="804"/>
      <c r="J38" s="489">
        <f>SUMIF(108:108,I38,109:1038)-SUMIF(108:108,C38,109:109)+100</f>
        <v>100</v>
      </c>
      <c r="K38" s="530"/>
      <c r="L38" s="1746"/>
      <c r="M38" s="1770"/>
      <c r="N38" s="1770"/>
      <c r="O38" s="1749"/>
      <c r="P38" s="3720"/>
      <c r="Q38" s="817">
        <f t="shared" si="8"/>
        <v>111</v>
      </c>
      <c r="R38" s="1309" t="s">
        <v>5</v>
      </c>
      <c r="S38" s="1310">
        <f t="shared" si="9"/>
        <v>100</v>
      </c>
      <c r="T38" s="1309" t="s">
        <v>5</v>
      </c>
      <c r="U38" s="1310">
        <f t="shared" si="10"/>
        <v>100</v>
      </c>
      <c r="V38" s="1309" t="s">
        <v>5</v>
      </c>
      <c r="W38" s="1310">
        <f t="shared" si="11"/>
        <v>100</v>
      </c>
      <c r="X38" s="1311"/>
      <c r="Y38" s="3720"/>
      <c r="Z38" s="1312">
        <f t="shared" si="12"/>
        <v>111</v>
      </c>
      <c r="AA38" s="1308">
        <f t="shared" si="3"/>
        <v>1</v>
      </c>
      <c r="AB38" s="1308">
        <f t="shared" si="4"/>
        <v>1</v>
      </c>
      <c r="AC38" s="1308">
        <f t="shared" si="5"/>
        <v>1</v>
      </c>
    </row>
    <row r="39" spans="1:29" ht="15">
      <c r="A39" s="542"/>
      <c r="B39" s="90">
        <v>111</v>
      </c>
      <c r="C39" s="804"/>
      <c r="D39" s="489">
        <v>100</v>
      </c>
      <c r="E39" s="488"/>
      <c r="F39" s="524">
        <f>SUMIF(110:110,E39,111:111)-SUMIF(110:110,C39,111:111)+100</f>
        <v>100</v>
      </c>
      <c r="G39" s="804"/>
      <c r="H39" s="489">
        <f>SUMIF(110:110,G39,111:111)-SUMIF(110:110,C39,111:111)+100</f>
        <v>100</v>
      </c>
      <c r="I39" s="804"/>
      <c r="J39" s="489">
        <f>SUMIF(110:110,I39,111:111)-SUMIF(110:110,C39,111:111)+100</f>
        <v>100</v>
      </c>
      <c r="K39" s="530"/>
      <c r="L39" s="1748"/>
      <c r="M39" s="1741"/>
      <c r="N39" s="1741"/>
      <c r="O39" s="1747"/>
      <c r="P39" s="3720"/>
      <c r="Q39" s="1305">
        <f t="shared" si="8"/>
        <v>111</v>
      </c>
      <c r="R39" s="1306" t="s">
        <v>5</v>
      </c>
      <c r="S39" s="1307">
        <f t="shared" si="9"/>
        <v>100</v>
      </c>
      <c r="T39" s="1306" t="s">
        <v>5</v>
      </c>
      <c r="U39" s="1307">
        <f t="shared" si="10"/>
        <v>100</v>
      </c>
      <c r="V39" s="1306" t="s">
        <v>5</v>
      </c>
      <c r="W39" s="1307">
        <f t="shared" si="11"/>
        <v>100</v>
      </c>
      <c r="X39" s="1301"/>
      <c r="Y39" s="3720"/>
      <c r="Z39" s="1308">
        <f t="shared" si="12"/>
        <v>111</v>
      </c>
      <c r="AA39" s="1308">
        <f t="shared" si="3"/>
        <v>1</v>
      </c>
      <c r="AB39" s="1308">
        <f t="shared" si="4"/>
        <v>1</v>
      </c>
      <c r="AC39" s="1308">
        <f t="shared" si="5"/>
        <v>1</v>
      </c>
    </row>
    <row r="40" spans="1:29" ht="15.75" thickBot="1">
      <c r="A40" s="809"/>
      <c r="B40" s="493">
        <v>111</v>
      </c>
      <c r="C40" s="494"/>
      <c r="D40" s="495">
        <v>100</v>
      </c>
      <c r="E40" s="488"/>
      <c r="F40" s="795">
        <f>SUMIF(112:112,E40,113:113)-SUMIF(112:112,C40,113:113)+100</f>
        <v>100</v>
      </c>
      <c r="G40" s="804"/>
      <c r="H40" s="495">
        <f>SUMIF(112:112,G40,113:113)-SUMIF(112:112,C40,113:113)+100</f>
        <v>100</v>
      </c>
      <c r="I40" s="804"/>
      <c r="J40" s="495">
        <f>SUMIF(112:112,I40,113:113)-SUMIF(112:112,C40,113:113)+100</f>
        <v>100</v>
      </c>
      <c r="K40" s="530"/>
      <c r="L40" s="1748"/>
      <c r="M40" s="1741"/>
      <c r="N40" s="1741"/>
      <c r="O40" s="1747"/>
      <c r="P40" s="3805"/>
      <c r="Q40" s="1305">
        <f t="shared" si="8"/>
        <v>111</v>
      </c>
      <c r="R40" s="1306" t="s">
        <v>5</v>
      </c>
      <c r="S40" s="1307">
        <f t="shared" si="9"/>
        <v>100</v>
      </c>
      <c r="T40" s="1306" t="s">
        <v>5</v>
      </c>
      <c r="U40" s="1307">
        <f t="shared" si="10"/>
        <v>100</v>
      </c>
      <c r="V40" s="1306" t="s">
        <v>5</v>
      </c>
      <c r="W40" s="1307">
        <f t="shared" si="11"/>
        <v>100</v>
      </c>
      <c r="X40" s="1301"/>
      <c r="Y40" s="3805"/>
      <c r="Z40" s="1308">
        <f t="shared" si="12"/>
        <v>111</v>
      </c>
      <c r="AA40" s="1308">
        <f t="shared" si="3"/>
        <v>1</v>
      </c>
      <c r="AB40" s="1308">
        <f t="shared" si="4"/>
        <v>1</v>
      </c>
      <c r="AC40" s="1308">
        <f t="shared" si="5"/>
        <v>1</v>
      </c>
    </row>
    <row r="41" spans="1:29" ht="15">
      <c r="A41" s="555" t="s">
        <v>683</v>
      </c>
      <c r="B41" s="810"/>
      <c r="C41" s="2080" t="s">
        <v>0</v>
      </c>
      <c r="D41" s="558"/>
      <c r="E41" s="559"/>
      <c r="F41" s="560"/>
      <c r="G41" s="561"/>
      <c r="H41" s="562"/>
      <c r="I41" s="559"/>
      <c r="J41" s="562"/>
      <c r="K41" s="1334"/>
      <c r="L41" s="1750"/>
      <c r="M41" s="1741"/>
      <c r="N41" s="1741"/>
      <c r="O41" s="1741"/>
      <c r="P41" s="3684" t="str">
        <f>A41</f>
        <v>成交单价（元/平方米）</v>
      </c>
      <c r="Q41" s="3684"/>
      <c r="R41" s="3685">
        <f>E41</f>
        <v>0</v>
      </c>
      <c r="S41" s="3685"/>
      <c r="T41" s="3685">
        <f>G41</f>
        <v>0</v>
      </c>
      <c r="U41" s="3685"/>
      <c r="V41" s="3685">
        <f>I41</f>
        <v>0</v>
      </c>
      <c r="W41" s="3685"/>
      <c r="X41" s="798"/>
      <c r="Y41" s="1313"/>
      <c r="Z41" s="798"/>
      <c r="AA41" s="798"/>
      <c r="AB41" s="798"/>
      <c r="AC41" s="798"/>
    </row>
    <row r="42" spans="1:29" ht="15.75" thickBot="1">
      <c r="A42" s="563" t="s">
        <v>2041</v>
      </c>
      <c r="B42" s="811"/>
      <c r="C42" s="2081" t="e">
        <f>R43</f>
        <v>#DIV/0!</v>
      </c>
      <c r="D42" s="2549" t="s">
        <v>2259</v>
      </c>
      <c r="E42" s="2082" t="e">
        <f>R42</f>
        <v>#DIV/0!</v>
      </c>
      <c r="F42" s="2550"/>
      <c r="G42" s="2081" t="e">
        <f>T42</f>
        <v>#DIV/0!</v>
      </c>
      <c r="H42" s="2550"/>
      <c r="I42" s="2082" t="e">
        <f>V42</f>
        <v>#DIV/0!</v>
      </c>
      <c r="J42" s="2550"/>
      <c r="K42" s="2557">
        <f>F42+H42+J42</f>
        <v>0</v>
      </c>
      <c r="L42" s="1750"/>
      <c r="M42" s="1741"/>
      <c r="N42" s="1741"/>
      <c r="O42" s="1741"/>
      <c r="P42" s="3684" t="str">
        <f>A42</f>
        <v>比较价格（元/平方米）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798"/>
      <c r="Y42" s="798"/>
      <c r="Z42" s="798"/>
      <c r="AA42" s="798"/>
      <c r="AB42" s="798"/>
      <c r="AC42" s="798"/>
    </row>
    <row r="43" spans="1:29" ht="15.75" thickBot="1">
      <c r="A43" s="567" t="s">
        <v>2196</v>
      </c>
      <c r="B43" s="568"/>
      <c r="C43" s="468" t="e">
        <f>R43</f>
        <v>#DIV/0!</v>
      </c>
      <c r="D43" s="468"/>
      <c r="E43" s="468"/>
      <c r="F43" s="468"/>
      <c r="G43" s="468"/>
      <c r="H43" s="468"/>
      <c r="I43" s="468"/>
      <c r="J43" s="468"/>
      <c r="K43" s="1335"/>
      <c r="L43" s="1750"/>
      <c r="M43" s="1741"/>
      <c r="N43" s="1741"/>
      <c r="O43" s="1741"/>
      <c r="P43" s="3721" t="str">
        <f>A43</f>
        <v>估价对象XX用房的比较价格（楼面单价，元/平方米）</v>
      </c>
      <c r="Q43" s="3722"/>
      <c r="R43" s="3804" t="e">
        <f>IF(F1="售价",ROUND(IF(D42="简单平均",AVERAGE(R42:V42),R42*F42+T42*H42+V42*J42),0),ROUND(IF(D42="简单平均",AVERAGE(R42:V42),R42*F42+T42*H42+V42*J42),1))</f>
        <v>#DIV/0!</v>
      </c>
      <c r="S43" s="3804"/>
      <c r="T43" s="3804"/>
      <c r="U43" s="3804"/>
      <c r="V43" s="3804"/>
      <c r="W43" s="3804"/>
      <c r="X43" s="798"/>
      <c r="Y43" s="798"/>
      <c r="Z43" s="798"/>
      <c r="AA43" s="798"/>
      <c r="AB43" s="798"/>
      <c r="AC43" s="798"/>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8"/>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1" t="s">
        <v>478</v>
      </c>
      <c r="B52" s="592"/>
      <c r="C52" s="2112" t="str">
        <f>YEAR(C7)&amp;"-"&amp;MONTH(C7)</f>
        <v>2024-11</v>
      </c>
      <c r="D52" s="2114">
        <f>EDATE(C52,-1)</f>
        <v>45566</v>
      </c>
      <c r="E52" s="2114">
        <f t="shared" ref="E52:O52" si="13">EDATE(D52,-1)</f>
        <v>45536</v>
      </c>
      <c r="F52" s="2114">
        <f t="shared" si="13"/>
        <v>45505</v>
      </c>
      <c r="G52" s="2114">
        <f t="shared" si="13"/>
        <v>45474</v>
      </c>
      <c r="H52" s="2114">
        <f t="shared" si="13"/>
        <v>45444</v>
      </c>
      <c r="I52" s="2114">
        <f t="shared" si="13"/>
        <v>45413</v>
      </c>
      <c r="J52" s="2114">
        <f t="shared" si="13"/>
        <v>45383</v>
      </c>
      <c r="K52" s="2114">
        <f t="shared" si="13"/>
        <v>45352</v>
      </c>
      <c r="L52" s="2114">
        <f t="shared" si="13"/>
        <v>45323</v>
      </c>
      <c r="M52" s="2114">
        <f t="shared" si="13"/>
        <v>45292</v>
      </c>
      <c r="N52" s="2114">
        <f t="shared" si="13"/>
        <v>45261</v>
      </c>
      <c r="O52" s="2114">
        <f t="shared" si="13"/>
        <v>45231</v>
      </c>
      <c r="P52" s="1764"/>
      <c r="Q52" s="1764"/>
      <c r="R52" s="1764"/>
      <c r="S52" s="1764"/>
      <c r="T52" s="1764"/>
      <c r="U52" s="1764"/>
      <c r="V52" s="1764"/>
      <c r="W52" s="1764"/>
      <c r="X52" s="1764"/>
      <c r="Y52" s="1764"/>
      <c r="Z52" s="1764"/>
      <c r="AA52" s="1764"/>
      <c r="AB52" s="1764"/>
      <c r="AC52" s="1764"/>
    </row>
    <row r="53" spans="1:29" s="1058"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8"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8" customFormat="1" ht="15">
      <c r="A55" s="602" t="s">
        <v>480</v>
      </c>
      <c r="B55" s="593"/>
      <c r="C55" s="603" t="s">
        <v>524</v>
      </c>
      <c r="D55" s="79"/>
      <c r="E55" s="79"/>
      <c r="F55" s="79"/>
      <c r="G55" s="79"/>
      <c r="H55" s="79"/>
      <c r="I55" s="79"/>
      <c r="J55" s="79"/>
      <c r="K55" s="79"/>
      <c r="L55" s="604"/>
      <c r="M55" s="605"/>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8"/>
      <c r="B68" s="622">
        <f>B14</f>
        <v>111</v>
      </c>
      <c r="C68" s="79"/>
      <c r="D68" s="79"/>
      <c r="E68" s="79"/>
      <c r="F68" s="79"/>
      <c r="G68" s="79"/>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2"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2" t="s">
        <v>527</v>
      </c>
      <c r="D70" s="142" t="s">
        <v>528</v>
      </c>
      <c r="E70" s="142" t="s">
        <v>529</v>
      </c>
      <c r="F70" s="142" t="s">
        <v>530</v>
      </c>
      <c r="G70" s="142"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1841</v>
      </c>
      <c r="C76" s="2056" t="s">
        <v>1842</v>
      </c>
      <c r="D76" s="2056" t="s">
        <v>1843</v>
      </c>
      <c r="E76" s="2056" t="s">
        <v>1844</v>
      </c>
      <c r="F76" s="2056" t="s">
        <v>1845</v>
      </c>
      <c r="G76" s="2056" t="s">
        <v>1846</v>
      </c>
      <c r="H76" s="854"/>
      <c r="I76" s="854"/>
      <c r="J76" s="854"/>
      <c r="K76" s="854"/>
      <c r="L76" s="854"/>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5"/>
      <c r="B80" s="614">
        <f>B25</f>
        <v>111</v>
      </c>
      <c r="C80" s="629"/>
      <c r="D80" s="629"/>
      <c r="E80" s="629"/>
      <c r="F80" s="629"/>
      <c r="G80" s="629"/>
      <c r="H80" s="629"/>
      <c r="I80" s="629"/>
      <c r="J80" s="629"/>
      <c r="K80" s="629"/>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5"/>
      <c r="B82" s="614">
        <f>B26</f>
        <v>111</v>
      </c>
      <c r="C82" s="629"/>
      <c r="D82" s="629"/>
      <c r="E82" s="629"/>
      <c r="F82" s="629"/>
      <c r="G82" s="629"/>
      <c r="H82" s="629"/>
      <c r="I82" s="629"/>
      <c r="J82" s="629"/>
      <c r="K82" s="629"/>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8"/>
      <c r="B84" s="614">
        <f>B27</f>
        <v>111</v>
      </c>
      <c r="C84" s="629"/>
      <c r="D84" s="629"/>
      <c r="E84" s="629"/>
      <c r="F84" s="629"/>
      <c r="G84" s="629"/>
      <c r="H84" s="629"/>
      <c r="I84" s="629"/>
      <c r="J84" s="629"/>
      <c r="K84" s="629"/>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79"/>
      <c r="D86" s="79"/>
      <c r="E86" s="79"/>
      <c r="F86" s="79"/>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1"/>
      <c r="B91" s="667"/>
      <c r="C91" s="78"/>
      <c r="D91" s="78"/>
      <c r="E91" s="78"/>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7"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79"/>
      <c r="D112" s="79"/>
      <c r="E112" s="79"/>
      <c r="F112" s="79"/>
      <c r="G112" s="661"/>
      <c r="H112" s="661"/>
      <c r="I112" s="661"/>
      <c r="J112" s="661"/>
      <c r="K112" s="79"/>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85"/>
  <sheetViews>
    <sheetView topLeftCell="A379" workbookViewId="0">
      <selection activeCell="A5" sqref="A5:XFD5"/>
    </sheetView>
  </sheetViews>
  <sheetFormatPr defaultRowHeight="13.5"/>
  <cols>
    <col min="1" max="1" width="20" style="1489" customWidth="1"/>
    <col min="2" max="2" width="9.75" style="1489" customWidth="1"/>
    <col min="3" max="3" width="11" style="1489" customWidth="1"/>
    <col min="4" max="4" width="11.5" style="1489" customWidth="1"/>
    <col min="5" max="5" width="12.625" style="1489" customWidth="1"/>
    <col min="6" max="6" width="14" style="1489" customWidth="1"/>
    <col min="7" max="7" width="17.625" style="1489" customWidth="1"/>
    <col min="8" max="8" width="14" style="1489" customWidth="1"/>
    <col min="9" max="9" width="12.625" style="1489" customWidth="1"/>
    <col min="10" max="75" width="20" style="1489" customWidth="1"/>
    <col min="76" max="16384" width="9" style="1489"/>
  </cols>
  <sheetData>
    <row r="1" spans="1:10">
      <c r="A1" s="3812" t="s">
        <v>3620</v>
      </c>
      <c r="B1" s="3812"/>
      <c r="C1" s="3812"/>
      <c r="D1" s="3812"/>
      <c r="E1" s="3812"/>
      <c r="F1" s="3812"/>
      <c r="G1" s="3812"/>
      <c r="H1" s="3812"/>
      <c r="I1" s="3812"/>
    </row>
    <row r="2" spans="1:10">
      <c r="A2" s="1489" t="s">
        <v>3462</v>
      </c>
      <c r="B2" s="1489" t="s">
        <v>3435</v>
      </c>
      <c r="C2" s="1489" t="s">
        <v>3436</v>
      </c>
      <c r="D2" s="1489" t="s">
        <v>3621</v>
      </c>
      <c r="E2" s="1489" t="s">
        <v>3622</v>
      </c>
      <c r="F2" s="1489" t="s">
        <v>3623</v>
      </c>
      <c r="G2" s="1489" t="s">
        <v>3624</v>
      </c>
      <c r="H2" s="1489" t="s">
        <v>3625</v>
      </c>
      <c r="I2" s="1489" t="s">
        <v>3626</v>
      </c>
    </row>
    <row r="3" spans="1:10" s="3444" customFormat="1">
      <c r="A3" s="3445" t="s">
        <v>3610</v>
      </c>
      <c r="B3" s="3444" t="s">
        <v>3464</v>
      </c>
      <c r="C3" s="3444" t="s">
        <v>3465</v>
      </c>
      <c r="D3" s="3444">
        <v>117</v>
      </c>
      <c r="E3" s="3444">
        <v>14055</v>
      </c>
      <c r="F3" s="3444">
        <v>28372</v>
      </c>
      <c r="G3" s="3444">
        <v>39875.9</v>
      </c>
      <c r="H3" s="3444">
        <v>217</v>
      </c>
      <c r="I3" s="3444">
        <v>26292</v>
      </c>
      <c r="J3" s="3445" t="s">
        <v>3639</v>
      </c>
    </row>
    <row r="4" spans="1:10">
      <c r="A4" s="1489" t="s">
        <v>3627</v>
      </c>
      <c r="B4" s="1489" t="s">
        <v>3464</v>
      </c>
      <c r="C4" s="1489" t="s">
        <v>3465</v>
      </c>
      <c r="D4" s="1489">
        <v>85</v>
      </c>
      <c r="E4" s="1489">
        <v>10964</v>
      </c>
      <c r="F4" s="1489">
        <v>23909</v>
      </c>
      <c r="G4" s="1489">
        <v>26213.79</v>
      </c>
      <c r="H4" s="1489">
        <v>69</v>
      </c>
      <c r="I4" s="1489">
        <v>7294</v>
      </c>
      <c r="J4" s="3390" t="s">
        <v>3641</v>
      </c>
    </row>
    <row r="5" spans="1:10" s="3444" customFormat="1">
      <c r="A5" s="3445" t="s">
        <v>3634</v>
      </c>
      <c r="B5" s="3444" t="s">
        <v>3464</v>
      </c>
      <c r="C5" s="3444" t="s">
        <v>3465</v>
      </c>
      <c r="D5" s="3444">
        <v>68</v>
      </c>
      <c r="E5" s="3444">
        <v>9649</v>
      </c>
      <c r="F5" s="3444">
        <v>33276</v>
      </c>
      <c r="G5" s="3444">
        <v>32107.78</v>
      </c>
      <c r="H5" s="3444">
        <v>7</v>
      </c>
      <c r="I5" s="3444">
        <v>1138</v>
      </c>
      <c r="J5" s="3445" t="s">
        <v>3638</v>
      </c>
    </row>
    <row r="6" spans="1:10" s="3444" customFormat="1">
      <c r="A6" s="3445" t="s">
        <v>3636</v>
      </c>
      <c r="B6" s="3444" t="s">
        <v>3464</v>
      </c>
      <c r="C6" s="3444" t="s">
        <v>3465</v>
      </c>
      <c r="D6" s="3444">
        <v>20</v>
      </c>
      <c r="E6" s="3444">
        <v>3674</v>
      </c>
      <c r="F6" s="3444">
        <v>28087</v>
      </c>
      <c r="G6" s="3444">
        <v>10318.34</v>
      </c>
      <c r="H6" s="3444">
        <v>8</v>
      </c>
      <c r="I6" s="3444">
        <v>1499</v>
      </c>
      <c r="J6" s="3445" t="s">
        <v>3638</v>
      </c>
    </row>
    <row r="7" spans="1:10">
      <c r="A7" s="1489" t="s">
        <v>3629</v>
      </c>
      <c r="B7" s="1489" t="s">
        <v>3464</v>
      </c>
      <c r="C7" s="1489" t="s">
        <v>3630</v>
      </c>
      <c r="D7" s="1489">
        <v>3</v>
      </c>
      <c r="E7" s="1489">
        <v>268</v>
      </c>
      <c r="F7" s="1489">
        <v>23739</v>
      </c>
      <c r="G7" s="1489">
        <v>636.38</v>
      </c>
      <c r="H7" s="1489">
        <v>3</v>
      </c>
      <c r="I7" s="1489">
        <v>313</v>
      </c>
    </row>
    <row r="8" spans="1:10">
      <c r="A8" s="1489" t="s">
        <v>3631</v>
      </c>
      <c r="B8" s="1489" t="s">
        <v>3464</v>
      </c>
      <c r="C8" s="1489" t="s">
        <v>3632</v>
      </c>
      <c r="H8" s="1489">
        <v>7</v>
      </c>
      <c r="I8" s="1489">
        <v>2052</v>
      </c>
    </row>
    <row r="537" spans="1:2">
      <c r="A537" s="3390"/>
      <c r="B537" s="3390" t="s">
        <v>3638</v>
      </c>
    </row>
    <row r="805" spans="2:2">
      <c r="B805" s="3390" t="s">
        <v>3638</v>
      </c>
    </row>
    <row r="1046" spans="2:2">
      <c r="B1046" s="3390" t="s">
        <v>3638</v>
      </c>
    </row>
    <row r="1086" spans="3:3">
      <c r="C1086" s="3390"/>
    </row>
    <row r="1119" spans="3:3">
      <c r="C1119" s="3390" t="s">
        <v>3639</v>
      </c>
    </row>
    <row r="1185" spans="2:2">
      <c r="B1185" s="3390" t="s">
        <v>3640</v>
      </c>
    </row>
  </sheetData>
  <mergeCells count="1">
    <mergeCell ref="A1:I1"/>
  </mergeCells>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90" zoomScaleNormal="60" zoomScaleSheetLayoutView="90" workbookViewId="0">
      <selection activeCell="M30" sqref="M3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3" t="s">
        <v>851</v>
      </c>
      <c r="C1" s="454" t="s">
        <v>732</v>
      </c>
      <c r="D1" s="782" t="s">
        <v>3709</v>
      </c>
      <c r="E1" s="456"/>
      <c r="F1" s="2117" t="s">
        <v>3396</v>
      </c>
      <c r="G1" s="1327" t="s">
        <v>733</v>
      </c>
      <c r="H1" s="456"/>
      <c r="I1" s="456"/>
      <c r="J1" s="456"/>
      <c r="K1" s="457"/>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734</v>
      </c>
      <c r="B2" s="783">
        <f>IF(B37="元/平方米",ROUND(B3*D3/10000,0),ROUND(F3*C39/10000,0))</f>
        <v>1282</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735</v>
      </c>
      <c r="B3" s="460">
        <f>IF(B37="元/平方米",C39,ROUND(B2*10000/D3,0))</f>
        <v>4630</v>
      </c>
      <c r="C3" s="785" t="s">
        <v>736</v>
      </c>
      <c r="D3" s="784">
        <f>SUMIF('数据-汇总表'!$C19:$C33,D1,'数据-汇总表'!$E19:$E33)</f>
        <v>2768.65</v>
      </c>
      <c r="E3" s="1536" t="s">
        <v>1594</v>
      </c>
      <c r="F3" s="784">
        <f>SUMIF('数据-取费表'!A5:A15,D1,'数据-取费表'!AH5:AH15)</f>
        <v>84</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2" t="s">
        <v>737</v>
      </c>
      <c r="B4" s="463"/>
      <c r="C4" s="3690" t="s">
        <v>738</v>
      </c>
      <c r="D4" s="3691"/>
      <c r="E4" s="3690" t="s">
        <v>739</v>
      </c>
      <c r="F4" s="3691"/>
      <c r="G4" s="3690" t="s">
        <v>740</v>
      </c>
      <c r="H4" s="3691"/>
      <c r="I4" s="3690" t="s">
        <v>741</v>
      </c>
      <c r="J4" s="3691"/>
      <c r="K4" s="464" t="s">
        <v>742</v>
      </c>
      <c r="L4" s="1740"/>
      <c r="M4" s="1741"/>
      <c r="N4" s="1741"/>
      <c r="O4" s="1741"/>
      <c r="P4" s="3692" t="s">
        <v>743</v>
      </c>
      <c r="Q4" s="3693"/>
      <c r="R4" s="3698" t="s">
        <v>739</v>
      </c>
      <c r="S4" s="3699"/>
      <c r="T4" s="3698" t="s">
        <v>740</v>
      </c>
      <c r="U4" s="3699"/>
      <c r="V4" s="3685" t="s">
        <v>741</v>
      </c>
      <c r="W4" s="3685"/>
      <c r="X4" s="1301"/>
      <c r="Y4" s="3698" t="s">
        <v>743</v>
      </c>
      <c r="Z4" s="3699"/>
      <c r="AA4" s="3687" t="s">
        <v>739</v>
      </c>
      <c r="AB4" s="3688" t="s">
        <v>740</v>
      </c>
      <c r="AC4" s="3687" t="s">
        <v>741</v>
      </c>
    </row>
    <row r="5" spans="1:29" ht="15">
      <c r="A5" s="465"/>
      <c r="B5" s="466"/>
      <c r="C5" s="3706" t="s">
        <v>2190</v>
      </c>
      <c r="D5" s="3707"/>
      <c r="E5" s="3813" t="s">
        <v>3674</v>
      </c>
      <c r="F5" s="3707"/>
      <c r="G5" s="3813" t="s">
        <v>3635</v>
      </c>
      <c r="H5" s="3707"/>
      <c r="I5" s="3813" t="s">
        <v>3673</v>
      </c>
      <c r="J5" s="3707"/>
      <c r="K5" s="464"/>
      <c r="L5" s="1740"/>
      <c r="M5" s="1741"/>
      <c r="N5" s="1741"/>
      <c r="O5" s="1741"/>
      <c r="P5" s="3694"/>
      <c r="Q5" s="3695"/>
      <c r="R5" s="3700"/>
      <c r="S5" s="3701"/>
      <c r="T5" s="3700"/>
      <c r="U5" s="3701"/>
      <c r="V5" s="3685"/>
      <c r="W5" s="3685"/>
      <c r="X5" s="1301"/>
      <c r="Y5" s="3700"/>
      <c r="Z5" s="3701"/>
      <c r="AA5" s="3688"/>
      <c r="AB5" s="3688"/>
      <c r="AC5" s="3688"/>
    </row>
    <row r="6" spans="1:29" ht="15.75" thickBot="1">
      <c r="A6" s="467"/>
      <c r="B6" s="468"/>
      <c r="C6" s="3704" t="s">
        <v>2194</v>
      </c>
      <c r="D6" s="3705"/>
      <c r="E6" s="3708" t="s">
        <v>2194</v>
      </c>
      <c r="F6" s="3709"/>
      <c r="G6" s="3704" t="s">
        <v>2194</v>
      </c>
      <c r="H6" s="3705"/>
      <c r="I6" s="3704" t="s">
        <v>2194</v>
      </c>
      <c r="J6" s="3705"/>
      <c r="K6" s="464" t="s">
        <v>477</v>
      </c>
      <c r="L6" s="1740"/>
      <c r="M6" s="1741"/>
      <c r="N6" s="1741"/>
      <c r="O6" s="1741"/>
      <c r="P6" s="3696"/>
      <c r="Q6" s="3697"/>
      <c r="R6" s="3700"/>
      <c r="S6" s="3701"/>
      <c r="T6" s="3702"/>
      <c r="U6" s="3703"/>
      <c r="V6" s="3685"/>
      <c r="W6" s="3685"/>
      <c r="X6" s="1301"/>
      <c r="Y6" s="3702"/>
      <c r="Z6" s="3703"/>
      <c r="AA6" s="3689"/>
      <c r="AB6" s="3689"/>
      <c r="AC6" s="3689"/>
    </row>
    <row r="7" spans="1:29" s="1058" customFormat="1" ht="15.75" thickBot="1">
      <c r="A7" s="2208"/>
      <c r="B7" s="2215" t="s">
        <v>478</v>
      </c>
      <c r="C7" s="469">
        <f>'数据-取费表'!B2</f>
        <v>45615</v>
      </c>
      <c r="D7" s="470">
        <v>100</v>
      </c>
      <c r="E7" s="471">
        <f>C7</f>
        <v>45615</v>
      </c>
      <c r="F7" s="472">
        <f>SUMIF(48:48,YEAR(E7)&amp;"-"&amp;MONTH(E7),49:49)</f>
        <v>100</v>
      </c>
      <c r="G7" s="473">
        <f>C7</f>
        <v>45615</v>
      </c>
      <c r="H7" s="470">
        <f>SUMIF(48:48,YEAR(G7)&amp;"-"&amp;MONTH(G7),49:49)</f>
        <v>100</v>
      </c>
      <c r="I7" s="473">
        <f>C7</f>
        <v>45615</v>
      </c>
      <c r="J7" s="470">
        <f>SUMIF(48:48,YEAR(I7)&amp;"-"&amp;MONTH(I7),49:49)</f>
        <v>100</v>
      </c>
      <c r="K7" s="87"/>
      <c r="L7" s="1742"/>
      <c r="M7" s="1639"/>
      <c r="N7" s="1639"/>
      <c r="O7" s="1639"/>
      <c r="P7" s="3714" t="s">
        <v>479</v>
      </c>
      <c r="Q7" s="3716"/>
      <c r="R7" s="1302" t="s">
        <v>5</v>
      </c>
      <c r="S7" s="1303">
        <f t="shared" ref="S7:S14" si="0">F7</f>
        <v>100</v>
      </c>
      <c r="T7" s="1302" t="s">
        <v>5</v>
      </c>
      <c r="U7" s="1303">
        <f t="shared" ref="U7:U14" si="1">H7</f>
        <v>100</v>
      </c>
      <c r="V7" s="1302" t="s">
        <v>5</v>
      </c>
      <c r="W7" s="1303">
        <f t="shared" ref="W7:W14" si="2">J7</f>
        <v>100</v>
      </c>
      <c r="X7" s="1304"/>
      <c r="Y7" s="3714" t="s">
        <v>479</v>
      </c>
      <c r="Z7" s="3715"/>
      <c r="AA7" s="995">
        <f>D7/F7</f>
        <v>1</v>
      </c>
      <c r="AB7" s="995">
        <f>D7/H7</f>
        <v>1</v>
      </c>
      <c r="AC7" s="995">
        <f>D7/J7</f>
        <v>1</v>
      </c>
    </row>
    <row r="8" spans="1:29" s="1058" customFormat="1" ht="15.75" thickBot="1">
      <c r="A8" s="2209"/>
      <c r="B8" s="2216" t="s">
        <v>480</v>
      </c>
      <c r="C8" s="474" t="s">
        <v>524</v>
      </c>
      <c r="D8" s="470">
        <v>100</v>
      </c>
      <c r="E8" s="474" t="s">
        <v>524</v>
      </c>
      <c r="F8" s="472">
        <f>SUMIF(51:51,E8,52:52)-SUMIF(51:51,C8,52:52)+100</f>
        <v>100</v>
      </c>
      <c r="G8" s="474" t="s">
        <v>524</v>
      </c>
      <c r="H8" s="470">
        <f>SUMIF(51:51,G8,52:52)-SUMIF(51:51,C8,52:52)+100</f>
        <v>100</v>
      </c>
      <c r="I8" s="474" t="s">
        <v>524</v>
      </c>
      <c r="J8" s="470">
        <f>SUMIF(51:51,I8,52:52)-SUMIF(51:51,C8,52:52)+100</f>
        <v>100</v>
      </c>
      <c r="K8" s="87"/>
      <c r="L8" s="1742"/>
      <c r="M8" s="1639"/>
      <c r="N8" s="1639"/>
      <c r="O8" s="1639"/>
      <c r="P8" s="3714" t="s">
        <v>482</v>
      </c>
      <c r="Q8" s="3715"/>
      <c r="R8" s="1302" t="s">
        <v>5</v>
      </c>
      <c r="S8" s="1303">
        <f t="shared" si="0"/>
        <v>100</v>
      </c>
      <c r="T8" s="1302" t="s">
        <v>5</v>
      </c>
      <c r="U8" s="1303">
        <f t="shared" si="1"/>
        <v>100</v>
      </c>
      <c r="V8" s="1302" t="s">
        <v>5</v>
      </c>
      <c r="W8" s="1303">
        <f t="shared" si="2"/>
        <v>100</v>
      </c>
      <c r="X8" s="1304"/>
      <c r="Y8" s="3714" t="s">
        <v>482</v>
      </c>
      <c r="Z8" s="3715"/>
      <c r="AA8" s="995">
        <f t="shared" ref="AA8:AA36" si="3">D8/F8</f>
        <v>1</v>
      </c>
      <c r="AB8" s="995">
        <f t="shared" ref="AB8:AB36" si="4">D8/H8</f>
        <v>1</v>
      </c>
      <c r="AC8" s="995">
        <f t="shared" ref="AC8:AC36" si="5">D8/J8</f>
        <v>1</v>
      </c>
    </row>
    <row r="9" spans="1:29" s="1058" customFormat="1" ht="15">
      <c r="A9" s="2210"/>
      <c r="B9" s="2217" t="s">
        <v>2037</v>
      </c>
      <c r="C9" s="3426" t="s">
        <v>3418</v>
      </c>
      <c r="D9" s="153">
        <v>100</v>
      </c>
      <c r="E9" s="792" t="s">
        <v>3330</v>
      </c>
      <c r="F9" s="153">
        <f>SUMIF(53:53,E9,54:54)-SUMIF(53:53,C9,54:54)+100</f>
        <v>100</v>
      </c>
      <c r="G9" s="792" t="s">
        <v>3330</v>
      </c>
      <c r="H9" s="153">
        <f>SUMIF(53:53,G9,54:54)-SUMIF(53:53,C9,54:54)+100</f>
        <v>100</v>
      </c>
      <c r="I9" s="792" t="s">
        <v>3330</v>
      </c>
      <c r="J9" s="153">
        <f>SUMIF(53:53,I9,54:54)-SUMIF(53:53,C9,54:54)+100</f>
        <v>100</v>
      </c>
      <c r="K9" s="87"/>
      <c r="L9" s="1742"/>
      <c r="M9" s="1639"/>
      <c r="N9" s="1639"/>
      <c r="O9" s="1743"/>
      <c r="P9" s="3684" t="s">
        <v>484</v>
      </c>
      <c r="Q9" s="816" t="str">
        <f t="shared" ref="Q9:Q14" si="6">B9</f>
        <v>用途</v>
      </c>
      <c r="R9" s="1302" t="s">
        <v>5</v>
      </c>
      <c r="S9" s="1303">
        <f t="shared" si="0"/>
        <v>100</v>
      </c>
      <c r="T9" s="1302" t="s">
        <v>5</v>
      </c>
      <c r="U9" s="1303">
        <f t="shared" si="1"/>
        <v>100</v>
      </c>
      <c r="V9" s="1302" t="s">
        <v>5</v>
      </c>
      <c r="W9" s="1303">
        <f t="shared" si="2"/>
        <v>100</v>
      </c>
      <c r="X9" s="1304"/>
      <c r="Y9" s="3632" t="s">
        <v>485</v>
      </c>
      <c r="Z9" s="995" t="str">
        <f t="shared" ref="Z9:Z14" si="7">Q9</f>
        <v>用途</v>
      </c>
      <c r="AA9" s="995">
        <f t="shared" si="3"/>
        <v>1</v>
      </c>
      <c r="AB9" s="995">
        <f t="shared" si="4"/>
        <v>1</v>
      </c>
      <c r="AC9" s="995">
        <f t="shared" si="5"/>
        <v>1</v>
      </c>
    </row>
    <row r="10" spans="1:29" s="1131" customFormat="1" ht="27">
      <c r="A10" s="2211"/>
      <c r="B10" s="2216" t="s">
        <v>2038</v>
      </c>
      <c r="C10" s="3386"/>
      <c r="D10" s="234">
        <v>100</v>
      </c>
      <c r="E10" s="3386"/>
      <c r="F10" s="234">
        <f>SUMIF(55:55,E10,56:56)-SUMIF(55:55,C10,56:56)+100</f>
        <v>100</v>
      </c>
      <c r="G10" s="3387"/>
      <c r="H10" s="234">
        <f>SUMIF(55:55,G10,56:56)-SUMIF(55:55,C10,56:56)+100</f>
        <v>100</v>
      </c>
      <c r="I10" s="3386"/>
      <c r="J10" s="234">
        <f>SUMIF(55:55,I10,56:56)-SUMIF(55:55,C10,56:56)+100</f>
        <v>100</v>
      </c>
      <c r="K10" s="87"/>
      <c r="L10" s="1744"/>
      <c r="M10" s="1777"/>
      <c r="N10" s="1777"/>
      <c r="O10" s="1745"/>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3"/>
      <c r="B11" s="2219">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684"/>
      <c r="Q11" s="816">
        <f t="shared" si="6"/>
        <v>111</v>
      </c>
      <c r="R11" s="1302" t="s">
        <v>5</v>
      </c>
      <c r="S11" s="1303">
        <f t="shared" si="0"/>
        <v>100</v>
      </c>
      <c r="T11" s="1302" t="s">
        <v>5</v>
      </c>
      <c r="U11" s="1303">
        <f t="shared" si="1"/>
        <v>100</v>
      </c>
      <c r="V11" s="1302" t="s">
        <v>5</v>
      </c>
      <c r="W11" s="1303">
        <f t="shared" si="2"/>
        <v>100</v>
      </c>
      <c r="X11" s="1304"/>
      <c r="Y11" s="3632"/>
      <c r="Z11" s="995">
        <f t="shared" si="7"/>
        <v>111</v>
      </c>
      <c r="AA11" s="995">
        <f t="shared" si="3"/>
        <v>1</v>
      </c>
      <c r="AB11" s="995">
        <f t="shared" si="4"/>
        <v>1</v>
      </c>
      <c r="AC11" s="995">
        <f t="shared" si="5"/>
        <v>1</v>
      </c>
    </row>
    <row r="12" spans="1:29" s="1058" customFormat="1" ht="15">
      <c r="A12" s="2213"/>
      <c r="B12" s="2219">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684"/>
      <c r="Q12" s="816">
        <f t="shared" si="6"/>
        <v>111</v>
      </c>
      <c r="R12" s="1302" t="s">
        <v>5</v>
      </c>
      <c r="S12" s="1303">
        <f t="shared" si="0"/>
        <v>100</v>
      </c>
      <c r="T12" s="1302" t="s">
        <v>5</v>
      </c>
      <c r="U12" s="1303">
        <f t="shared" si="1"/>
        <v>100</v>
      </c>
      <c r="V12" s="1302" t="s">
        <v>5</v>
      </c>
      <c r="W12" s="1303">
        <f t="shared" si="2"/>
        <v>100</v>
      </c>
      <c r="X12" s="1304"/>
      <c r="Y12" s="3632"/>
      <c r="Z12" s="995">
        <f t="shared" si="7"/>
        <v>111</v>
      </c>
      <c r="AA12" s="995">
        <f>D12/F12</f>
        <v>1</v>
      </c>
      <c r="AB12" s="995">
        <f>D12/H12</f>
        <v>1</v>
      </c>
      <c r="AC12" s="995">
        <f>D12/J12</f>
        <v>1</v>
      </c>
    </row>
    <row r="13" spans="1:29" ht="15.75" thickBot="1">
      <c r="A13" s="2214"/>
      <c r="B13" s="2220">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684"/>
      <c r="Q13" s="816">
        <f t="shared" si="6"/>
        <v>111</v>
      </c>
      <c r="R13" s="1302" t="s">
        <v>5</v>
      </c>
      <c r="S13" s="1303">
        <f t="shared" si="0"/>
        <v>100</v>
      </c>
      <c r="T13" s="1302" t="s">
        <v>5</v>
      </c>
      <c r="U13" s="1303">
        <f t="shared" si="1"/>
        <v>100</v>
      </c>
      <c r="V13" s="1302" t="s">
        <v>5</v>
      </c>
      <c r="W13" s="1303">
        <f t="shared" si="2"/>
        <v>100</v>
      </c>
      <c r="X13" s="1304"/>
      <c r="Y13" s="3632"/>
      <c r="Z13" s="995">
        <f t="shared" si="7"/>
        <v>111</v>
      </c>
      <c r="AA13" s="995">
        <f t="shared" si="3"/>
        <v>1</v>
      </c>
      <c r="AB13" s="995">
        <f t="shared" si="4"/>
        <v>1</v>
      </c>
      <c r="AC13" s="995">
        <f t="shared" si="5"/>
        <v>1</v>
      </c>
    </row>
    <row r="14" spans="1:29" ht="85.5">
      <c r="A14" s="2206" t="s">
        <v>2035</v>
      </c>
      <c r="B14" s="496" t="s">
        <v>492</v>
      </c>
      <c r="C14" s="841"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102</v>
      </c>
      <c r="I14" s="499"/>
      <c r="J14" s="498">
        <f>SUMIF(63:63,I15,64:64)-SUMIF(63:63,C15,64:64)+100</f>
        <v>100</v>
      </c>
      <c r="K14" s="820">
        <v>2</v>
      </c>
      <c r="L14" s="1748"/>
      <c r="M14" s="1741"/>
      <c r="N14" s="1741"/>
      <c r="O14" s="1747"/>
      <c r="P14" s="3717" t="s">
        <v>489</v>
      </c>
      <c r="Q14" s="1305" t="str">
        <f t="shared" si="6"/>
        <v>交通便捷度</v>
      </c>
      <c r="R14" s="1306" t="s">
        <v>5</v>
      </c>
      <c r="S14" s="1307">
        <f t="shared" si="0"/>
        <v>100</v>
      </c>
      <c r="T14" s="1306" t="s">
        <v>5</v>
      </c>
      <c r="U14" s="1307">
        <f t="shared" si="1"/>
        <v>102</v>
      </c>
      <c r="V14" s="1306" t="s">
        <v>5</v>
      </c>
      <c r="W14" s="1307">
        <f t="shared" si="2"/>
        <v>100</v>
      </c>
      <c r="X14" s="1301"/>
      <c r="Y14" s="3717" t="s">
        <v>489</v>
      </c>
      <c r="Z14" s="1308" t="str">
        <f t="shared" si="7"/>
        <v>交通便捷度</v>
      </c>
      <c r="AA14" s="1308">
        <f t="shared" si="3"/>
        <v>1</v>
      </c>
      <c r="AB14" s="1308">
        <f t="shared" si="4"/>
        <v>0.98039215686274506</v>
      </c>
      <c r="AC14" s="1308">
        <f t="shared" si="5"/>
        <v>1</v>
      </c>
    </row>
    <row r="15" spans="1:29" ht="15">
      <c r="A15" s="465"/>
      <c r="B15" s="844"/>
      <c r="C15" s="525" t="s">
        <v>3364</v>
      </c>
      <c r="D15" s="504"/>
      <c r="E15" s="525" t="s">
        <v>3364</v>
      </c>
      <c r="F15" s="506"/>
      <c r="G15" s="525" t="s">
        <v>3363</v>
      </c>
      <c r="H15" s="508"/>
      <c r="I15" s="525" t="s">
        <v>3364</v>
      </c>
      <c r="J15" s="504"/>
      <c r="K15" s="821"/>
      <c r="L15" s="1748"/>
      <c r="M15" s="1741"/>
      <c r="N15" s="1741"/>
      <c r="O15" s="1747"/>
      <c r="P15" s="3718"/>
      <c r="Q15" s="1305"/>
      <c r="R15" s="1306"/>
      <c r="S15" s="1307"/>
      <c r="T15" s="1306"/>
      <c r="U15" s="1307"/>
      <c r="V15" s="1306"/>
      <c r="W15" s="1307"/>
      <c r="X15" s="1301"/>
      <c r="Y15" s="3718"/>
      <c r="Z15" s="1308"/>
      <c r="AA15" s="1308">
        <v>1</v>
      </c>
      <c r="AB15" s="1308">
        <v>1</v>
      </c>
      <c r="AC15" s="1308">
        <v>1</v>
      </c>
    </row>
    <row r="16" spans="1:29" ht="42.75">
      <c r="A16" s="465"/>
      <c r="B16" s="2061" t="s">
        <v>1829</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103</v>
      </c>
      <c r="I16" s="519"/>
      <c r="J16" s="514">
        <f>SUMIF(65:65,I17,66:66)-SUMIF(65:65,C17,66:66)+100</f>
        <v>100</v>
      </c>
      <c r="K16" s="820">
        <v>3</v>
      </c>
      <c r="L16" s="1748"/>
      <c r="M16" s="1741"/>
      <c r="N16" s="1741"/>
      <c r="O16" s="1747"/>
      <c r="P16" s="3718"/>
      <c r="Q16" s="1305" t="str">
        <f>B16</f>
        <v>公共配套设施</v>
      </c>
      <c r="R16" s="1306" t="s">
        <v>5</v>
      </c>
      <c r="S16" s="1307">
        <f>F16</f>
        <v>100</v>
      </c>
      <c r="T16" s="1306" t="s">
        <v>5</v>
      </c>
      <c r="U16" s="1307">
        <f>H16</f>
        <v>103</v>
      </c>
      <c r="V16" s="1306" t="s">
        <v>5</v>
      </c>
      <c r="W16" s="1307">
        <f>J16</f>
        <v>100</v>
      </c>
      <c r="X16" s="1301"/>
      <c r="Y16" s="3718"/>
      <c r="Z16" s="1308" t="str">
        <f>Q16</f>
        <v>公共配套设施</v>
      </c>
      <c r="AA16" s="1308">
        <f t="shared" si="3"/>
        <v>1</v>
      </c>
      <c r="AB16" s="1308">
        <f t="shared" si="4"/>
        <v>0.970873786407767</v>
      </c>
      <c r="AC16" s="1308">
        <f t="shared" si="5"/>
        <v>1</v>
      </c>
    </row>
    <row r="17" spans="1:29" ht="15">
      <c r="A17" s="465"/>
      <c r="B17" s="515"/>
      <c r="C17" s="801" t="s">
        <v>3364</v>
      </c>
      <c r="D17" s="504"/>
      <c r="E17" s="801" t="s">
        <v>3364</v>
      </c>
      <c r="F17" s="506"/>
      <c r="G17" s="801" t="s">
        <v>3363</v>
      </c>
      <c r="H17" s="504"/>
      <c r="I17" s="801" t="s">
        <v>3364</v>
      </c>
      <c r="J17" s="504"/>
      <c r="K17" s="821"/>
      <c r="L17" s="1748"/>
      <c r="M17" s="1741"/>
      <c r="N17" s="1741"/>
      <c r="O17" s="1747"/>
      <c r="P17" s="3718"/>
      <c r="Q17" s="1305"/>
      <c r="R17" s="1306"/>
      <c r="S17" s="1307"/>
      <c r="T17" s="1306"/>
      <c r="U17" s="1307"/>
      <c r="V17" s="1306"/>
      <c r="W17" s="1307"/>
      <c r="X17" s="1301"/>
      <c r="Y17" s="3718"/>
      <c r="Z17" s="1308"/>
      <c r="AA17" s="1308">
        <v>1</v>
      </c>
      <c r="AB17" s="1308">
        <v>1</v>
      </c>
      <c r="AC17" s="1308">
        <v>1</v>
      </c>
    </row>
    <row r="18" spans="1:29" ht="28.5">
      <c r="A18" s="465"/>
      <c r="B18" s="2049" t="s">
        <v>1841</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0">
        <v>1</v>
      </c>
      <c r="L18" s="1748"/>
      <c r="M18" s="1741"/>
      <c r="N18" s="1741"/>
      <c r="O18" s="1747"/>
      <c r="P18" s="3718"/>
      <c r="Q18" s="1305" t="str">
        <f>B18</f>
        <v>基础设施水平</v>
      </c>
      <c r="R18" s="1306" t="s">
        <v>5</v>
      </c>
      <c r="S18" s="1307">
        <f>F18</f>
        <v>100</v>
      </c>
      <c r="T18" s="1306" t="s">
        <v>5</v>
      </c>
      <c r="U18" s="1307">
        <f>H18</f>
        <v>100</v>
      </c>
      <c r="V18" s="1306" t="s">
        <v>5</v>
      </c>
      <c r="W18" s="1307">
        <f>J18</f>
        <v>100</v>
      </c>
      <c r="X18" s="1301"/>
      <c r="Y18" s="3718"/>
      <c r="Z18" s="1308" t="str">
        <f>Q18</f>
        <v>基础设施水平</v>
      </c>
      <c r="AA18" s="1308">
        <f>D18/F18</f>
        <v>1</v>
      </c>
      <c r="AB18" s="1308">
        <f>D18/H18</f>
        <v>1</v>
      </c>
      <c r="AC18" s="1308">
        <f>D18/J18</f>
        <v>1</v>
      </c>
    </row>
    <row r="19" spans="1:29" ht="15">
      <c r="A19" s="465"/>
      <c r="B19" s="527"/>
      <c r="C19" s="801" t="s">
        <v>3365</v>
      </c>
      <c r="D19" s="508"/>
      <c r="E19" s="801" t="s">
        <v>3365</v>
      </c>
      <c r="F19" s="506"/>
      <c r="G19" s="801" t="s">
        <v>3365</v>
      </c>
      <c r="H19" s="504"/>
      <c r="I19" s="801" t="s">
        <v>3365</v>
      </c>
      <c r="J19" s="504"/>
      <c r="K19" s="2060"/>
      <c r="L19" s="1748"/>
      <c r="M19" s="1741"/>
      <c r="N19" s="1741"/>
      <c r="O19" s="1747"/>
      <c r="P19" s="3718"/>
      <c r="Q19" s="1305"/>
      <c r="R19" s="1306"/>
      <c r="S19" s="1307"/>
      <c r="T19" s="1306"/>
      <c r="U19" s="1307"/>
      <c r="V19" s="1306"/>
      <c r="W19" s="1307"/>
      <c r="X19" s="1301"/>
      <c r="Y19" s="3718"/>
      <c r="Z19" s="1308"/>
      <c r="AA19" s="1308">
        <v>1</v>
      </c>
      <c r="AB19" s="1308">
        <v>1</v>
      </c>
      <c r="AC19" s="1308">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0">
        <v>3</v>
      </c>
      <c r="L20" s="1748"/>
      <c r="M20" s="1741"/>
      <c r="N20" s="1741"/>
      <c r="O20" s="1747"/>
      <c r="P20" s="3718"/>
      <c r="Q20" s="1305" t="str">
        <f>B20</f>
        <v>自然及人文环境</v>
      </c>
      <c r="R20" s="1306" t="s">
        <v>5</v>
      </c>
      <c r="S20" s="1307">
        <f>F20</f>
        <v>100</v>
      </c>
      <c r="T20" s="1306" t="s">
        <v>5</v>
      </c>
      <c r="U20" s="1307">
        <f>H20</f>
        <v>100</v>
      </c>
      <c r="V20" s="1306" t="s">
        <v>5</v>
      </c>
      <c r="W20" s="1307">
        <f>J20</f>
        <v>100</v>
      </c>
      <c r="X20" s="1301"/>
      <c r="Y20" s="3718"/>
      <c r="Z20" s="1308" t="str">
        <f>Q20</f>
        <v>自然及人文环境</v>
      </c>
      <c r="AA20" s="1308">
        <f t="shared" si="3"/>
        <v>1</v>
      </c>
      <c r="AB20" s="1308">
        <f t="shared" si="4"/>
        <v>1</v>
      </c>
      <c r="AC20" s="1308">
        <f t="shared" si="5"/>
        <v>1</v>
      </c>
    </row>
    <row r="21" spans="1:29" ht="15">
      <c r="A21" s="465"/>
      <c r="B21" s="515"/>
      <c r="C21" s="525" t="s">
        <v>3363</v>
      </c>
      <c r="D21" s="504"/>
      <c r="E21" s="525" t="s">
        <v>3363</v>
      </c>
      <c r="F21" s="506"/>
      <c r="G21" s="525" t="s">
        <v>3363</v>
      </c>
      <c r="H21" s="504"/>
      <c r="I21" s="525" t="s">
        <v>3363</v>
      </c>
      <c r="J21" s="504"/>
      <c r="K21" s="821"/>
      <c r="L21" s="1748"/>
      <c r="M21" s="1741"/>
      <c r="N21" s="1741"/>
      <c r="O21" s="1747"/>
      <c r="P21" s="3718"/>
      <c r="Q21" s="1305"/>
      <c r="R21" s="1306"/>
      <c r="S21" s="1307"/>
      <c r="T21" s="1306"/>
      <c r="U21" s="1307"/>
      <c r="V21" s="1306"/>
      <c r="W21" s="1307"/>
      <c r="X21" s="1301"/>
      <c r="Y21" s="3718"/>
      <c r="Z21" s="1308"/>
      <c r="AA21" s="1308">
        <v>1</v>
      </c>
      <c r="AB21" s="1308">
        <v>1</v>
      </c>
      <c r="AC21" s="1308">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718"/>
      <c r="Q22" s="1305" t="str">
        <f>B22</f>
        <v>楼层</v>
      </c>
      <c r="R22" s="1306" t="s">
        <v>5</v>
      </c>
      <c r="S22" s="1307">
        <f>F22</f>
        <v>100</v>
      </c>
      <c r="T22" s="1306" t="s">
        <v>5</v>
      </c>
      <c r="U22" s="1307">
        <f>H22</f>
        <v>100</v>
      </c>
      <c r="V22" s="1306" t="s">
        <v>5</v>
      </c>
      <c r="W22" s="1307">
        <f>J22</f>
        <v>100</v>
      </c>
      <c r="X22" s="1301"/>
      <c r="Y22" s="3718"/>
      <c r="Z22" s="1308" t="str">
        <f>Q22</f>
        <v>楼层</v>
      </c>
      <c r="AA22" s="1308">
        <f t="shared" si="3"/>
        <v>1</v>
      </c>
      <c r="AB22" s="1308">
        <f t="shared" si="4"/>
        <v>1</v>
      </c>
      <c r="AC22" s="1308">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718"/>
      <c r="Q23" s="1305">
        <f>B23</f>
        <v>111</v>
      </c>
      <c r="R23" s="1306" t="s">
        <v>5</v>
      </c>
      <c r="S23" s="1307">
        <f>F23</f>
        <v>100</v>
      </c>
      <c r="T23" s="1306" t="s">
        <v>5</v>
      </c>
      <c r="U23" s="1307">
        <f>H23</f>
        <v>100</v>
      </c>
      <c r="V23" s="1306" t="s">
        <v>5</v>
      </c>
      <c r="W23" s="1307">
        <f>J23</f>
        <v>100</v>
      </c>
      <c r="X23" s="1301"/>
      <c r="Y23" s="3718"/>
      <c r="Z23" s="1308">
        <f>Q23</f>
        <v>111</v>
      </c>
      <c r="AA23" s="1308">
        <f t="shared" si="3"/>
        <v>1</v>
      </c>
      <c r="AB23" s="1308">
        <f t="shared" si="4"/>
        <v>1</v>
      </c>
      <c r="AC23" s="1308">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718"/>
      <c r="Q24" s="1305">
        <f t="shared" ref="Q24:Q36" si="8">B24</f>
        <v>111</v>
      </c>
      <c r="R24" s="1306" t="s">
        <v>5</v>
      </c>
      <c r="S24" s="1307">
        <f>F24</f>
        <v>100</v>
      </c>
      <c r="T24" s="1306" t="s">
        <v>5</v>
      </c>
      <c r="U24" s="1307">
        <f>H24</f>
        <v>100</v>
      </c>
      <c r="V24" s="1306" t="s">
        <v>5</v>
      </c>
      <c r="W24" s="1307">
        <f>J24</f>
        <v>100</v>
      </c>
      <c r="X24" s="1301"/>
      <c r="Y24" s="3718"/>
      <c r="Z24" s="1308">
        <f>Q24</f>
        <v>111</v>
      </c>
      <c r="AA24" s="1308">
        <f t="shared" si="3"/>
        <v>1</v>
      </c>
      <c r="AB24" s="1308">
        <f t="shared" si="4"/>
        <v>1</v>
      </c>
      <c r="AC24" s="1308">
        <f t="shared" si="5"/>
        <v>1</v>
      </c>
    </row>
    <row r="25" spans="1:29" s="1058" customFormat="1" ht="15.75" thickBot="1">
      <c r="A25" s="526"/>
      <c r="B25" s="835">
        <v>111</v>
      </c>
      <c r="C25" s="494"/>
      <c r="D25" s="845">
        <v>100</v>
      </c>
      <c r="E25" s="832"/>
      <c r="F25" s="846">
        <f>SUMIF(77:77,E25,78:78)-SUMIF(77:77,C25,78:78)+100</f>
        <v>100</v>
      </c>
      <c r="G25" s="832"/>
      <c r="H25" s="845">
        <f>SUMIF(77:77,G25,78:78)-SUMIF(77:77,C25,78:78)+100</f>
        <v>100</v>
      </c>
      <c r="I25" s="832"/>
      <c r="J25" s="845">
        <f>SUMIF(77:77,I25,78:78)-SUMIF(77:77,C25,78:78)+100</f>
        <v>100</v>
      </c>
      <c r="K25" s="530"/>
      <c r="L25" s="1742"/>
      <c r="M25" s="1639"/>
      <c r="N25" s="1639"/>
      <c r="O25" s="1743"/>
      <c r="P25" s="3718"/>
      <c r="Q25" s="816">
        <f t="shared" si="8"/>
        <v>111</v>
      </c>
      <c r="R25" s="1302" t="s">
        <v>5</v>
      </c>
      <c r="S25" s="1303">
        <f>F25</f>
        <v>100</v>
      </c>
      <c r="T25" s="1302" t="s">
        <v>5</v>
      </c>
      <c r="U25" s="1303">
        <f>H25</f>
        <v>100</v>
      </c>
      <c r="V25" s="1302" t="s">
        <v>5</v>
      </c>
      <c r="W25" s="1303">
        <f>J25</f>
        <v>100</v>
      </c>
      <c r="X25" s="1304"/>
      <c r="Y25" s="3718"/>
      <c r="Z25" s="995">
        <f>Q25</f>
        <v>111</v>
      </c>
      <c r="AA25" s="1308">
        <f>D25/F25</f>
        <v>1</v>
      </c>
      <c r="AB25" s="1308">
        <f>D25/H25</f>
        <v>1</v>
      </c>
      <c r="AC25" s="1308">
        <f>D25/J25</f>
        <v>1</v>
      </c>
    </row>
    <row r="26" spans="1:29" ht="15">
      <c r="A26" s="2203" t="s">
        <v>2036</v>
      </c>
      <c r="B26" s="153" t="s">
        <v>746</v>
      </c>
      <c r="C26" s="847"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v>2</v>
      </c>
      <c r="L26" s="1748"/>
      <c r="M26" s="1741"/>
      <c r="N26" s="1741"/>
      <c r="O26" s="1747"/>
      <c r="P26" s="3719"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20" t="s">
        <v>499</v>
      </c>
      <c r="Z26" s="1308" t="str">
        <f t="shared" ref="Z26:Z36" si="12">Q26</f>
        <v>配套类型</v>
      </c>
      <c r="AA26" s="1308">
        <f t="shared" si="3"/>
        <v>1</v>
      </c>
      <c r="AB26" s="1308">
        <f t="shared" si="4"/>
        <v>1</v>
      </c>
      <c r="AC26" s="1308">
        <f t="shared" si="5"/>
        <v>1</v>
      </c>
    </row>
    <row r="27" spans="1:29" s="1132" customFormat="1" ht="15" hidden="1">
      <c r="A27" s="848"/>
      <c r="B27" s="234" t="s">
        <v>747</v>
      </c>
      <c r="C27" s="849"/>
      <c r="D27" s="234">
        <v>100</v>
      </c>
      <c r="E27" s="849"/>
      <c r="F27" s="524">
        <f>SUMIF(81:81,E27,82:82)-SUMIF(81:81,C27,82:82)+100</f>
        <v>100</v>
      </c>
      <c r="G27" s="849"/>
      <c r="H27" s="489">
        <f>SUMIF(81:81,G27,82:82)-SUMIF(81:81,C27,82:82)+100</f>
        <v>100</v>
      </c>
      <c r="I27" s="849"/>
      <c r="J27" s="489">
        <f>SUMIF(81:81,I27,82:82)-SUMIF(81:81,C27,82:82)+100</f>
        <v>100</v>
      </c>
      <c r="K27" s="530"/>
      <c r="L27" s="1746"/>
      <c r="M27" s="1770"/>
      <c r="N27" s="1770"/>
      <c r="O27" s="1749"/>
      <c r="P27" s="3720"/>
      <c r="Q27" s="817" t="str">
        <f t="shared" si="8"/>
        <v>项目停车位配比</v>
      </c>
      <c r="R27" s="1309" t="s">
        <v>5</v>
      </c>
      <c r="S27" s="1310">
        <f t="shared" si="9"/>
        <v>100</v>
      </c>
      <c r="T27" s="1309" t="s">
        <v>5</v>
      </c>
      <c r="U27" s="1310">
        <f t="shared" si="10"/>
        <v>100</v>
      </c>
      <c r="V27" s="1309" t="s">
        <v>5</v>
      </c>
      <c r="W27" s="1310">
        <f t="shared" si="11"/>
        <v>100</v>
      </c>
      <c r="X27" s="1311"/>
      <c r="Y27" s="3720"/>
      <c r="Z27" s="1312" t="str">
        <f t="shared" si="12"/>
        <v>项目停车位配比</v>
      </c>
      <c r="AA27" s="1308">
        <f t="shared" si="3"/>
        <v>1</v>
      </c>
      <c r="AB27" s="1308">
        <f t="shared" si="4"/>
        <v>1</v>
      </c>
      <c r="AC27" s="1308">
        <f t="shared" si="5"/>
        <v>1</v>
      </c>
    </row>
    <row r="28" spans="1:29" ht="15">
      <c r="A28" s="850"/>
      <c r="B28" s="234" t="s">
        <v>748</v>
      </c>
      <c r="C28" s="523" t="s">
        <v>3670</v>
      </c>
      <c r="D28" s="489">
        <v>100</v>
      </c>
      <c r="E28" s="523" t="s">
        <v>3670</v>
      </c>
      <c r="F28" s="524">
        <f>SUMIF(83:83,E28,84:84)-SUMIF(83:83,C28,84:84)+100</f>
        <v>100</v>
      </c>
      <c r="G28" s="523" t="s">
        <v>3670</v>
      </c>
      <c r="H28" s="489">
        <f>SUMIF(83:83,G28,84:84)-SUMIF(83:83,C28,84:84)+100</f>
        <v>100</v>
      </c>
      <c r="I28" s="523" t="s">
        <v>3670</v>
      </c>
      <c r="J28" s="489">
        <f>SUMIF(83:83,I28,84:84)-SUMIF(83:83,C28,84:84)+100</f>
        <v>100</v>
      </c>
      <c r="K28" s="532">
        <v>1</v>
      </c>
      <c r="L28" s="1748"/>
      <c r="M28" s="1741"/>
      <c r="N28" s="1741"/>
      <c r="O28" s="1747"/>
      <c r="P28" s="3720"/>
      <c r="Q28" s="1305" t="str">
        <f t="shared" si="8"/>
        <v>公共部分装修</v>
      </c>
      <c r="R28" s="1306" t="s">
        <v>5</v>
      </c>
      <c r="S28" s="1307">
        <f t="shared" si="9"/>
        <v>100</v>
      </c>
      <c r="T28" s="1306" t="s">
        <v>5</v>
      </c>
      <c r="U28" s="1307">
        <f t="shared" si="10"/>
        <v>100</v>
      </c>
      <c r="V28" s="1306" t="s">
        <v>5</v>
      </c>
      <c r="W28" s="1307">
        <f t="shared" si="11"/>
        <v>100</v>
      </c>
      <c r="X28" s="1301"/>
      <c r="Y28" s="3720"/>
      <c r="Z28" s="1308" t="str">
        <f t="shared" si="12"/>
        <v>公共部分装修</v>
      </c>
      <c r="AA28" s="1308">
        <f t="shared" si="3"/>
        <v>1</v>
      </c>
      <c r="AB28" s="1308">
        <f t="shared" si="4"/>
        <v>1</v>
      </c>
      <c r="AC28" s="1308">
        <f t="shared" si="5"/>
        <v>1</v>
      </c>
    </row>
    <row r="29" spans="1:29" ht="15">
      <c r="A29" s="850"/>
      <c r="B29" s="234" t="s">
        <v>749</v>
      </c>
      <c r="C29" s="3431">
        <v>1</v>
      </c>
      <c r="D29" s="489">
        <v>100</v>
      </c>
      <c r="E29" s="806">
        <v>1</v>
      </c>
      <c r="F29" s="524">
        <f>LOOKUP(E29,86:86,87:87)-LOOKUP(C29,86:86,87:87)+100</f>
        <v>100</v>
      </c>
      <c r="G29" s="806">
        <v>1</v>
      </c>
      <c r="H29" s="524">
        <f>LOOKUP(G29,86:86,87:87)-LOOKUP(C29,86:86,87:87)+100</f>
        <v>100</v>
      </c>
      <c r="I29" s="806">
        <v>1</v>
      </c>
      <c r="J29" s="489">
        <f>LOOKUP(I29,86:86,87:87)-LOOKUP(C29,86:86,87:87)+100</f>
        <v>100</v>
      </c>
      <c r="K29" s="532">
        <v>1</v>
      </c>
      <c r="L29" s="1748"/>
      <c r="M29" s="1741"/>
      <c r="N29" s="1741"/>
      <c r="O29" s="1747"/>
      <c r="P29" s="3720"/>
      <c r="Q29" s="1305" t="str">
        <f t="shared" si="8"/>
        <v>成新率</v>
      </c>
      <c r="R29" s="1306" t="s">
        <v>5</v>
      </c>
      <c r="S29" s="1307">
        <f t="shared" si="9"/>
        <v>100</v>
      </c>
      <c r="T29" s="1306" t="s">
        <v>5</v>
      </c>
      <c r="U29" s="1307">
        <f t="shared" si="10"/>
        <v>100</v>
      </c>
      <c r="V29" s="1306" t="s">
        <v>5</v>
      </c>
      <c r="W29" s="1307">
        <f t="shared" si="11"/>
        <v>100</v>
      </c>
      <c r="X29" s="1301"/>
      <c r="Y29" s="3720"/>
      <c r="Z29" s="1308" t="str">
        <f t="shared" si="12"/>
        <v>成新率</v>
      </c>
      <c r="AA29" s="1308">
        <f t="shared" si="3"/>
        <v>1</v>
      </c>
      <c r="AB29" s="1308">
        <f t="shared" si="4"/>
        <v>1</v>
      </c>
      <c r="AC29" s="1308">
        <f t="shared" si="5"/>
        <v>1</v>
      </c>
    </row>
    <row r="30" spans="1:29" ht="15">
      <c r="A30" s="850"/>
      <c r="B30" s="234" t="s">
        <v>750</v>
      </c>
      <c r="C30" s="851" t="s">
        <v>3425</v>
      </c>
      <c r="D30" s="489">
        <v>100</v>
      </c>
      <c r="E30" s="851" t="s">
        <v>3425</v>
      </c>
      <c r="F30" s="524">
        <f>SUMIF(88:88,E30,89:89)-SUMIF(88:88,C30,89:89)+100</f>
        <v>100</v>
      </c>
      <c r="G30" s="851" t="s">
        <v>3425</v>
      </c>
      <c r="H30" s="489">
        <f>SUMIF(88:88,E30,89:89)-SUMIF(88:88,C30,89:89)+100</f>
        <v>100</v>
      </c>
      <c r="I30" s="851" t="s">
        <v>3425</v>
      </c>
      <c r="J30" s="489">
        <f>SUMIF(88:88,E30,89:89)-SUMIF(88:88,C30,89:89)+100</f>
        <v>100</v>
      </c>
      <c r="K30" s="532">
        <v>1</v>
      </c>
      <c r="L30" s="1748"/>
      <c r="M30" s="1741"/>
      <c r="N30" s="1741"/>
      <c r="O30" s="1747"/>
      <c r="P30" s="3720"/>
      <c r="Q30" s="1305" t="str">
        <f t="shared" si="8"/>
        <v>物业等级</v>
      </c>
      <c r="R30" s="1306" t="s">
        <v>5</v>
      </c>
      <c r="S30" s="1307">
        <f t="shared" si="9"/>
        <v>100</v>
      </c>
      <c r="T30" s="1306" t="s">
        <v>5</v>
      </c>
      <c r="U30" s="1307">
        <f t="shared" si="10"/>
        <v>100</v>
      </c>
      <c r="V30" s="1306" t="s">
        <v>5</v>
      </c>
      <c r="W30" s="1307">
        <f t="shared" si="11"/>
        <v>100</v>
      </c>
      <c r="X30" s="1301"/>
      <c r="Y30" s="3720"/>
      <c r="Z30" s="1308" t="str">
        <f t="shared" si="12"/>
        <v>物业等级</v>
      </c>
      <c r="AA30" s="1308">
        <f t="shared" si="3"/>
        <v>1</v>
      </c>
      <c r="AB30" s="1308">
        <f t="shared" si="4"/>
        <v>1</v>
      </c>
      <c r="AC30" s="1308">
        <f t="shared" si="5"/>
        <v>1</v>
      </c>
    </row>
    <row r="31" spans="1:29" s="1058" customFormat="1" ht="15">
      <c r="A31" s="852"/>
      <c r="B31" s="234" t="s">
        <v>751</v>
      </c>
      <c r="C31" s="804">
        <f>工规面积指标!M34</f>
        <v>32.96</v>
      </c>
      <c r="D31" s="234">
        <v>100</v>
      </c>
      <c r="E31" s="804">
        <v>32</v>
      </c>
      <c r="F31" s="524">
        <f>LOOKUP(E31,91:91,92:92)-LOOKUP(C31,91:91,92:92)+100</f>
        <v>100</v>
      </c>
      <c r="G31" s="804">
        <v>36</v>
      </c>
      <c r="H31" s="489">
        <f>LOOKUP(G31,91:91,92:92)-LOOKUP(C31,91:91,92:92)+100</f>
        <v>100</v>
      </c>
      <c r="I31" s="804">
        <v>34</v>
      </c>
      <c r="J31" s="489">
        <f>LOOKUP(I31,91:91,92:92)-LOOKUP(C31,91:91,92:92)+100</f>
        <v>100</v>
      </c>
      <c r="K31" s="532">
        <v>0</v>
      </c>
      <c r="L31" s="1742"/>
      <c r="M31" s="1639"/>
      <c r="N31" s="1639"/>
      <c r="O31" s="1743"/>
      <c r="P31" s="3720"/>
      <c r="Q31" s="816" t="str">
        <f t="shared" si="8"/>
        <v>停车位面积</v>
      </c>
      <c r="R31" s="1302" t="s">
        <v>5</v>
      </c>
      <c r="S31" s="1303">
        <f t="shared" si="9"/>
        <v>100</v>
      </c>
      <c r="T31" s="1302" t="s">
        <v>5</v>
      </c>
      <c r="U31" s="1303">
        <f t="shared" si="10"/>
        <v>100</v>
      </c>
      <c r="V31" s="1302" t="s">
        <v>5</v>
      </c>
      <c r="W31" s="1303">
        <f t="shared" si="11"/>
        <v>100</v>
      </c>
      <c r="X31" s="1304"/>
      <c r="Y31" s="3720"/>
      <c r="Z31" s="995" t="str">
        <f t="shared" si="12"/>
        <v>停车位面积</v>
      </c>
      <c r="AA31" s="995">
        <f t="shared" si="3"/>
        <v>1</v>
      </c>
      <c r="AB31" s="995">
        <f t="shared" si="4"/>
        <v>1</v>
      </c>
      <c r="AC31" s="995">
        <f t="shared" si="5"/>
        <v>1</v>
      </c>
    </row>
    <row r="32" spans="1:29" ht="15">
      <c r="A32" s="850"/>
      <c r="B32" s="234" t="s">
        <v>752</v>
      </c>
      <c r="C32" s="523" t="s">
        <v>3678</v>
      </c>
      <c r="D32" s="489">
        <v>100</v>
      </c>
      <c r="E32" s="523" t="s">
        <v>3678</v>
      </c>
      <c r="F32" s="524">
        <f>SUMIF(93:93,E32,94:94)-SUMIF(93:93,C32,94:94)+100</f>
        <v>100</v>
      </c>
      <c r="G32" s="523" t="s">
        <v>3678</v>
      </c>
      <c r="H32" s="489">
        <f>SUMIF(93:93,G32,94:94)-SUMIF(93:93,C32,94:94)+100</f>
        <v>100</v>
      </c>
      <c r="I32" s="523" t="s">
        <v>3678</v>
      </c>
      <c r="J32" s="489">
        <f>SUMIF(93:93,I32,94:94)-SUMIF(93:93,C32,94:94)+100</f>
        <v>100</v>
      </c>
      <c r="K32" s="532">
        <v>5</v>
      </c>
      <c r="L32" s="1748"/>
      <c r="M32" s="1741"/>
      <c r="N32" s="1741"/>
      <c r="O32" s="1747"/>
      <c r="P32" s="3720" t="s">
        <v>499</v>
      </c>
      <c r="Q32" s="1305" t="str">
        <f t="shared" si="8"/>
        <v>车位类型</v>
      </c>
      <c r="R32" s="1306" t="s">
        <v>5</v>
      </c>
      <c r="S32" s="1307">
        <f t="shared" si="9"/>
        <v>100</v>
      </c>
      <c r="T32" s="1306" t="s">
        <v>5</v>
      </c>
      <c r="U32" s="1307">
        <f t="shared" si="10"/>
        <v>100</v>
      </c>
      <c r="V32" s="1306" t="s">
        <v>5</v>
      </c>
      <c r="W32" s="1307">
        <f t="shared" si="11"/>
        <v>100</v>
      </c>
      <c r="X32" s="1301"/>
      <c r="Y32" s="3720" t="s">
        <v>499</v>
      </c>
      <c r="Z32" s="1308" t="str">
        <f t="shared" si="12"/>
        <v>车位类型</v>
      </c>
      <c r="AA32" s="1308">
        <f t="shared" si="3"/>
        <v>1</v>
      </c>
      <c r="AB32" s="1308">
        <f t="shared" si="4"/>
        <v>1</v>
      </c>
      <c r="AC32" s="1308">
        <f t="shared" si="5"/>
        <v>1</v>
      </c>
    </row>
    <row r="33" spans="1:29" ht="15">
      <c r="A33" s="850"/>
      <c r="B33" s="234" t="s">
        <v>753</v>
      </c>
      <c r="C33" s="523" t="s">
        <v>3279</v>
      </c>
      <c r="D33" s="489">
        <v>100</v>
      </c>
      <c r="E33" s="523" t="s">
        <v>3279</v>
      </c>
      <c r="F33" s="524">
        <f>SUMIF(95:95,E33,96:96)-SUMIF(95:95,C33,96:96)+100</f>
        <v>100</v>
      </c>
      <c r="G33" s="523" t="s">
        <v>3279</v>
      </c>
      <c r="H33" s="489">
        <f>SUMIF(95:95,G33,96:96)-SUMIF(95:95,C33,96:96)+100</f>
        <v>100</v>
      </c>
      <c r="I33" s="523" t="s">
        <v>3279</v>
      </c>
      <c r="J33" s="489">
        <f>SUMIF(95:95,I33,96:96)-SUMIF(95:95,C33,96:96)+100</f>
        <v>100</v>
      </c>
      <c r="K33" s="532">
        <v>1</v>
      </c>
      <c r="L33" s="1748"/>
      <c r="M33" s="1741"/>
      <c r="N33" s="1741"/>
      <c r="O33" s="1747"/>
      <c r="P33" s="3720"/>
      <c r="Q33" s="1305" t="str">
        <f t="shared" si="8"/>
        <v>是否直接入户</v>
      </c>
      <c r="R33" s="1306" t="s">
        <v>5</v>
      </c>
      <c r="S33" s="1307">
        <f t="shared" si="9"/>
        <v>100</v>
      </c>
      <c r="T33" s="1306" t="s">
        <v>5</v>
      </c>
      <c r="U33" s="1307">
        <f t="shared" si="10"/>
        <v>100</v>
      </c>
      <c r="V33" s="1306" t="s">
        <v>5</v>
      </c>
      <c r="W33" s="1307">
        <f t="shared" si="11"/>
        <v>100</v>
      </c>
      <c r="X33" s="1301"/>
      <c r="Y33" s="3720"/>
      <c r="Z33" s="1308" t="str">
        <f t="shared" si="12"/>
        <v>是否直接入户</v>
      </c>
      <c r="AA33" s="1308">
        <f t="shared" si="3"/>
        <v>1</v>
      </c>
      <c r="AB33" s="1308">
        <f t="shared" si="4"/>
        <v>1</v>
      </c>
      <c r="AC33" s="1308">
        <f t="shared" si="5"/>
        <v>1</v>
      </c>
    </row>
    <row r="34" spans="1:29" ht="15">
      <c r="A34" s="850"/>
      <c r="B34" s="3427"/>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720"/>
      <c r="Q34" s="1305">
        <f t="shared" si="8"/>
        <v>0</v>
      </c>
      <c r="R34" s="1306" t="s">
        <v>5</v>
      </c>
      <c r="S34" s="1307">
        <f t="shared" si="9"/>
        <v>100</v>
      </c>
      <c r="T34" s="1306" t="s">
        <v>5</v>
      </c>
      <c r="U34" s="1307">
        <f t="shared" si="10"/>
        <v>100</v>
      </c>
      <c r="V34" s="1306" t="s">
        <v>5</v>
      </c>
      <c r="W34" s="1307">
        <f t="shared" si="11"/>
        <v>100</v>
      </c>
      <c r="X34" s="1301"/>
      <c r="Y34" s="3720"/>
      <c r="Z34" s="1308">
        <f t="shared" si="12"/>
        <v>0</v>
      </c>
      <c r="AA34" s="1308">
        <f t="shared" si="3"/>
        <v>1</v>
      </c>
      <c r="AB34" s="1308">
        <f t="shared" si="4"/>
        <v>1</v>
      </c>
      <c r="AC34" s="1308">
        <f t="shared" si="5"/>
        <v>1</v>
      </c>
    </row>
    <row r="35" spans="1:29" s="1132" customFormat="1" ht="28.5">
      <c r="A35" s="848"/>
      <c r="B35" s="3427" t="s">
        <v>3419</v>
      </c>
      <c r="C35" s="488" t="s">
        <v>3696</v>
      </c>
      <c r="D35" s="489">
        <v>100</v>
      </c>
      <c r="E35" s="477" t="s">
        <v>3675</v>
      </c>
      <c r="F35" s="524">
        <f>SUMIF(99:99,E35,100:100)-SUMIF(99:99,C35,100:100)+100</f>
        <v>100</v>
      </c>
      <c r="G35" s="477" t="s">
        <v>3676</v>
      </c>
      <c r="H35" s="3472">
        <f>SUMIF(99:99,G35,100:100)-SUMIF(99:99,C35,100:100)+100</f>
        <v>130</v>
      </c>
      <c r="I35" s="477" t="s">
        <v>3677</v>
      </c>
      <c r="J35" s="3472">
        <f>SUMIF(99:99,I35,100:100)-SUMIF(99:99,C35,100:100)+100</f>
        <v>135</v>
      </c>
      <c r="K35" s="530"/>
      <c r="L35" s="3450"/>
      <c r="M35" s="3451"/>
      <c r="N35" s="1741"/>
      <c r="O35" s="1749"/>
      <c r="P35" s="3720"/>
      <c r="Q35" s="817" t="str">
        <f t="shared" si="8"/>
        <v>开盘至今整体销售去化情况</v>
      </c>
      <c r="R35" s="1309" t="s">
        <v>5</v>
      </c>
      <c r="S35" s="1310">
        <f t="shared" si="9"/>
        <v>100</v>
      </c>
      <c r="T35" s="1309" t="s">
        <v>5</v>
      </c>
      <c r="U35" s="1310">
        <f t="shared" si="10"/>
        <v>130</v>
      </c>
      <c r="V35" s="1309" t="s">
        <v>5</v>
      </c>
      <c r="W35" s="1310">
        <f t="shared" si="11"/>
        <v>135</v>
      </c>
      <c r="X35" s="1311"/>
      <c r="Y35" s="3720"/>
      <c r="Z35" s="1312" t="str">
        <f t="shared" si="12"/>
        <v>开盘至今整体销售去化情况</v>
      </c>
      <c r="AA35" s="1308">
        <f t="shared" si="3"/>
        <v>1</v>
      </c>
      <c r="AB35" s="1308">
        <f t="shared" si="4"/>
        <v>0.76923076923076927</v>
      </c>
      <c r="AC35" s="1308">
        <f t="shared" si="5"/>
        <v>0.7407407407407407</v>
      </c>
    </row>
    <row r="36" spans="1:29" ht="15.75" thickBot="1">
      <c r="A36" s="853"/>
      <c r="B36" s="835">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3452"/>
      <c r="M36" s="1741"/>
      <c r="N36" s="1741"/>
      <c r="O36" s="1747"/>
      <c r="P36" s="3720"/>
      <c r="Q36" s="1305">
        <f t="shared" si="8"/>
        <v>111</v>
      </c>
      <c r="R36" s="1306" t="s">
        <v>5</v>
      </c>
      <c r="S36" s="1307">
        <f t="shared" si="9"/>
        <v>100</v>
      </c>
      <c r="T36" s="1306" t="s">
        <v>5</v>
      </c>
      <c r="U36" s="1307">
        <f t="shared" si="10"/>
        <v>100</v>
      </c>
      <c r="V36" s="1306" t="s">
        <v>5</v>
      </c>
      <c r="W36" s="1307">
        <f t="shared" si="11"/>
        <v>100</v>
      </c>
      <c r="X36" s="1301"/>
      <c r="Y36" s="3720"/>
      <c r="Z36" s="1308">
        <f t="shared" si="12"/>
        <v>111</v>
      </c>
      <c r="AA36" s="1308">
        <f t="shared" si="3"/>
        <v>1</v>
      </c>
      <c r="AB36" s="1308">
        <f t="shared" si="4"/>
        <v>1</v>
      </c>
      <c r="AC36" s="1308">
        <f t="shared" si="5"/>
        <v>1</v>
      </c>
    </row>
    <row r="37" spans="1:29" ht="15">
      <c r="A37" s="1534" t="s">
        <v>1595</v>
      </c>
      <c r="B37" s="1535" t="s">
        <v>3420</v>
      </c>
      <c r="C37" s="2080" t="s">
        <v>0</v>
      </c>
      <c r="D37" s="558"/>
      <c r="E37" s="559">
        <f>车位!M6</f>
        <v>147964</v>
      </c>
      <c r="F37" s="560"/>
      <c r="G37" s="561">
        <f>车位!M5</f>
        <v>206386</v>
      </c>
      <c r="H37" s="562"/>
      <c r="I37" s="559">
        <f>车位!M9</f>
        <v>213333</v>
      </c>
      <c r="J37" s="562"/>
      <c r="K37" s="1334"/>
      <c r="L37" s="1750"/>
      <c r="M37" s="1741"/>
      <c r="N37" s="1741"/>
      <c r="O37" s="1741"/>
      <c r="P37" s="3684" t="str">
        <f>A37</f>
        <v>成交单价</v>
      </c>
      <c r="Q37" s="3684"/>
      <c r="R37" s="3685">
        <f>E37</f>
        <v>147964</v>
      </c>
      <c r="S37" s="3685"/>
      <c r="T37" s="3685">
        <f>G37</f>
        <v>206386</v>
      </c>
      <c r="U37" s="3685"/>
      <c r="V37" s="3685">
        <f>I37</f>
        <v>213333</v>
      </c>
      <c r="W37" s="3685"/>
      <c r="X37" s="798"/>
      <c r="Y37" s="1313"/>
      <c r="Z37" s="798"/>
      <c r="AA37" s="798"/>
      <c r="AB37" s="798"/>
      <c r="AC37" s="798"/>
    </row>
    <row r="38" spans="1:29" ht="15.75" thickBot="1">
      <c r="A38" s="563" t="s">
        <v>2041</v>
      </c>
      <c r="B38" s="811"/>
      <c r="C38" s="2081">
        <f>R39</f>
        <v>152618</v>
      </c>
      <c r="D38" s="2549" t="s">
        <v>2260</v>
      </c>
      <c r="E38" s="2082">
        <f>R38</f>
        <v>147964</v>
      </c>
      <c r="F38" s="2550">
        <v>0.4</v>
      </c>
      <c r="G38" s="2081">
        <f>T38</f>
        <v>151112</v>
      </c>
      <c r="H38" s="2550">
        <v>0.2</v>
      </c>
      <c r="I38" s="2082">
        <f>V38</f>
        <v>158024</v>
      </c>
      <c r="J38" s="2550">
        <v>0.4</v>
      </c>
      <c r="K38" s="2557">
        <f>F38+H38+J38</f>
        <v>1</v>
      </c>
      <c r="L38" s="1750"/>
      <c r="M38" s="1741"/>
      <c r="N38" s="1741"/>
      <c r="O38" s="1741"/>
      <c r="P38" s="3684" t="str">
        <f>A38</f>
        <v>比较价格（元/平方米）</v>
      </c>
      <c r="Q38" s="3684"/>
      <c r="R38" s="3685">
        <f>IF(F1="售价",ROUND(PRODUCT(R37,AA7:AA36),0),ROUND(PRODUCT(R37,AA7:AA36),1))</f>
        <v>147964</v>
      </c>
      <c r="S38" s="3685"/>
      <c r="T38" s="3685">
        <f>IF(F1="售价",ROUND(PRODUCT(T37,AB7:AB36),0),ROUND(PRODUCT(T37,AB7:AB36),1))</f>
        <v>151112</v>
      </c>
      <c r="U38" s="3685"/>
      <c r="V38" s="3685">
        <f>IF(F1="售价",ROUND(PRODUCT(V37,AC7:AC36),0),ROUND(PRODUCT(V37,AC7:AC36),1))</f>
        <v>158024</v>
      </c>
      <c r="W38" s="3685"/>
      <c r="X38" s="798"/>
      <c r="Y38" s="798"/>
      <c r="Z38" s="798"/>
      <c r="AA38" s="798"/>
      <c r="AB38" s="798"/>
      <c r="AC38" s="798"/>
    </row>
    <row r="39" spans="1:29" ht="15.75" thickBot="1">
      <c r="A39" s="567" t="s">
        <v>2196</v>
      </c>
      <c r="B39" s="568"/>
      <c r="C39" s="468">
        <f>R39</f>
        <v>152618</v>
      </c>
      <c r="D39" s="468"/>
      <c r="E39" s="468"/>
      <c r="F39" s="468"/>
      <c r="G39" s="468"/>
      <c r="H39" s="468"/>
      <c r="I39" s="468"/>
      <c r="J39" s="468"/>
      <c r="K39" s="1335"/>
      <c r="L39" s="1750"/>
      <c r="M39" s="1741"/>
      <c r="N39" s="1741"/>
      <c r="O39" s="1741"/>
      <c r="P39" s="3721" t="str">
        <f>A39</f>
        <v>估价对象XX用房的比较价格（楼面单价，元/平方米）</v>
      </c>
      <c r="Q39" s="3722"/>
      <c r="R39" s="3804">
        <f>IF(F1="售价",ROUND(IF(D38="简单平均",AVERAGE(R38:W38),R38*F38+T38*H38+V38*J38),0),ROUND(IF(D38="简单平均",AVERAGE(R38:V38),R38*F38+T38*H38+V38*J38),1))</f>
        <v>152618</v>
      </c>
      <c r="S39" s="3804"/>
      <c r="T39" s="3804"/>
      <c r="U39" s="3804"/>
      <c r="V39" s="3804"/>
      <c r="W39" s="3804"/>
      <c r="X39" s="798"/>
      <c r="Y39" s="798"/>
      <c r="Z39" s="798"/>
      <c r="AA39" s="798"/>
      <c r="AB39" s="798"/>
      <c r="AC39" s="798"/>
    </row>
    <row r="40" spans="1:29">
      <c r="A40" s="2720"/>
      <c r="B40" s="2720"/>
      <c r="C40" s="2720"/>
      <c r="D40" s="2720"/>
      <c r="E40" s="3425" t="s">
        <v>3727</v>
      </c>
      <c r="F40" s="2720"/>
      <c r="G40" s="3461" t="s">
        <v>3728</v>
      </c>
      <c r="H40" s="2720"/>
      <c r="I40" s="3425" t="s">
        <v>3727</v>
      </c>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0" t="s">
        <v>506</v>
      </c>
      <c r="D42" s="571"/>
      <c r="E42" s="572">
        <f>IF(E37&lt;E38,E38/E37-1,E37/E38-1)</f>
        <v>0</v>
      </c>
      <c r="F42" s="573" t="str">
        <f>IF(OR(E42&gt;=0.3,E42&lt;=-0.3),"超过30%","")</f>
        <v/>
      </c>
      <c r="G42" s="572">
        <f>IF(G37&lt;G38,G38/G37-1,G37/G38-1)</f>
        <v>0.36578167187251842</v>
      </c>
      <c r="H42" s="573" t="str">
        <f>IF(OR(G42&gt;=0.3,G42&lt;=-0.3),"超过30%","")</f>
        <v>超过30%</v>
      </c>
      <c r="I42" s="572">
        <f>IF(I37&lt;I38,I38/I37-1,I37/I38-1)</f>
        <v>0.35000379689161143</v>
      </c>
      <c r="J42" s="573" t="str">
        <f>IF(OR(I42&gt;=0.3,I42&lt;=-0.3),"超过30%","")</f>
        <v>超过30%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0" t="s">
        <v>507</v>
      </c>
      <c r="D43" s="574"/>
      <c r="E43" s="572">
        <f>IF(E38&lt;G38,G38/E38-1,E38/G38-1)</f>
        <v>2.1275445378605706E-2</v>
      </c>
      <c r="F43" s="573" t="str">
        <f>IF(OR(E43&gt;=0.2,E43&lt;=-0.2),"超过20%","")</f>
        <v/>
      </c>
      <c r="G43" s="572">
        <f>IF(G38&lt;I38,I38/G38-1,G38/I38-1)</f>
        <v>4.5740907406427E-2</v>
      </c>
      <c r="H43" s="573" t="str">
        <f>IF(OR(G43&gt;=0.2,G43&lt;=-0.2),"超过20%","")</f>
        <v/>
      </c>
      <c r="I43" s="572">
        <f>IF(I38&lt;E38,E38/I38-1,I38/E38-1)</f>
        <v>6.7989510962126021E-2</v>
      </c>
      <c r="J43" s="573" t="str">
        <f>IF(OR(I43&gt;=0.2,I43&lt;=-0.2),"超过20%","")</f>
        <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0" t="s">
        <v>508</v>
      </c>
      <c r="D44" s="574"/>
      <c r="E44" s="572">
        <f>IF(E37&lt;G37,G37/E37-1,E37/G37-1)</f>
        <v>0.39483928523154277</v>
      </c>
      <c r="F44" s="573" t="str">
        <f>IF(OR(E44&gt;=0.3,E44&lt;=-0.3),"超过30%","")</f>
        <v>超过30%</v>
      </c>
      <c r="G44" s="572">
        <f>IF(G37&lt;I37,I37/G37-1,G37/I37-1)</f>
        <v>3.366022889149467E-2</v>
      </c>
      <c r="H44" s="573" t="str">
        <f>IF(OR(G44&gt;=0.3,G44&lt;=-0.3),"超过30%","")</f>
        <v/>
      </c>
      <c r="I44" s="572">
        <f>IF(I37&lt;E37,E37/I37-1,I37/E37-1)</f>
        <v>0.44178989483928532</v>
      </c>
      <c r="J44" s="573" t="str">
        <f>IF(OR(I44&gt;=0.3,I44&lt;=-0.3),"超过30%","")</f>
        <v>超过30%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1" t="s">
        <v>478</v>
      </c>
      <c r="B48" s="592"/>
      <c r="C48" s="2112" t="str">
        <f>YEAR(C7)&amp;"-"&amp;MONTH(C7)</f>
        <v>2024-11</v>
      </c>
      <c r="D48" s="2114">
        <f>EDATE(C48,-1)</f>
        <v>45566</v>
      </c>
      <c r="E48" s="2114">
        <f t="shared" ref="E48:O48" si="13">EDATE(D48,-1)</f>
        <v>45536</v>
      </c>
      <c r="F48" s="2114">
        <f t="shared" si="13"/>
        <v>45505</v>
      </c>
      <c r="G48" s="2114">
        <f t="shared" si="13"/>
        <v>45474</v>
      </c>
      <c r="H48" s="2114">
        <f t="shared" si="13"/>
        <v>45444</v>
      </c>
      <c r="I48" s="2114">
        <f t="shared" si="13"/>
        <v>45413</v>
      </c>
      <c r="J48" s="2114">
        <f t="shared" si="13"/>
        <v>45383</v>
      </c>
      <c r="K48" s="2114">
        <f t="shared" si="13"/>
        <v>45352</v>
      </c>
      <c r="L48" s="2114">
        <f t="shared" si="13"/>
        <v>45323</v>
      </c>
      <c r="M48" s="2114">
        <f t="shared" si="13"/>
        <v>45292</v>
      </c>
      <c r="N48" s="2114">
        <f t="shared" si="13"/>
        <v>45261</v>
      </c>
      <c r="O48" s="2114">
        <f t="shared" si="13"/>
        <v>45231</v>
      </c>
      <c r="P48" s="1764"/>
      <c r="Q48" s="1764"/>
      <c r="R48" s="1764"/>
      <c r="S48" s="1764"/>
      <c r="T48" s="1764"/>
      <c r="U48" s="1764"/>
      <c r="V48" s="1764"/>
      <c r="W48" s="1764"/>
      <c r="X48" s="1764"/>
      <c r="Y48" s="1764"/>
      <c r="Z48" s="1764"/>
      <c r="AA48" s="1764"/>
      <c r="AB48" s="1764"/>
      <c r="AC48" s="1764"/>
    </row>
    <row r="49" spans="1:29" s="1058" customFormat="1" ht="15">
      <c r="A49" s="526"/>
      <c r="B49" s="593"/>
      <c r="C49" s="2113">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8"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8" customFormat="1" ht="15">
      <c r="A51" s="602" t="s">
        <v>480</v>
      </c>
      <c r="B51" s="593"/>
      <c r="C51" s="603" t="s">
        <v>524</v>
      </c>
      <c r="D51" s="79"/>
      <c r="E51" s="79"/>
      <c r="F51" s="79"/>
      <c r="G51" s="79"/>
      <c r="H51" s="79"/>
      <c r="I51" s="79"/>
      <c r="J51" s="79"/>
      <c r="K51" s="79"/>
      <c r="L51" s="604"/>
      <c r="M51" s="605"/>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t="str">
        <f>C9</f>
        <v>地下车库</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v>100</v>
      </c>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t="s">
        <v>3400</v>
      </c>
      <c r="D55" s="657" t="s">
        <v>3401</v>
      </c>
      <c r="E55" s="657" t="s">
        <v>3402</v>
      </c>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v>100</v>
      </c>
      <c r="D56" s="612">
        <v>98</v>
      </c>
      <c r="E56" s="612">
        <v>96</v>
      </c>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4">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98</v>
      </c>
      <c r="E64" s="620">
        <f>D64-$K14</f>
        <v>96</v>
      </c>
      <c r="F64" s="620">
        <f>E64-$K14</f>
        <v>94</v>
      </c>
      <c r="G64" s="620">
        <f>F64-$K14</f>
        <v>92</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97</v>
      </c>
      <c r="E66" s="620">
        <f>D66-$K16</f>
        <v>94</v>
      </c>
      <c r="F66" s="620">
        <f>E66-$K16</f>
        <v>91</v>
      </c>
      <c r="G66" s="620">
        <f>F66-$K16</f>
        <v>88</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99</v>
      </c>
      <c r="E68" s="620">
        <f>D68-$K18</f>
        <v>98</v>
      </c>
      <c r="F68" s="620">
        <f>E68-$K18</f>
        <v>97</v>
      </c>
      <c r="G68" s="620">
        <f>F68-$K18</f>
        <v>96</v>
      </c>
      <c r="H68" s="854"/>
      <c r="I68" s="854"/>
      <c r="J68" s="854"/>
      <c r="K68" s="854"/>
      <c r="L68" s="854"/>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97</v>
      </c>
      <c r="E70" s="620">
        <f>D70-$K20</f>
        <v>94</v>
      </c>
      <c r="F70" s="620">
        <f>E70-$K20</f>
        <v>91</v>
      </c>
      <c r="G70" s="620">
        <f>F70-$K20</f>
        <v>88</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5"/>
      <c r="B73" s="614">
        <f>B23</f>
        <v>111</v>
      </c>
      <c r="C73" s="490"/>
      <c r="D73" s="490"/>
      <c r="E73" s="490"/>
      <c r="F73" s="490"/>
      <c r="G73" s="629"/>
      <c r="H73" s="629"/>
      <c r="I73" s="629"/>
      <c r="J73" s="629"/>
      <c r="K73" s="629"/>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5"/>
      <c r="B75" s="614">
        <f>B24</f>
        <v>111</v>
      </c>
      <c r="C75" s="490"/>
      <c r="D75" s="490"/>
      <c r="E75" s="490"/>
      <c r="F75" s="490"/>
      <c r="G75" s="629"/>
      <c r="H75" s="629"/>
      <c r="I75" s="629"/>
      <c r="J75" s="629"/>
      <c r="K75" s="629"/>
      <c r="L75" s="629"/>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754</v>
      </c>
      <c r="C79" s="644" t="str">
        <f>C26</f>
        <v>住宅</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98</v>
      </c>
      <c r="E80" s="620">
        <f t="shared" si="14"/>
        <v>96</v>
      </c>
      <c r="F80" s="620">
        <f t="shared" si="14"/>
        <v>94</v>
      </c>
      <c r="G80" s="620">
        <f t="shared" si="14"/>
        <v>92</v>
      </c>
      <c r="H80" s="620">
        <f t="shared" si="14"/>
        <v>90</v>
      </c>
      <c r="I80" s="620">
        <f t="shared" si="14"/>
        <v>88</v>
      </c>
      <c r="J80" s="620">
        <f t="shared" si="14"/>
        <v>86</v>
      </c>
      <c r="K80" s="620">
        <f t="shared" si="14"/>
        <v>84</v>
      </c>
      <c r="L80" s="620">
        <f t="shared" si="14"/>
        <v>82</v>
      </c>
      <c r="M80" s="621">
        <f t="shared" si="14"/>
        <v>80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755</v>
      </c>
      <c r="C81" s="3428" t="s">
        <v>3421</v>
      </c>
      <c r="D81" s="855" t="s">
        <v>3422</v>
      </c>
      <c r="E81" s="855" t="s">
        <v>3423</v>
      </c>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8"/>
      <c r="B82" s="619"/>
      <c r="C82" s="633">
        <v>100</v>
      </c>
      <c r="D82" s="612">
        <v>100</v>
      </c>
      <c r="E82" s="612">
        <v>98</v>
      </c>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3424" t="s">
        <v>3409</v>
      </c>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99</v>
      </c>
      <c r="E84" s="620">
        <f t="shared" si="15"/>
        <v>98</v>
      </c>
      <c r="F84" s="620">
        <f t="shared" si="15"/>
        <v>97</v>
      </c>
      <c r="G84" s="620">
        <f t="shared" si="15"/>
        <v>96</v>
      </c>
      <c r="H84" s="620">
        <f t="shared" si="15"/>
        <v>95</v>
      </c>
      <c r="I84" s="620">
        <f t="shared" si="15"/>
        <v>94</v>
      </c>
      <c r="J84" s="620">
        <f t="shared" si="15"/>
        <v>93</v>
      </c>
      <c r="K84" s="620">
        <f t="shared" si="15"/>
        <v>92</v>
      </c>
      <c r="L84" s="620">
        <f t="shared" si="15"/>
        <v>91</v>
      </c>
      <c r="M84" s="621">
        <f t="shared" si="15"/>
        <v>90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3420" t="s">
        <v>3426</v>
      </c>
      <c r="D88" s="3420" t="s">
        <v>3427</v>
      </c>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101</v>
      </c>
      <c r="E89" s="620">
        <f t="shared" si="17"/>
        <v>102</v>
      </c>
      <c r="F89" s="620">
        <f t="shared" si="17"/>
        <v>103</v>
      </c>
      <c r="G89" s="620">
        <f t="shared" si="17"/>
        <v>104</v>
      </c>
      <c r="H89" s="620">
        <f t="shared" si="17"/>
        <v>105</v>
      </c>
      <c r="I89" s="620">
        <f t="shared" si="17"/>
        <v>106</v>
      </c>
      <c r="J89" s="620">
        <f t="shared" si="17"/>
        <v>107</v>
      </c>
      <c r="K89" s="620">
        <f t="shared" si="17"/>
        <v>108</v>
      </c>
      <c r="L89" s="620">
        <f t="shared" si="17"/>
        <v>109</v>
      </c>
      <c r="M89" s="620">
        <f t="shared" si="17"/>
        <v>110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1"/>
      <c r="B90" s="614" t="s">
        <v>758</v>
      </c>
      <c r="C90" s="648" t="str">
        <f>C91&amp;"(含)"&amp;"-"&amp;D91</f>
        <v>0(含)-50</v>
      </c>
      <c r="D90" s="648" t="str">
        <f t="shared" ref="D90:L90" si="18">D91&amp;"(含)"&amp;"-"&amp;E91</f>
        <v>50(含)-100</v>
      </c>
      <c r="E90" s="648" t="str">
        <f t="shared" si="18"/>
        <v>100(含)-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1"/>
      <c r="B91" s="622"/>
      <c r="C91" s="78">
        <v>0</v>
      </c>
      <c r="D91" s="78">
        <v>50</v>
      </c>
      <c r="E91" s="78">
        <v>100</v>
      </c>
      <c r="F91" s="78"/>
      <c r="G91" s="78"/>
      <c r="H91" s="78"/>
      <c r="I91" s="78"/>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8"/>
      <c r="B92" s="619"/>
      <c r="C92" s="633">
        <v>100</v>
      </c>
      <c r="D92" s="612">
        <v>99</v>
      </c>
      <c r="E92" s="612">
        <v>98</v>
      </c>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27.75" thickTop="1">
      <c r="A93" s="542"/>
      <c r="B93" s="614" t="s">
        <v>759</v>
      </c>
      <c r="C93" s="3424" t="s">
        <v>3424</v>
      </c>
      <c r="D93" s="3424" t="s">
        <v>3692</v>
      </c>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95</v>
      </c>
      <c r="E94" s="620">
        <f t="shared" si="19"/>
        <v>90</v>
      </c>
      <c r="F94" s="620">
        <f t="shared" si="19"/>
        <v>85</v>
      </c>
      <c r="G94" s="620">
        <f t="shared" si="19"/>
        <v>80</v>
      </c>
      <c r="H94" s="620">
        <f t="shared" si="19"/>
        <v>75</v>
      </c>
      <c r="I94" s="620">
        <f t="shared" si="19"/>
        <v>70</v>
      </c>
      <c r="J94" s="620">
        <f t="shared" si="19"/>
        <v>65</v>
      </c>
      <c r="K94" s="620">
        <f t="shared" si="19"/>
        <v>60</v>
      </c>
      <c r="L94" s="620">
        <f t="shared" si="19"/>
        <v>55</v>
      </c>
      <c r="M94" s="621">
        <f t="shared" si="19"/>
        <v>50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3420" t="s">
        <v>3430</v>
      </c>
      <c r="D95" s="3420" t="s">
        <v>3431</v>
      </c>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99</v>
      </c>
      <c r="E96" s="620">
        <f>D96-$K33</f>
        <v>98</v>
      </c>
      <c r="F96" s="620">
        <f>E96-$K33</f>
        <v>97</v>
      </c>
      <c r="G96" s="620">
        <f>F96-$K33</f>
        <v>96</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7">
        <f>B34</f>
        <v>0</v>
      </c>
      <c r="C97" s="3429" t="s">
        <v>3428</v>
      </c>
      <c r="D97" s="3429" t="s">
        <v>3429</v>
      </c>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v>100</v>
      </c>
      <c r="D98" s="612">
        <v>98</v>
      </c>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2" customFormat="1" ht="29.25" thickTop="1">
      <c r="A99" s="551"/>
      <c r="B99" s="614" t="str">
        <f>B35</f>
        <v>开盘至今整体销售去化情况</v>
      </c>
      <c r="C99" s="3430" t="s">
        <v>3697</v>
      </c>
      <c r="D99" s="3430" t="s">
        <v>3693</v>
      </c>
      <c r="E99" s="3430" t="s">
        <v>3694</v>
      </c>
      <c r="F99" s="3430" t="s">
        <v>3695</v>
      </c>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8"/>
      <c r="B100" s="611"/>
      <c r="C100" s="633">
        <f>C102</f>
        <v>100</v>
      </c>
      <c r="D100" s="612">
        <f>C102</f>
        <v>100</v>
      </c>
      <c r="E100" s="612">
        <f>I102</f>
        <v>130</v>
      </c>
      <c r="F100" s="612">
        <f>J102</f>
        <v>135</v>
      </c>
      <c r="G100" s="612"/>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27.75" thickTop="1">
      <c r="A101" s="542"/>
      <c r="B101" s="614">
        <f>B36</f>
        <v>111</v>
      </c>
      <c r="C101" s="3430" t="s">
        <v>3716</v>
      </c>
      <c r="D101" s="3430" t="s">
        <v>3717</v>
      </c>
      <c r="E101" s="3430" t="s">
        <v>3718</v>
      </c>
      <c r="F101" s="3430" t="s">
        <v>3719</v>
      </c>
      <c r="G101" s="3430" t="s">
        <v>3720</v>
      </c>
      <c r="H101" s="3430" t="s">
        <v>3721</v>
      </c>
      <c r="I101" s="3430" t="s">
        <v>3722</v>
      </c>
      <c r="J101" s="3430" t="s">
        <v>3723</v>
      </c>
      <c r="K101" s="3430" t="s">
        <v>3724</v>
      </c>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v>100</v>
      </c>
      <c r="D102" s="612">
        <f>C102+5</f>
        <v>105</v>
      </c>
      <c r="E102" s="612">
        <f t="shared" ref="E102:K102" si="20">D102+5</f>
        <v>110</v>
      </c>
      <c r="F102" s="612">
        <f t="shared" si="20"/>
        <v>115</v>
      </c>
      <c r="G102" s="612">
        <f t="shared" si="20"/>
        <v>120</v>
      </c>
      <c r="H102" s="612">
        <f t="shared" si="20"/>
        <v>125</v>
      </c>
      <c r="I102" s="612">
        <f t="shared" si="20"/>
        <v>130</v>
      </c>
      <c r="J102" s="612">
        <f t="shared" si="20"/>
        <v>135</v>
      </c>
      <c r="K102" s="612">
        <f t="shared" si="20"/>
        <v>140</v>
      </c>
      <c r="L102" s="612"/>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80" zoomScaleNormal="60" zoomScaleSheetLayoutView="80" workbookViewId="0">
      <selection activeCell="J42" sqref="J42"/>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1728</v>
      </c>
      <c r="F1" s="1947">
        <f ca="1">J54</f>
        <v>-2.5</v>
      </c>
      <c r="G1" s="708">
        <f>MATCH(C1,'数据-取费表'!A6:A16,0)+5</f>
        <v>10</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9">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10" t="s">
        <v>642</v>
      </c>
      <c r="I3" s="1669"/>
      <c r="J3" s="1669"/>
      <c r="K3" s="1670"/>
      <c r="L3" s="1669"/>
      <c r="M3" s="1669"/>
    </row>
    <row r="4" spans="1:25" ht="18" customHeight="1">
      <c r="A4" s="1365" t="s">
        <v>643</v>
      </c>
      <c r="B4" s="1144">
        <f ca="1">ROUND(B2*10000/'数据-汇总表'!D3,0)</f>
        <v>0</v>
      </c>
      <c r="C4" s="397"/>
      <c r="D4" s="1667"/>
      <c r="E4" s="1668"/>
      <c r="F4" s="1668"/>
      <c r="G4" s="1322"/>
      <c r="H4" s="710"/>
      <c r="I4" s="1669"/>
      <c r="J4" s="1669"/>
      <c r="K4" s="1670"/>
      <c r="L4" s="1669"/>
      <c r="M4" s="1669"/>
    </row>
    <row r="5" spans="1:25" ht="18" customHeight="1" thickBot="1">
      <c r="A5" s="1366"/>
      <c r="B5" s="399">
        <f ca="1">ROUND(B2/('数据-汇总表'!D3/666.67),0)</f>
        <v>0</v>
      </c>
      <c r="C5" s="400" t="s">
        <v>644</v>
      </c>
      <c r="D5" s="1667"/>
      <c r="E5" s="1668"/>
      <c r="F5" s="1668"/>
      <c r="G5" s="1322"/>
      <c r="H5" s="710"/>
      <c r="I5" s="1669"/>
      <c r="J5" s="1669"/>
      <c r="K5" s="1670"/>
      <c r="L5" s="1669"/>
      <c r="M5" s="1669"/>
    </row>
    <row r="6" spans="1:25" ht="18" customHeight="1">
      <c r="A6" s="1518" t="s">
        <v>645</v>
      </c>
      <c r="B6" s="1512" t="s">
        <v>646</v>
      </c>
      <c r="C6" s="1512" t="s">
        <v>580</v>
      </c>
      <c r="D6" s="1512" t="s">
        <v>581</v>
      </c>
      <c r="E6" s="713" t="s">
        <v>582</v>
      </c>
      <c r="F6" s="714"/>
      <c r="G6" s="1143"/>
      <c r="H6" s="1518" t="s">
        <v>578</v>
      </c>
      <c r="I6" s="1512" t="s">
        <v>579</v>
      </c>
      <c r="J6" s="1512" t="s">
        <v>580</v>
      </c>
      <c r="K6" s="1512" t="s">
        <v>581</v>
      </c>
      <c r="L6" s="713" t="s">
        <v>582</v>
      </c>
      <c r="M6" s="714"/>
    </row>
    <row r="7" spans="1:25" ht="18" customHeight="1">
      <c r="A7" s="715">
        <v>1</v>
      </c>
      <c r="B7" s="716" t="s">
        <v>1802</v>
      </c>
      <c r="C7" s="48">
        <f ca="1">C8+C12+C14</f>
        <v>0</v>
      </c>
      <c r="D7" s="2000" t="s">
        <v>1805</v>
      </c>
      <c r="E7" s="1994"/>
      <c r="F7" s="1995"/>
      <c r="G7" s="1143"/>
      <c r="H7" s="715">
        <v>1</v>
      </c>
      <c r="I7" s="716" t="s">
        <v>1802</v>
      </c>
      <c r="J7" s="48">
        <f ca="1">J8+J12+J14</f>
        <v>0</v>
      </c>
      <c r="K7" s="2000" t="s">
        <v>1805</v>
      </c>
      <c r="L7" s="1994"/>
      <c r="M7" s="1995"/>
    </row>
    <row r="8" spans="1:25" ht="18" customHeight="1">
      <c r="A8" s="1520" t="s">
        <v>1353</v>
      </c>
      <c r="B8" s="3815" t="s">
        <v>1807</v>
      </c>
      <c r="C8" s="1515">
        <f ca="1">ROUND(F8*F10*F9*(1-F11)/10000,0)</f>
        <v>0</v>
      </c>
      <c r="D8" s="316" t="s">
        <v>1817</v>
      </c>
      <c r="E8" s="56" t="s">
        <v>585</v>
      </c>
      <c r="F8" s="719">
        <f ca="1">INDIRECT("'数据-取费表'!u"&amp;$G$1)</f>
        <v>0</v>
      </c>
      <c r="G8" s="1143"/>
      <c r="H8" s="2008" t="s">
        <v>1353</v>
      </c>
      <c r="I8" s="3815" t="s">
        <v>1807</v>
      </c>
      <c r="J8" s="717">
        <f ca="1">ROUND(M8*M10*M9*(1-M11)/10000,0)</f>
        <v>0</v>
      </c>
      <c r="K8" s="314" t="s">
        <v>1817</v>
      </c>
      <c r="L8" s="718" t="s">
        <v>1267</v>
      </c>
      <c r="M8" s="719">
        <f ca="1">INDIRECT("'数据-取费表'!z"&amp;$G$1)</f>
        <v>0</v>
      </c>
    </row>
    <row r="9" spans="1:25" ht="18" customHeight="1">
      <c r="A9" s="2004"/>
      <c r="B9" s="3816"/>
      <c r="C9" s="1516"/>
      <c r="D9" s="329"/>
      <c r="E9" s="56" t="s">
        <v>586</v>
      </c>
      <c r="F9" s="719">
        <f ca="1">IF(INDIRECT("'数据-取费表'!ah"&amp;$G$1)="",INDIRECT("'数据-取费表'!k"&amp;$G$1),INDIRECT("'数据-取费表'!ah"&amp;$G$1))</f>
        <v>0</v>
      </c>
      <c r="G9" s="1143"/>
      <c r="H9" s="1993"/>
      <c r="I9" s="3816"/>
      <c r="J9" s="722"/>
      <c r="K9" s="723"/>
      <c r="L9" s="718" t="s">
        <v>1268</v>
      </c>
      <c r="M9" s="719">
        <f ca="1">F9</f>
        <v>0</v>
      </c>
    </row>
    <row r="10" spans="1:25" ht="18" customHeight="1">
      <c r="A10" s="1997"/>
      <c r="B10" s="3817"/>
      <c r="C10" s="1516"/>
      <c r="D10" s="329"/>
      <c r="E10" s="56" t="s">
        <v>587</v>
      </c>
      <c r="F10" s="719">
        <f ca="1">INDIRECT("'数据-取费表'!ai"&amp;$G$1)</f>
        <v>0</v>
      </c>
      <c r="G10" s="1143"/>
      <c r="H10" s="1993"/>
      <c r="I10" s="3817"/>
      <c r="J10" s="722"/>
      <c r="K10" s="723"/>
      <c r="L10" s="718" t="s">
        <v>1269</v>
      </c>
      <c r="M10" s="719">
        <f ca="1">INDIRECT("'数据-取费表'!ai"&amp;$G$1)</f>
        <v>0</v>
      </c>
    </row>
    <row r="11" spans="1:25" ht="18" customHeight="1">
      <c r="A11" s="720"/>
      <c r="B11" s="3818"/>
      <c r="C11" s="1516"/>
      <c r="D11" s="329"/>
      <c r="E11" s="56" t="s">
        <v>588</v>
      </c>
      <c r="F11" s="728">
        <f ca="1">INDIRECT("'数据-取费表'!w"&amp;$G$1)</f>
        <v>0</v>
      </c>
      <c r="G11" s="1143"/>
      <c r="H11" s="2009"/>
      <c r="I11" s="3817"/>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2230</v>
      </c>
      <c r="E12" s="2002" t="s">
        <v>1808</v>
      </c>
      <c r="F12" s="2075"/>
      <c r="G12" s="1143"/>
      <c r="H12" s="2036" t="s">
        <v>1354</v>
      </c>
      <c r="I12" s="2040" t="s">
        <v>1803</v>
      </c>
      <c r="J12" s="717">
        <f ca="1">ROUND(IF(M12="押一",J8/12*M13,IF(M12="押二",J8/12*2*M13,IF(M12="押三",J8/12*3*M13,J13*M13))),0)</f>
        <v>0</v>
      </c>
      <c r="K12" s="2005" t="s">
        <v>2230</v>
      </c>
      <c r="L12" s="2002" t="s">
        <v>1808</v>
      </c>
      <c r="M12" s="2075"/>
    </row>
    <row r="13" spans="1:25" ht="18" customHeight="1">
      <c r="A13" s="724"/>
      <c r="B13" s="1999" t="s">
        <v>1856</v>
      </c>
      <c r="C13" s="2003"/>
      <c r="D13" s="723"/>
      <c r="E13" s="2002" t="s">
        <v>1801</v>
      </c>
      <c r="F13" s="730">
        <f ca="1">'数据-取费表'!B39</f>
        <v>1.4999999999999999E-2</v>
      </c>
      <c r="G13" s="1143"/>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3"/>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3"/>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4" t="s">
        <v>594</v>
      </c>
      <c r="E16" s="903"/>
      <c r="F16" s="739"/>
      <c r="G16" s="1143"/>
      <c r="H16" s="737" t="s">
        <v>1587</v>
      </c>
      <c r="I16" s="1824" t="s">
        <v>2101</v>
      </c>
      <c r="J16" s="48">
        <f ca="1">C31</f>
        <v>0</v>
      </c>
      <c r="K16" s="21"/>
      <c r="L16" s="735"/>
      <c r="M16" s="736"/>
    </row>
    <row r="17" spans="1:25" s="1675" customFormat="1" ht="18" customHeight="1">
      <c r="A17" s="737" t="s">
        <v>1378</v>
      </c>
      <c r="B17" s="718" t="s">
        <v>595</v>
      </c>
      <c r="C17" s="48">
        <f ca="1">ROUND(C16*F17,0)</f>
        <v>0</v>
      </c>
      <c r="D17" s="740" t="s">
        <v>596</v>
      </c>
      <c r="E17" s="740" t="s">
        <v>597</v>
      </c>
      <c r="F17" s="741">
        <f>'数据-取费表'!B33</f>
        <v>0.05</v>
      </c>
      <c r="G17" s="1324"/>
      <c r="H17" s="737" t="s">
        <v>1588</v>
      </c>
      <c r="I17" s="718" t="s">
        <v>591</v>
      </c>
      <c r="J17" s="742">
        <f ca="1">INDIRECT("'数据-取费表'!ad"&amp;$G$1)</f>
        <v>0</v>
      </c>
      <c r="K17" s="21"/>
      <c r="L17" s="735"/>
      <c r="M17" s="736"/>
      <c r="N17" s="1674"/>
      <c r="O17" s="1674"/>
      <c r="P17" s="1674"/>
      <c r="Q17" s="1674"/>
      <c r="R17" s="1674"/>
      <c r="S17" s="1674"/>
      <c r="T17" s="1674"/>
      <c r="U17" s="1674"/>
      <c r="V17" s="1674"/>
      <c r="W17" s="1674"/>
      <c r="X17" s="1674"/>
      <c r="Y17" s="1674"/>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3"/>
      <c r="H18" s="731" t="s">
        <v>1356</v>
      </c>
      <c r="I18" s="732" t="s">
        <v>599</v>
      </c>
      <c r="J18" s="733">
        <f ca="1">ROUND(J19+J24+J25+J26,0)</f>
        <v>0</v>
      </c>
      <c r="K18" s="21" t="s">
        <v>600</v>
      </c>
      <c r="L18" s="913"/>
      <c r="M18" s="51"/>
    </row>
    <row r="19" spans="1:25" s="1675" customFormat="1" ht="18" customHeight="1">
      <c r="A19" s="737" t="s">
        <v>1380</v>
      </c>
      <c r="B19" s="718" t="s">
        <v>601</v>
      </c>
      <c r="C19" s="48">
        <f ca="1">ROUND(F19*(INDIRECT("'数据-取费表'!k"&amp;$G$1)+INDIRECT("'数据-取费表'!S"&amp;$G$1))/10000,0)</f>
        <v>0</v>
      </c>
      <c r="D19" s="718" t="s">
        <v>602</v>
      </c>
      <c r="E19" s="718" t="s">
        <v>603</v>
      </c>
      <c r="F19" s="51">
        <f>'数据-取费表'!B35</f>
        <v>200</v>
      </c>
      <c r="G19" s="1324"/>
      <c r="H19" s="737" t="s">
        <v>1587</v>
      </c>
      <c r="I19" s="718"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8">
        <f ca="1">ROUND(C16*F20,0)</f>
        <v>0</v>
      </c>
      <c r="D20" s="718" t="s">
        <v>596</v>
      </c>
      <c r="E20" s="718" t="s">
        <v>597</v>
      </c>
      <c r="F20" s="743">
        <f>'数据-取费表'!B36</f>
        <v>0.02</v>
      </c>
      <c r="G20" s="1324"/>
      <c r="H20" s="737" t="s">
        <v>1360</v>
      </c>
      <c r="I20" s="718" t="s">
        <v>608</v>
      </c>
      <c r="J20" s="48">
        <f ca="1">ROUND(J8*M20/(1+'数据-取费表'!C42),1)</f>
        <v>0</v>
      </c>
      <c r="K20" s="905" t="s">
        <v>609</v>
      </c>
      <c r="L20" s="718" t="s">
        <v>597</v>
      </c>
      <c r="M20" s="743">
        <f>'数据-取费表'!B41</f>
        <v>5.6000000000000001E-2</v>
      </c>
      <c r="N20" s="1674"/>
      <c r="O20" s="1674"/>
      <c r="P20" s="1674"/>
      <c r="Q20" s="1674"/>
      <c r="R20" s="1674"/>
      <c r="S20" s="1674"/>
      <c r="T20" s="1674"/>
      <c r="U20" s="1674"/>
      <c r="V20" s="1674"/>
      <c r="W20" s="1674"/>
      <c r="X20" s="1674"/>
      <c r="Y20" s="1674"/>
    </row>
    <row r="21" spans="1:25" ht="18" customHeight="1">
      <c r="A21" s="737" t="s">
        <v>1401</v>
      </c>
      <c r="B21" s="718" t="s">
        <v>610</v>
      </c>
      <c r="C21" s="48">
        <f ca="1">SUM(C16:C20)</f>
        <v>0</v>
      </c>
      <c r="D21" s="240" t="s">
        <v>611</v>
      </c>
      <c r="E21" s="913"/>
      <c r="F21" s="51"/>
      <c r="G21" s="1143"/>
      <c r="H21" s="1520" t="s">
        <v>1378</v>
      </c>
      <c r="I21" s="718" t="s">
        <v>612</v>
      </c>
      <c r="J21" s="48">
        <f ca="1">IF(K21="按租金收入计税",ROUND(J8*M21/(1+'数据-取费表'!C42),1),ROUND(C31*F35*0.7,1))</f>
        <v>0</v>
      </c>
      <c r="K21" s="744" t="s">
        <v>3243</v>
      </c>
      <c r="L21" s="718" t="s">
        <v>597</v>
      </c>
      <c r="M21" s="743">
        <f>IF(K21="按租金收入计税",'数据-取费表'!B51,'数据-取费表'!B50)</f>
        <v>0.12</v>
      </c>
    </row>
    <row r="22" spans="1:25" s="1675" customFormat="1" ht="18" customHeight="1">
      <c r="A22" s="737" t="s">
        <v>1402</v>
      </c>
      <c r="B22" s="718" t="s">
        <v>613</v>
      </c>
      <c r="C22" s="48">
        <f ca="1">ROUND(C21*F22,0)</f>
        <v>0</v>
      </c>
      <c r="D22" s="745" t="s">
        <v>614</v>
      </c>
      <c r="E22" s="718" t="s">
        <v>597</v>
      </c>
      <c r="F22" s="743">
        <f>'数据-取费表'!B37</f>
        <v>0.02</v>
      </c>
      <c r="G22" s="1324"/>
      <c r="H22" s="1522" t="s">
        <v>1379</v>
      </c>
      <c r="I22" s="316" t="s">
        <v>615</v>
      </c>
      <c r="J22" s="49">
        <f ca="1">ROUND(M22*M23/10000,0)</f>
        <v>0</v>
      </c>
      <c r="K22" s="747" t="s">
        <v>616</v>
      </c>
      <c r="L22" s="718" t="s">
        <v>617</v>
      </c>
      <c r="M22" s="586">
        <f>'数据-取费表'!B52</f>
        <v>1.5</v>
      </c>
      <c r="N22" s="1674"/>
      <c r="O22" s="1674"/>
      <c r="P22" s="1674"/>
      <c r="Q22" s="1674"/>
      <c r="R22" s="1674"/>
      <c r="S22" s="1674"/>
      <c r="T22" s="1674"/>
      <c r="U22" s="1674"/>
      <c r="V22" s="1674"/>
      <c r="W22" s="1674"/>
      <c r="X22" s="1674"/>
      <c r="Y22" s="1674"/>
    </row>
    <row r="23" spans="1:25" s="1675" customFormat="1" ht="18" customHeight="1">
      <c r="A23" s="737" t="s">
        <v>1403</v>
      </c>
      <c r="B23" s="718" t="s">
        <v>618</v>
      </c>
      <c r="C23" s="48" t="s">
        <v>0</v>
      </c>
      <c r="D23" s="745" t="s">
        <v>619</v>
      </c>
      <c r="E23" s="718" t="s">
        <v>620</v>
      </c>
      <c r="F23" s="743">
        <f>'数据-取费表'!B38</f>
        <v>0.02</v>
      </c>
      <c r="G23" s="1324"/>
      <c r="H23" s="1523"/>
      <c r="I23" s="1514"/>
      <c r="J23" s="64"/>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8"/>
      <c r="D24" s="2044" t="str">
        <f>IF(F25&lt;=1,"单利计息。","复利计息。")&amp;"建造成本、管理费用、销售费用产生的利息。"</f>
        <v>复利计息。建造成本、管理费用、销售费用产生的利息。</v>
      </c>
      <c r="E24" s="913"/>
      <c r="F24" s="51"/>
      <c r="G24" s="1143"/>
      <c r="H24" s="1521" t="s">
        <v>1588</v>
      </c>
      <c r="I24" s="718" t="s">
        <v>623</v>
      </c>
      <c r="J24" s="48">
        <f ca="1">ROUND(J16*M24,0)</f>
        <v>0</v>
      </c>
      <c r="K24" s="905" t="s">
        <v>624</v>
      </c>
      <c r="L24" s="718" t="s">
        <v>597</v>
      </c>
      <c r="M24" s="750">
        <f ca="1">INDIRECT("'数据-取费表'!Ak"&amp;$G$1)</f>
        <v>0</v>
      </c>
    </row>
    <row r="25" spans="1:25" s="1675" customFormat="1" ht="18" customHeight="1">
      <c r="A25" s="737" t="s">
        <v>1400</v>
      </c>
      <c r="B25" s="718" t="s">
        <v>1784</v>
      </c>
      <c r="C25" s="48">
        <f ca="1">ROUND(IF('数据-取费表'!B22&lt;=1,(C21+C22)*F26*F25/2,(C21+C22)*(POWER((1+F26),F25/2)-1)),0)</f>
        <v>0</v>
      </c>
      <c r="D25" s="2043" t="str">
        <f>IF(F25&lt;=1,"(建造成本+管理费用)×利率×(建设周期÷2)","(建造成本+管理费用)×((1+利率)^(建设周期÷2)-1)")</f>
        <v>(建造成本+管理费用)×((1+利率)^(建设周期÷2)-1)</v>
      </c>
      <c r="E25" s="718" t="s">
        <v>625</v>
      </c>
      <c r="F25" s="586">
        <f>'数据-取费表'!B20</f>
        <v>2.5</v>
      </c>
      <c r="G25" s="1324"/>
      <c r="H25" s="737" t="s">
        <v>1403</v>
      </c>
      <c r="I25" s="718" t="s">
        <v>626</v>
      </c>
      <c r="J25" s="48">
        <f ca="1">ROUND(J15*M25,0)</f>
        <v>0</v>
      </c>
      <c r="K25" s="905"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8">
        <f ca="1">ROUND(IF('数据-取费表'!B22&lt;=1,F23*F26*F25/2,F23*(POWER((1+F26),F25/2)-1)),4)</f>
        <v>8.0000000000000004E-4</v>
      </c>
      <c r="D26" s="2043" t="str">
        <f>IF(F25&lt;=1,"销售费用×利率×(建设周期÷2)","销售费用×((1+利率)^(建设周期÷2)-1)")</f>
        <v>销售费用×((1+利率)^(建设周期÷2)-1)</v>
      </c>
      <c r="E26" s="718" t="s">
        <v>629</v>
      </c>
      <c r="F26" s="752">
        <f ca="1">'数据-取费表'!B40</f>
        <v>3.1E-2</v>
      </c>
      <c r="G26" s="1324"/>
      <c r="H26" s="737" t="s">
        <v>1404</v>
      </c>
      <c r="I26" s="718" t="s">
        <v>613</v>
      </c>
      <c r="J26" s="48">
        <f ca="1">ROUND(J7*M26,0)</f>
        <v>0</v>
      </c>
      <c r="K26" s="905"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8"/>
      <c r="D27" s="240" t="s">
        <v>632</v>
      </c>
      <c r="E27" s="913"/>
      <c r="F27" s="51"/>
      <c r="G27" s="1143"/>
      <c r="H27" s="731" t="s">
        <v>1357</v>
      </c>
      <c r="I27" s="2297" t="s">
        <v>2098</v>
      </c>
      <c r="J27" s="733">
        <f ca="1">J7-J18</f>
        <v>0</v>
      </c>
      <c r="K27" s="904" t="s">
        <v>647</v>
      </c>
      <c r="L27" s="902"/>
      <c r="M27" s="753"/>
    </row>
    <row r="28" spans="1:25" ht="18" customHeight="1">
      <c r="A28" s="737" t="s">
        <v>1400</v>
      </c>
      <c r="B28" s="718" t="s">
        <v>1785</v>
      </c>
      <c r="C28" s="48">
        <f ca="1">ROUND((C21+C22)*F28,0)</f>
        <v>0</v>
      </c>
      <c r="D28" s="745" t="s">
        <v>648</v>
      </c>
      <c r="E28" s="729" t="s">
        <v>649</v>
      </c>
      <c r="F28" s="728">
        <f ca="1">INDIRECT("'数据-取费表'!q"&amp;$G$1)</f>
        <v>0</v>
      </c>
      <c r="G28" s="1143"/>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3"/>
      <c r="H29" s="720"/>
      <c r="I29" s="721"/>
      <c r="J29" s="722"/>
      <c r="K29" s="754" t="s">
        <v>654</v>
      </c>
      <c r="L29" s="718" t="s">
        <v>655</v>
      </c>
      <c r="M29" s="755">
        <f ca="1">INDIRECT("'数据-取费表'!ag"&amp;$G$1)</f>
        <v>0</v>
      </c>
    </row>
    <row r="30" spans="1:25" s="1675" customFormat="1" ht="18" customHeight="1">
      <c r="A30" s="737" t="s">
        <v>1407</v>
      </c>
      <c r="B30" s="718" t="s">
        <v>634</v>
      </c>
      <c r="C30" s="48">
        <f>ROUND(F30/(1+'数据-取费表'!C42),4)</f>
        <v>5.33E-2</v>
      </c>
      <c r="D30" s="745" t="s">
        <v>656</v>
      </c>
      <c r="E30" s="718" t="s">
        <v>597</v>
      </c>
      <c r="F30" s="743">
        <f>'数据-取费表'!B41</f>
        <v>5.6000000000000001E-2</v>
      </c>
      <c r="G30" s="1324"/>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2099</v>
      </c>
      <c r="C31" s="2019">
        <f ca="1">ROUND((C21+C22+C25+C28)/(1-F23-C26-C29-C30),0)</f>
        <v>0</v>
      </c>
      <c r="D31" s="2020"/>
      <c r="E31" s="2021"/>
      <c r="F31" s="2022"/>
      <c r="G31" s="1324"/>
      <c r="H31" s="756" t="s">
        <v>1397</v>
      </c>
      <c r="I31" s="2298" t="s">
        <v>2100</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7"/>
      <c r="F32" s="1995"/>
      <c r="G32" s="1667"/>
      <c r="H32" s="1676"/>
      <c r="I32" s="1677"/>
      <c r="J32" s="1678"/>
      <c r="K32" s="1635"/>
      <c r="L32" s="1679"/>
      <c r="M32" s="1680"/>
    </row>
    <row r="33" spans="1:18" ht="18" customHeight="1">
      <c r="A33" s="737" t="s">
        <v>1401</v>
      </c>
      <c r="B33" s="718"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2279</v>
      </c>
      <c r="I33" s="1677"/>
      <c r="J33" s="1678"/>
      <c r="K33" s="1635"/>
      <c r="L33" s="1679"/>
      <c r="M33" s="1680"/>
    </row>
    <row r="34" spans="1:18" ht="18" customHeight="1">
      <c r="A34" s="737" t="s">
        <v>1400</v>
      </c>
      <c r="B34" s="718" t="s">
        <v>608</v>
      </c>
      <c r="C34" s="48">
        <f ca="1">ROUND(C8*F34/(1+'数据-取费表'!C42),2)</f>
        <v>0</v>
      </c>
      <c r="D34" s="905" t="s">
        <v>609</v>
      </c>
      <c r="E34" s="718" t="s">
        <v>597</v>
      </c>
      <c r="F34" s="743">
        <f>'数据-取费表'!B41</f>
        <v>5.6000000000000001E-2</v>
      </c>
      <c r="G34" s="1667"/>
      <c r="H34" s="1681"/>
      <c r="I34" s="1682"/>
      <c r="J34" s="1683"/>
      <c r="K34" s="1684"/>
      <c r="L34" s="1685"/>
      <c r="M34" s="1686"/>
    </row>
    <row r="35" spans="1:18" ht="18" customHeight="1">
      <c r="A35" s="737" t="s">
        <v>1378</v>
      </c>
      <c r="B35" s="718" t="s">
        <v>612</v>
      </c>
      <c r="C35" s="48">
        <f ca="1">IF(D35="按租金收入计税",ROUND(C8*F35/(1+'数据-取费表'!C42),2),IF(D35="按房产原值计税",ROUND(C31*F35*0.7,2),INDIRECT("'数据-取费表'!Aj"&amp;$G$1)))</f>
        <v>0</v>
      </c>
      <c r="D35" s="744" t="s">
        <v>3243</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49">
        <f ca="1">ROUND(F36*F37/10000,2)</f>
        <v>0</v>
      </c>
      <c r="D36" s="747" t="s">
        <v>616</v>
      </c>
      <c r="E36" s="718" t="s">
        <v>617</v>
      </c>
      <c r="F36" s="586">
        <f>'数据-取费表'!B52</f>
        <v>1.5</v>
      </c>
      <c r="G36" s="1667"/>
      <c r="H36" s="1676"/>
      <c r="I36" s="3814"/>
      <c r="J36" s="1689"/>
      <c r="K36" s="1690"/>
      <c r="L36" s="1689"/>
      <c r="M36" s="1689"/>
    </row>
    <row r="37" spans="1:18" ht="18" customHeight="1">
      <c r="A37" s="748"/>
      <c r="B37" s="727"/>
      <c r="C37" s="64"/>
      <c r="D37" s="749"/>
      <c r="E37" s="718" t="s">
        <v>621</v>
      </c>
      <c r="F37" s="719">
        <f ca="1">INDIRECT("'数据-取费表'!r"&amp;$G$1)</f>
        <v>0</v>
      </c>
      <c r="G37" s="1667"/>
      <c r="H37" s="1676"/>
      <c r="I37" s="3814"/>
      <c r="J37" s="1687"/>
      <c r="K37" s="1688"/>
      <c r="L37" s="1687"/>
      <c r="M37" s="1687"/>
    </row>
    <row r="38" spans="1:18" ht="18" customHeight="1">
      <c r="A38" s="737" t="s">
        <v>1402</v>
      </c>
      <c r="B38" s="718" t="s">
        <v>623</v>
      </c>
      <c r="C38" s="48">
        <f ca="1">ROUND(C31*F38,2)</f>
        <v>0</v>
      </c>
      <c r="D38" s="905" t="s">
        <v>638</v>
      </c>
      <c r="E38" s="718" t="s">
        <v>597</v>
      </c>
      <c r="F38" s="750">
        <f ca="1">INDIRECT("'数据-取费表'!Ak"&amp;$G$1)</f>
        <v>0</v>
      </c>
      <c r="G38" s="1667"/>
      <c r="H38" s="1687"/>
      <c r="I38" s="2556"/>
      <c r="J38" s="1635"/>
      <c r="K38" s="1691"/>
      <c r="L38" s="1687"/>
      <c r="M38" s="1687"/>
    </row>
    <row r="39" spans="1:18" ht="18" customHeight="1">
      <c r="A39" s="737" t="s">
        <v>1403</v>
      </c>
      <c r="B39" s="718" t="s">
        <v>626</v>
      </c>
      <c r="C39" s="48">
        <f ca="1">ROUND(C15*F39,2)</f>
        <v>0</v>
      </c>
      <c r="D39" s="905" t="s">
        <v>627</v>
      </c>
      <c r="E39" s="718" t="s">
        <v>597</v>
      </c>
      <c r="F39" s="751">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7" t="s">
        <v>1401</v>
      </c>
      <c r="B42" s="768" t="s">
        <v>640</v>
      </c>
      <c r="C42" s="762">
        <f ca="1">C7-C32</f>
        <v>0</v>
      </c>
      <c r="D42" s="904" t="s">
        <v>641</v>
      </c>
      <c r="E42" s="902"/>
      <c r="F42" s="753"/>
      <c r="G42" s="1667"/>
      <c r="H42" s="1667"/>
      <c r="I42" s="1667"/>
      <c r="J42" s="1667"/>
      <c r="K42" s="1692"/>
      <c r="L42" s="1667"/>
      <c r="M42" s="1667"/>
    </row>
    <row r="43" spans="1:18" ht="18" customHeight="1">
      <c r="A43" s="737" t="s">
        <v>1402</v>
      </c>
      <c r="B43" s="768" t="s">
        <v>658</v>
      </c>
      <c r="C43" s="769">
        <f ca="1">ROUND(C15*F43,0)</f>
        <v>0</v>
      </c>
      <c r="D43" s="1148" t="s">
        <v>659</v>
      </c>
      <c r="E43" s="2359" t="s">
        <v>2220</v>
      </c>
      <c r="F43" s="2360">
        <f ca="1">INDIRECT("'数据-取费表'!j"&amp;$G$1)</f>
        <v>0</v>
      </c>
      <c r="G43" s="1667"/>
      <c r="H43" s="1667"/>
      <c r="I43" s="1667"/>
      <c r="J43" s="1667"/>
      <c r="K43" s="1692"/>
      <c r="L43" s="1667"/>
      <c r="M43" s="1667"/>
    </row>
    <row r="44" spans="1:18" ht="18" customHeight="1">
      <c r="A44" s="737" t="s">
        <v>1403</v>
      </c>
      <c r="B44" s="768" t="s">
        <v>660</v>
      </c>
      <c r="C44" s="1149">
        <f ca="1">C42-C43</f>
        <v>0</v>
      </c>
      <c r="D44" s="431" t="s">
        <v>661</v>
      </c>
      <c r="E44" s="432"/>
      <c r="F44" s="433"/>
      <c r="G44" s="1667"/>
      <c r="H44" s="1667"/>
      <c r="I44" s="1667"/>
      <c r="J44" s="1667"/>
      <c r="K44" s="1692"/>
      <c r="L44" s="1667"/>
      <c r="M44" s="1667"/>
    </row>
    <row r="45" spans="1:18" ht="18" customHeight="1">
      <c r="A45" s="737" t="s">
        <v>1404</v>
      </c>
      <c r="B45" s="1148" t="s">
        <v>662</v>
      </c>
      <c r="C45" s="717">
        <f ca="1">ROUND(-PV(F45,F46,C44,0),0)</f>
        <v>0</v>
      </c>
      <c r="D45" s="1150" t="s">
        <v>663</v>
      </c>
      <c r="E45" s="740" t="s">
        <v>664</v>
      </c>
      <c r="F45" s="763">
        <f ca="1">INDIRECT("'数据-取费表'!h"&amp;$G$1)</f>
        <v>0</v>
      </c>
      <c r="G45" s="1667"/>
      <c r="H45" s="1667"/>
      <c r="I45" s="1667"/>
      <c r="J45" s="1667"/>
      <c r="K45" s="1692"/>
      <c r="L45" s="1667"/>
      <c r="M45" s="1667"/>
    </row>
    <row r="46" spans="1:18" ht="18" customHeight="1" thickBot="1">
      <c r="A46" s="764"/>
      <c r="B46" s="1151"/>
      <c r="C46" s="1152"/>
      <c r="D46" s="1153"/>
      <c r="E46" s="2361" t="s">
        <v>2223</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3"/>
      <c r="Q47" s="1329"/>
      <c r="R47" s="1143"/>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29.25" thickBot="1">
      <c r="A54" s="1703"/>
      <c r="I54" s="2369" t="s">
        <v>2234</v>
      </c>
      <c r="J54" s="2415">
        <f ca="1">IF(M48="住宅",MAX(J52,L49-'数据-取费表'!B20),MIN(J52,L49-'数据-取费表'!B20))</f>
        <v>-2.5</v>
      </c>
      <c r="K54" s="3819"/>
      <c r="L54" s="3820"/>
      <c r="O54" s="1959" t="s">
        <v>1742</v>
      </c>
      <c r="P54" s="1957" t="s">
        <v>1743</v>
      </c>
      <c r="Q54" s="1958">
        <f ca="1">J54</f>
        <v>-2.5</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5" thickBot="1">
      <c r="A56" s="1703"/>
      <c r="B56" s="1704"/>
      <c r="C56" s="1704"/>
      <c r="I56" s="2379" t="s">
        <v>1709</v>
      </c>
      <c r="J56" s="2352" t="e">
        <f ca="1">ROUND(IF(J48="钢混",J58/J51,1-(1-2%)*(J51-J58)/J51),3)</f>
        <v>#DIV/0!</v>
      </c>
      <c r="K56" s="2380" t="s">
        <v>1710</v>
      </c>
      <c r="L56" s="1945"/>
      <c r="O56" s="1962" t="s">
        <v>1765</v>
      </c>
      <c r="P56" s="1143"/>
      <c r="Q56" s="1329"/>
      <c r="R56" s="1143"/>
    </row>
    <row r="57" spans="1:18" s="1671" customFormat="1" ht="43.5"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29.25"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7" t="s">
        <v>1721</v>
      </c>
      <c r="J63" s="2388" t="s">
        <v>1722</v>
      </c>
      <c r="K63" s="2388" t="s">
        <v>1723</v>
      </c>
      <c r="L63" s="2388" t="s">
        <v>1704</v>
      </c>
      <c r="M63" s="2389" t="s">
        <v>2203</v>
      </c>
      <c r="O63" s="1959" t="s">
        <v>1742</v>
      </c>
      <c r="P63" s="1957" t="s">
        <v>1750</v>
      </c>
      <c r="Q63" s="1958">
        <f ca="1">L60</f>
        <v>0</v>
      </c>
      <c r="R63" s="1961" t="s">
        <v>1751</v>
      </c>
    </row>
    <row r="64" spans="1:18" s="1671" customFormat="1" ht="15.75"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5" thickBot="1">
      <c r="A65" s="1703"/>
      <c r="B65" s="1704"/>
      <c r="C65" s="1704"/>
      <c r="I65" s="2387" t="s">
        <v>1725</v>
      </c>
      <c r="J65" s="2388">
        <v>50</v>
      </c>
      <c r="K65" s="2388">
        <v>35</v>
      </c>
      <c r="L65" s="2388">
        <v>60</v>
      </c>
      <c r="M65" s="779">
        <v>0</v>
      </c>
      <c r="O65" s="1962" t="s">
        <v>1769</v>
      </c>
      <c r="P65" s="1143"/>
      <c r="Q65" s="1329"/>
      <c r="R65" s="1143"/>
    </row>
    <row r="66" spans="1:18" s="1671" customFormat="1" ht="15.75"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34" priority="6">
      <formula>$F$12="自定义"</formula>
    </cfRule>
  </conditionalFormatting>
  <conditionalFormatting sqref="I56">
    <cfRule type="expression" dxfId="33" priority="4">
      <formula>$J$51&gt;$L$48</formula>
    </cfRule>
  </conditionalFormatting>
  <conditionalFormatting sqref="I61">
    <cfRule type="expression" dxfId="32" priority="2">
      <formula>$J$51&gt;$L$48</formula>
    </cfRule>
  </conditionalFormatting>
  <conditionalFormatting sqref="J13">
    <cfRule type="expression" dxfId="31" priority="5">
      <formula>$M$10="自定义"</formula>
    </cfRule>
  </conditionalFormatting>
  <conditionalFormatting sqref="K56">
    <cfRule type="expression" dxfId="30" priority="3">
      <formula>$L$48&gt;$J$51</formula>
    </cfRule>
  </conditionalFormatting>
  <conditionalFormatting sqref="K61">
    <cfRule type="expression" dxfId="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40" sqref="K40"/>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3711</v>
      </c>
      <c r="D1" s="2362" t="s">
        <v>3732</v>
      </c>
      <c r="E1" s="1946" t="s">
        <v>1728</v>
      </c>
      <c r="F1" s="1947">
        <f ca="1">J53</f>
        <v>47.45</v>
      </c>
      <c r="G1" s="2759">
        <f>MATCH(C1,'数据-取费表'!A6:A16,0)+5</f>
        <v>8</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457</v>
      </c>
      <c r="C2" s="2764"/>
      <c r="D2" s="2763"/>
      <c r="E2" s="2765"/>
      <c r="F2" s="2765"/>
      <c r="G2" s="2760"/>
      <c r="H2" s="1669"/>
      <c r="I2" s="1669"/>
      <c r="J2" s="1669"/>
      <c r="K2" s="1670"/>
      <c r="L2" s="1669"/>
      <c r="M2" s="1669"/>
    </row>
    <row r="3" spans="1:33" ht="18" customHeight="1" thickBot="1">
      <c r="A3" s="766" t="s">
        <v>1256</v>
      </c>
      <c r="B3" s="767">
        <f ca="1">IF(ISERROR(B2*10000/F43),0,ROUND(B2*10000/F43,0))</f>
        <v>1981</v>
      </c>
      <c r="C3" s="2764"/>
      <c r="D3" s="2763"/>
      <c r="E3" s="2765"/>
      <c r="F3" s="2765"/>
      <c r="G3" s="2760"/>
      <c r="H3" s="710" t="s">
        <v>642</v>
      </c>
      <c r="I3" s="1155"/>
      <c r="J3" s="1155"/>
      <c r="K3" s="1323"/>
      <c r="L3" s="1155"/>
      <c r="M3" s="1155"/>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0">
        <f ca="1">C6+C10+C12</f>
        <v>30</v>
      </c>
      <c r="D5" s="2000" t="s">
        <v>1805</v>
      </c>
      <c r="E5" s="1994"/>
      <c r="F5" s="1995"/>
      <c r="G5" s="1667"/>
      <c r="H5" s="715">
        <v>1</v>
      </c>
      <c r="I5" s="716" t="s">
        <v>1802</v>
      </c>
      <c r="J5" s="50">
        <f ca="1">J6+J10+J12</f>
        <v>0</v>
      </c>
      <c r="K5" s="2000" t="s">
        <v>1805</v>
      </c>
      <c r="L5" s="1994"/>
      <c r="M5" s="1995"/>
    </row>
    <row r="6" spans="1:33" ht="18" customHeight="1">
      <c r="A6" s="1520" t="s">
        <v>1353</v>
      </c>
      <c r="B6" s="3815" t="s">
        <v>1807</v>
      </c>
      <c r="C6" s="717">
        <f ca="1">ROUND(F6*F8*F7*(1-F9)/10000,0)</f>
        <v>30</v>
      </c>
      <c r="D6" s="2001" t="s">
        <v>1806</v>
      </c>
      <c r="E6" s="718" t="s">
        <v>1267</v>
      </c>
      <c r="F6" s="719">
        <f ca="1">INDIRECT("'数据-取费表'!u"&amp;$G$1)</f>
        <v>400</v>
      </c>
      <c r="G6" s="1667"/>
      <c r="H6" s="2008" t="s">
        <v>1812</v>
      </c>
      <c r="I6" s="3815" t="s">
        <v>1807</v>
      </c>
      <c r="J6" s="717">
        <f ca="1">ROUND(M6*M8*M7*(1-M9)/10000,0)</f>
        <v>0</v>
      </c>
      <c r="K6" s="314" t="s">
        <v>584</v>
      </c>
      <c r="L6" s="718" t="s">
        <v>1267</v>
      </c>
      <c r="M6" s="719">
        <f ca="1">INDIRECT("'数据-取费表'!z"&amp;$G$1)</f>
        <v>0</v>
      </c>
    </row>
    <row r="7" spans="1:33" ht="18" customHeight="1">
      <c r="A7" s="2004"/>
      <c r="B7" s="3816"/>
      <c r="C7" s="722"/>
      <c r="D7" s="723"/>
      <c r="E7" s="718" t="s">
        <v>1268</v>
      </c>
      <c r="F7" s="719">
        <f ca="1">IF(INDIRECT("'数据-取费表'!ah"&amp;$G$1)="",INDIRECT("'数据-取费表'!k"&amp;$G$1),INDIRECT("'数据-取费表'!ah"&amp;$G$1))</f>
        <v>70</v>
      </c>
      <c r="G7" s="1667"/>
      <c r="H7" s="1993"/>
      <c r="I7" s="3816"/>
      <c r="J7" s="722"/>
      <c r="K7" s="723"/>
      <c r="L7" s="718" t="s">
        <v>1268</v>
      </c>
      <c r="M7" s="719">
        <f ca="1">F7</f>
        <v>70</v>
      </c>
    </row>
    <row r="8" spans="1:33" ht="18" customHeight="1">
      <c r="A8" s="1997"/>
      <c r="B8" s="3817"/>
      <c r="C8" s="722"/>
      <c r="D8" s="723"/>
      <c r="E8" s="718" t="s">
        <v>1269</v>
      </c>
      <c r="F8" s="719">
        <f ca="1">INDIRECT("'数据-取费表'!ai"&amp;$G$1)</f>
        <v>12</v>
      </c>
      <c r="G8" s="1667"/>
      <c r="H8" s="1993"/>
      <c r="I8" s="3817"/>
      <c r="J8" s="722"/>
      <c r="K8" s="723"/>
      <c r="L8" s="718" t="s">
        <v>1269</v>
      </c>
      <c r="M8" s="719">
        <f ca="1">INDIRECT("'数据-取费表'!ai"&amp;$G$1)</f>
        <v>12</v>
      </c>
    </row>
    <row r="9" spans="1:33" ht="18" customHeight="1">
      <c r="A9" s="720"/>
      <c r="B9" s="3818"/>
      <c r="C9" s="722"/>
      <c r="D9" s="723"/>
      <c r="E9" s="718" t="s">
        <v>1270</v>
      </c>
      <c r="F9" s="728">
        <f ca="1">INDIRECT("'数据-取费表'!w"&amp;$G$1)</f>
        <v>0.1</v>
      </c>
      <c r="G9" s="1667"/>
      <c r="H9" s="2009"/>
      <c r="I9" s="3817"/>
      <c r="J9" s="722"/>
      <c r="K9" s="723"/>
      <c r="L9" s="729" t="s">
        <v>1270</v>
      </c>
      <c r="M9" s="730">
        <f ca="1">INDIRECT("'数据-取费表'!ab"&amp;$G$1)</f>
        <v>0</v>
      </c>
    </row>
    <row r="10" spans="1:33" ht="18" customHeight="1">
      <c r="A10" s="1520" t="s">
        <v>1810</v>
      </c>
      <c r="B10" s="1998" t="s">
        <v>1803</v>
      </c>
      <c r="C10" s="733">
        <f ca="1">ROUND(IF(F10="押一",C6/12*F11,IF(F10="押二",C6/12*2*F11,IF(F10="押三",C6/12*3*F11,C11*F11))),0)</f>
        <v>0</v>
      </c>
      <c r="D10" s="2005" t="s">
        <v>2230</v>
      </c>
      <c r="E10" s="2002" t="s">
        <v>1808</v>
      </c>
      <c r="F10" s="2075" t="s">
        <v>3733</v>
      </c>
      <c r="G10" s="1667"/>
      <c r="H10" s="2036" t="s">
        <v>1354</v>
      </c>
      <c r="I10" s="2040" t="s">
        <v>1803</v>
      </c>
      <c r="J10" s="717">
        <f ca="1">ROUND(IF(M10="押一",J6/12*M11,IF(M10="押二",J6/12*2*M11,IF(M10="押三",J6/12*3*M11,J11*M11))),0)</f>
        <v>0</v>
      </c>
      <c r="K10" s="2005" t="s">
        <v>2230</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1508</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8" t="s">
        <v>593</v>
      </c>
      <c r="C14" s="738">
        <f ca="1">INDIRECT("'数据-取费表'!m"&amp;$G$1)+INDIRECT("'数据-取费表'!t"&amp;$G$1)</f>
        <v>1127</v>
      </c>
      <c r="D14" s="3474" t="s">
        <v>1274</v>
      </c>
      <c r="E14" s="3475"/>
      <c r="F14" s="739"/>
      <c r="G14" s="1667"/>
      <c r="H14" s="1368" t="s">
        <v>1359</v>
      </c>
      <c r="I14" s="1824" t="s">
        <v>2102</v>
      </c>
      <c r="J14" s="48">
        <f ca="1">C29</f>
        <v>1508</v>
      </c>
      <c r="K14" s="21"/>
      <c r="L14" s="735"/>
      <c r="M14" s="736"/>
    </row>
    <row r="15" spans="1:33" s="1675" customFormat="1" ht="18" customHeight="1" thickBot="1">
      <c r="A15" s="1367" t="s">
        <v>1410</v>
      </c>
      <c r="B15" s="718" t="s">
        <v>595</v>
      </c>
      <c r="C15" s="48">
        <f ca="1">ROUND(C14*F15,0)</f>
        <v>56</v>
      </c>
      <c r="D15" s="740" t="s">
        <v>1275</v>
      </c>
      <c r="E15" s="740" t="s">
        <v>1276</v>
      </c>
      <c r="F15" s="741">
        <f>'数据-取费表'!B33</f>
        <v>0.05</v>
      </c>
      <c r="G15" s="2761"/>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8" t="s">
        <v>598</v>
      </c>
      <c r="C16" s="48">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3</v>
      </c>
      <c r="K16" s="1513" t="s">
        <v>1279</v>
      </c>
      <c r="L16" s="3476"/>
      <c r="M16" s="1995"/>
    </row>
    <row r="17" spans="1:33" s="1675" customFormat="1" ht="18" customHeight="1">
      <c r="A17" s="1367" t="s">
        <v>1412</v>
      </c>
      <c r="B17" s="718" t="s">
        <v>601</v>
      </c>
      <c r="C17" s="48">
        <f ca="1">ROUND(F17*(F43+INDIRECT("'数据-取费表'!S"&amp;$G$1))/10000,0)</f>
        <v>50</v>
      </c>
      <c r="D17" s="718" t="s">
        <v>1280</v>
      </c>
      <c r="E17" s="718" t="s">
        <v>1281</v>
      </c>
      <c r="F17" s="51">
        <f>'数据-取费表'!B35</f>
        <v>200</v>
      </c>
      <c r="G17" s="2761"/>
      <c r="H17" s="1368" t="s">
        <v>1359</v>
      </c>
      <c r="I17" s="718" t="s">
        <v>604</v>
      </c>
      <c r="J17" s="2554">
        <f ca="1">ROUND(IF(AND(项目基本情况!B11="自然人",项目基本情况!B10="北京市"),J6*M17/(1+'数据-取费表'!C42),J18+J19+J20),2)</f>
        <v>0.17</v>
      </c>
      <c r="K17" s="3474" t="s">
        <v>1282</v>
      </c>
      <c r="L17" s="3473"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8" t="s">
        <v>607</v>
      </c>
      <c r="C18" s="48">
        <f ca="1">ROUND(C14*F18,0)</f>
        <v>23</v>
      </c>
      <c r="D18" s="718" t="s">
        <v>1275</v>
      </c>
      <c r="E18" s="718" t="s">
        <v>1276</v>
      </c>
      <c r="F18" s="743">
        <f>'数据-取费表'!B36</f>
        <v>0.02</v>
      </c>
      <c r="G18" s="2761"/>
      <c r="H18" s="1367" t="s">
        <v>1409</v>
      </c>
      <c r="I18" s="718" t="s">
        <v>1284</v>
      </c>
      <c r="J18" s="48">
        <f ca="1">ROUND(J6*M18/(1+'数据-取费表'!C42),2)</f>
        <v>0</v>
      </c>
      <c r="K18" s="3473" t="s">
        <v>1285</v>
      </c>
      <c r="L18" s="718" t="s">
        <v>1276</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8" t="s">
        <v>610</v>
      </c>
      <c r="C19" s="48">
        <f ca="1">SUM(C14:C18)</f>
        <v>1256</v>
      </c>
      <c r="D19" s="240" t="s">
        <v>1286</v>
      </c>
      <c r="E19" s="3478"/>
      <c r="F19" s="51"/>
      <c r="G19" s="1667"/>
      <c r="H19" s="1367" t="s">
        <v>1410</v>
      </c>
      <c r="I19" s="718" t="s">
        <v>1287</v>
      </c>
      <c r="J19" s="48">
        <f ca="1">IF(K19="按租金收入计税",ROUND(J6*M19/(1+'数据-取费表'!C42),1),ROUND(C29*F33*0.7,2))</f>
        <v>0</v>
      </c>
      <c r="K19" s="744" t="s">
        <v>3243</v>
      </c>
      <c r="L19" s="718" t="s">
        <v>1276</v>
      </c>
      <c r="M19" s="743">
        <f>IF(K19="按租金收入计税",'数据-取费表'!B51,'数据-取费表'!B50)</f>
        <v>0.12</v>
      </c>
    </row>
    <row r="20" spans="1:33" s="1675" customFormat="1" ht="18" customHeight="1">
      <c r="A20" s="1368" t="s">
        <v>1414</v>
      </c>
      <c r="B20" s="718" t="s">
        <v>613</v>
      </c>
      <c r="C20" s="48">
        <f ca="1">ROUND(C19*F20,0)</f>
        <v>25</v>
      </c>
      <c r="D20" s="745" t="s">
        <v>1288</v>
      </c>
      <c r="E20" s="718" t="s">
        <v>1276</v>
      </c>
      <c r="F20" s="743">
        <f>'数据-取费表'!B37</f>
        <v>0.02</v>
      </c>
      <c r="G20" s="2761"/>
      <c r="H20" s="1370" t="s">
        <v>1405</v>
      </c>
      <c r="I20" s="314" t="s">
        <v>1289</v>
      </c>
      <c r="J20" s="49">
        <f ca="1">ROUND(M20*M21/10000,2)</f>
        <v>0.17</v>
      </c>
      <c r="K20" s="747" t="s">
        <v>1290</v>
      </c>
      <c r="L20" s="718" t="s">
        <v>1291</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8" t="s">
        <v>1292</v>
      </c>
      <c r="C21" s="48" t="s">
        <v>1293</v>
      </c>
      <c r="D21" s="745" t="s">
        <v>1655</v>
      </c>
      <c r="E21" s="718" t="s">
        <v>1294</v>
      </c>
      <c r="F21" s="743">
        <f>'数据-取费表'!B38</f>
        <v>0.02</v>
      </c>
      <c r="G21" s="2761"/>
      <c r="H21" s="2010"/>
      <c r="I21" s="727"/>
      <c r="J21" s="64"/>
      <c r="K21" s="749"/>
      <c r="L21" s="718" t="s">
        <v>1295</v>
      </c>
      <c r="M21" s="719">
        <f ca="1">INDIRECT("'数据-取费表'!r"&amp;$G$1)</f>
        <v>1134.71</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8" t="s">
        <v>1296</v>
      </c>
      <c r="C22" s="48"/>
      <c r="D22" s="2044" t="str">
        <f>IF(F23&lt;=1,"单利计息。","复利计息。")&amp;"建造成本、管理费用、销售费用产生的利息。"</f>
        <v>复利计息。建造成本、管理费用、销售费用产生的利息。</v>
      </c>
      <c r="E22" s="3478"/>
      <c r="F22" s="51"/>
      <c r="G22" s="1667"/>
      <c r="H22" s="1368" t="s">
        <v>1414</v>
      </c>
      <c r="I22" s="718" t="s">
        <v>1297</v>
      </c>
      <c r="J22" s="48">
        <f ca="1">ROUND(J14*M22,2)</f>
        <v>3.02</v>
      </c>
      <c r="K22" s="3473" t="s">
        <v>1298</v>
      </c>
      <c r="L22" s="718" t="s">
        <v>1276</v>
      </c>
      <c r="M22" s="750">
        <f ca="1">INDIRECT("'数据-取费表'!Ak"&amp;$G$1)</f>
        <v>2E-3</v>
      </c>
    </row>
    <row r="23" spans="1:33" s="1675" customFormat="1" ht="18" customHeight="1">
      <c r="A23" s="1367" t="s">
        <v>1360</v>
      </c>
      <c r="B23" s="718" t="s">
        <v>1818</v>
      </c>
      <c r="C23" s="48">
        <f ca="1">ROUND(IF('数据-取费表'!B22&lt;=1,(C19+C20)*F24*F23/2,(C19+C20)*(POWER((1+F24),F23/2)-1)),0)</f>
        <v>50</v>
      </c>
      <c r="D23" s="2043" t="str">
        <f>IF(F23&lt;=1,"(建造成本+管理费用)×利率×(建设周期÷2)","(建造成本+管理费用)×((1+利率)^(建设周期÷2)-1)")</f>
        <v>(建造成本+管理费用)×((1+利率)^(建设周期÷2)-1)</v>
      </c>
      <c r="E23" s="718" t="s">
        <v>1299</v>
      </c>
      <c r="F23" s="586">
        <f>'数据-取费表'!B20</f>
        <v>2.5</v>
      </c>
      <c r="G23" s="2761"/>
      <c r="H23" s="1368" t="s">
        <v>1415</v>
      </c>
      <c r="I23" s="718" t="s">
        <v>626</v>
      </c>
      <c r="J23" s="48">
        <f ca="1">ROUND(J13*M23,2)</f>
        <v>0</v>
      </c>
      <c r="K23" s="3473"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8" t="s">
        <v>1301</v>
      </c>
      <c r="C24" s="48">
        <f ca="1">ROUND(IF('数据-取费表'!B22&lt;=1,F21*F24*F23/2,F21*(POWER((1+F24),F23/2)-1)),4)</f>
        <v>8.0000000000000004E-4</v>
      </c>
      <c r="D24" s="2043" t="str">
        <f>IF(F23&lt;=1,"销售费用×利率×(建设周期÷2)","销售费用×((1+利率)^(建设周期÷2)-1)")</f>
        <v>销售费用×((1+利率)^(建设周期÷2)-1)</v>
      </c>
      <c r="E24" s="718" t="s">
        <v>1302</v>
      </c>
      <c r="F24" s="752">
        <f ca="1">'数据-取费表'!B40</f>
        <v>3.1E-2</v>
      </c>
      <c r="G24" s="2761"/>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8" t="s">
        <v>631</v>
      </c>
      <c r="C25" s="48"/>
      <c r="D25" s="240" t="s">
        <v>1304</v>
      </c>
      <c r="E25" s="3478"/>
      <c r="F25" s="51"/>
      <c r="G25" s="1667"/>
      <c r="H25" s="1519" t="s">
        <v>1305</v>
      </c>
      <c r="I25" s="2296" t="s">
        <v>2098</v>
      </c>
      <c r="J25" s="726">
        <f ca="1">J5-J16</f>
        <v>-3</v>
      </c>
      <c r="K25" s="2023" t="s">
        <v>1306</v>
      </c>
      <c r="L25" s="2024"/>
      <c r="M25" s="2025"/>
    </row>
    <row r="26" spans="1:33" ht="18" customHeight="1">
      <c r="A26" s="1367" t="s">
        <v>1360</v>
      </c>
      <c r="B26" s="718" t="s">
        <v>1785</v>
      </c>
      <c r="C26" s="48">
        <f ca="1">ROUND((C19+C20)*F26,0)</f>
        <v>64</v>
      </c>
      <c r="D26" s="745" t="s">
        <v>1307</v>
      </c>
      <c r="E26" s="729" t="s">
        <v>1308</v>
      </c>
      <c r="F26" s="728">
        <f ca="1">INDIRECT("'数据-取费表'!q"&amp;$G$1)</f>
        <v>0.05</v>
      </c>
      <c r="G26" s="1667"/>
      <c r="H26" s="2006" t="s">
        <v>1309</v>
      </c>
      <c r="I26" s="1825" t="s">
        <v>2103</v>
      </c>
      <c r="J26" s="717">
        <f ca="1">IF(J5&lt;&gt;0,ROUND(J25*(1-((1+M28)/(1+M26))^M27)/(M26-M28),0),0)</f>
        <v>0</v>
      </c>
      <c r="K26" s="747" t="s">
        <v>1310</v>
      </c>
      <c r="L26" s="718" t="s">
        <v>1773</v>
      </c>
      <c r="M26" s="728">
        <f ca="1">INDIRECT("'数据-取费表'!I"&amp;$G$1)</f>
        <v>0.05</v>
      </c>
    </row>
    <row r="27" spans="1:33" ht="18" customHeight="1">
      <c r="A27" s="1367" t="s">
        <v>1361</v>
      </c>
      <c r="B27" s="718" t="s">
        <v>633</v>
      </c>
      <c r="C27" s="48">
        <f ca="1">ROUND(F21*F26,4)</f>
        <v>1E-3</v>
      </c>
      <c r="D27" s="745" t="s">
        <v>653</v>
      </c>
      <c r="E27" s="740"/>
      <c r="F27" s="741"/>
      <c r="G27" s="1667"/>
      <c r="H27" s="2007"/>
      <c r="I27" s="721"/>
      <c r="J27" s="722"/>
      <c r="K27" s="754" t="s">
        <v>1312</v>
      </c>
      <c r="L27" s="718" t="s">
        <v>1313</v>
      </c>
      <c r="M27" s="755">
        <f ca="1">INDIRECT("'数据-取费表'!ag"&amp;$G$1)</f>
        <v>0</v>
      </c>
    </row>
    <row r="28" spans="1:33" s="1675" customFormat="1" ht="18" customHeight="1">
      <c r="A28" s="1369" t="s">
        <v>1370</v>
      </c>
      <c r="B28" s="718" t="s">
        <v>634</v>
      </c>
      <c r="C28" s="48">
        <f>ROUND(F28/(1+'数据-取费表'!C42),4)</f>
        <v>5.33E-2</v>
      </c>
      <c r="D28" s="745" t="s">
        <v>1656</v>
      </c>
      <c r="E28" s="718" t="s">
        <v>1314</v>
      </c>
      <c r="F28" s="743">
        <f>'数据-取费表'!B41</f>
        <v>5.6000000000000001E-2</v>
      </c>
      <c r="G28" s="2761"/>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1508</v>
      </c>
      <c r="D29" s="2020"/>
      <c r="E29" s="2021"/>
      <c r="F29" s="2022"/>
      <c r="G29" s="2761"/>
      <c r="H29" s="756" t="s">
        <v>1316</v>
      </c>
      <c r="I29" s="757" t="s">
        <v>1317</v>
      </c>
      <c r="J29" s="758">
        <f ca="1">ROUND(J26/(1+F40)^F41,0)</f>
        <v>0</v>
      </c>
      <c r="K29" s="759" t="s">
        <v>1318</v>
      </c>
      <c r="L29" s="760"/>
      <c r="M29" s="761">
        <f ca="1">INDIRECT("'数据-取费表'!k"&amp;$G$1)</f>
        <v>2307.2000000000003</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599</v>
      </c>
      <c r="C30" s="726">
        <f ca="1">ROUND(C31+C36+C37+C38,0)</f>
        <v>10</v>
      </c>
      <c r="D30" s="1513" t="s">
        <v>1320</v>
      </c>
      <c r="E30" s="3476"/>
      <c r="F30" s="1995"/>
      <c r="G30" s="1667"/>
      <c r="H30" s="1676"/>
      <c r="I30" s="1677"/>
      <c r="J30" s="1678"/>
      <c r="K30" s="1635"/>
      <c r="L30" s="1679"/>
      <c r="M30" s="1680"/>
    </row>
    <row r="31" spans="1:33" ht="18" customHeight="1">
      <c r="A31" s="1368" t="s">
        <v>1359</v>
      </c>
      <c r="B31" s="718" t="s">
        <v>604</v>
      </c>
      <c r="C31" s="2554">
        <f ca="1">ROUND(IF(AND(项目基本情况!B11="自然人",项目基本情况!B10="北京市"),C6*F31/(1+'数据-取费表'!C42),C32+C33+C34),2)</f>
        <v>5.2</v>
      </c>
      <c r="D31" s="3474" t="s">
        <v>1282</v>
      </c>
      <c r="E31" s="3473" t="s">
        <v>1322</v>
      </c>
      <c r="F31" s="2553" t="str">
        <f>IF(项目基本情况!B11="企业","——",IF(M47="住宅",IF(F6*F7*F8/12/(1+'数据-取费表'!F30)&gt;100000,4%,2.5%),IF(F6*F7*F8/12/(1+'数据-取费表'!F30)&gt;100000,12%,7%)))</f>
        <v>——</v>
      </c>
      <c r="G31" s="1667"/>
      <c r="H31" s="2758" t="s">
        <v>2280</v>
      </c>
      <c r="I31" s="1677"/>
      <c r="J31" s="1678"/>
      <c r="K31" s="1635"/>
      <c r="L31" s="1679"/>
      <c r="M31" s="1680"/>
    </row>
    <row r="32" spans="1:33" ht="18" customHeight="1">
      <c r="A32" s="1367" t="s">
        <v>1360</v>
      </c>
      <c r="B32" s="718" t="s">
        <v>1284</v>
      </c>
      <c r="C32" s="48">
        <f ca="1">ROUND(C6*F32/(1+'数据-取费表'!C42),2)</f>
        <v>1.6</v>
      </c>
      <c r="D32" s="3473" t="s">
        <v>1324</v>
      </c>
      <c r="E32" s="718" t="s">
        <v>1325</v>
      </c>
      <c r="F32" s="743">
        <f>'数据-取费表'!B41</f>
        <v>5.6000000000000001E-2</v>
      </c>
      <c r="G32" s="1667"/>
      <c r="H32" s="1681"/>
      <c r="I32" s="1682"/>
      <c r="J32" s="1683"/>
      <c r="K32" s="1684"/>
      <c r="L32" s="1685"/>
      <c r="M32" s="1686"/>
    </row>
    <row r="33" spans="1:18" ht="18" customHeight="1">
      <c r="A33" s="1367" t="s">
        <v>1361</v>
      </c>
      <c r="B33" s="718" t="s">
        <v>1326</v>
      </c>
      <c r="C33" s="48">
        <f ca="1">IF(D33="按租金收入计税",ROUND(C6*F33/(1+'数据-取费表'!C42),2),IF(D33="按房产原值计税",ROUND(C29*F33*0.7,2),INDIRECT("'数据-取费表'!Aj"&amp;$G$1)))</f>
        <v>3.43</v>
      </c>
      <c r="D33" s="744" t="s">
        <v>3243</v>
      </c>
      <c r="E33" s="718" t="s">
        <v>1325</v>
      </c>
      <c r="F33" s="743">
        <f>IF(D33="按租金收入计税",'数据-取费表'!B51,'数据-取费表'!B50)</f>
        <v>0.12</v>
      </c>
      <c r="G33" s="1667"/>
      <c r="H33" s="1687"/>
      <c r="I33" s="1687"/>
      <c r="J33" s="1687"/>
      <c r="K33" s="1688"/>
      <c r="L33" s="1687"/>
      <c r="M33" s="1687"/>
    </row>
    <row r="34" spans="1:18" ht="18" customHeight="1">
      <c r="A34" s="1370" t="s">
        <v>1362</v>
      </c>
      <c r="B34" s="314" t="s">
        <v>1327</v>
      </c>
      <c r="C34" s="49">
        <f ca="1">ROUND(F34*F35/10000,2)</f>
        <v>0.17</v>
      </c>
      <c r="D34" s="747" t="s">
        <v>1328</v>
      </c>
      <c r="E34" s="718" t="s">
        <v>1329</v>
      </c>
      <c r="F34" s="586">
        <f>'数据-取费表'!B52</f>
        <v>1.5</v>
      </c>
      <c r="G34" s="1667"/>
      <c r="H34" s="1676"/>
      <c r="I34" s="768" t="s">
        <v>1342</v>
      </c>
      <c r="J34" s="769"/>
      <c r="K34" s="1690"/>
      <c r="L34" s="1689"/>
      <c r="M34" s="1689"/>
    </row>
    <row r="35" spans="1:18" ht="18" customHeight="1">
      <c r="A35" s="748"/>
      <c r="B35" s="727"/>
      <c r="C35" s="64"/>
      <c r="D35" s="749"/>
      <c r="E35" s="718" t="s">
        <v>1330</v>
      </c>
      <c r="F35" s="719">
        <f ca="1">INDIRECT("'数据-取费表'!r"&amp;$G$1)</f>
        <v>1134.71</v>
      </c>
      <c r="G35" s="1667"/>
      <c r="H35" s="1676"/>
      <c r="I35" s="770" t="s">
        <v>1343</v>
      </c>
      <c r="J35" s="771">
        <f ca="1">ROUND(C13*J36,0)</f>
        <v>106</v>
      </c>
      <c r="K35" s="1688"/>
      <c r="L35" s="1687"/>
      <c r="M35" s="1687"/>
    </row>
    <row r="36" spans="1:18" ht="18" customHeight="1">
      <c r="A36" s="1368" t="s">
        <v>1414</v>
      </c>
      <c r="B36" s="718" t="s">
        <v>1331</v>
      </c>
      <c r="C36" s="48">
        <f ca="1">ROUND(C29*F36,2)</f>
        <v>3.02</v>
      </c>
      <c r="D36" s="3473"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8" t="s">
        <v>1415</v>
      </c>
      <c r="B37" s="718" t="s">
        <v>626</v>
      </c>
      <c r="C37" s="48">
        <f ca="1">ROUND(C13*F37,2)</f>
        <v>1.51</v>
      </c>
      <c r="D37" s="3473"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0.3</v>
      </c>
      <c r="D38" s="2020" t="s">
        <v>1334</v>
      </c>
      <c r="E38" s="2021" t="s">
        <v>1325</v>
      </c>
      <c r="F38" s="2017">
        <f ca="1">INDIRECT("'数据-取费表'!Am"&amp;$G$1)</f>
        <v>0.01</v>
      </c>
      <c r="G38" s="1667"/>
      <c r="H38" s="1687"/>
      <c r="I38" s="776" t="s">
        <v>1346</v>
      </c>
      <c r="J38" s="777"/>
      <c r="K38" s="1692"/>
      <c r="L38" s="1687"/>
      <c r="M38" s="1687"/>
    </row>
    <row r="39" spans="1:18" ht="24.6" customHeight="1" thickTop="1">
      <c r="A39" s="1519" t="s">
        <v>1419</v>
      </c>
      <c r="B39" s="2296" t="s">
        <v>2098</v>
      </c>
      <c r="C39" s="726">
        <f ca="1">C5-C30</f>
        <v>20</v>
      </c>
      <c r="D39" s="2023" t="s">
        <v>1335</v>
      </c>
      <c r="E39" s="2024"/>
      <c r="F39" s="2025"/>
      <c r="G39" s="1667"/>
      <c r="H39" s="1687"/>
      <c r="I39" s="770" t="s">
        <v>1347</v>
      </c>
      <c r="J39" s="778">
        <f ca="1">ROUND(J35/C39,3)</f>
        <v>5.3</v>
      </c>
      <c r="K39" s="1692"/>
      <c r="L39" s="1687"/>
      <c r="M39" s="1687"/>
    </row>
    <row r="40" spans="1:18" ht="18" customHeight="1">
      <c r="A40" s="715" t="s">
        <v>1420</v>
      </c>
      <c r="B40" s="1825" t="s">
        <v>1658</v>
      </c>
      <c r="C40" s="717">
        <f ca="1">ROUND(C39*(1-((1+F42)/(1+F40))^F41)/(F40-F42),0)</f>
        <v>457</v>
      </c>
      <c r="D40" s="747" t="s">
        <v>1336</v>
      </c>
      <c r="E40" s="718" t="s">
        <v>1773</v>
      </c>
      <c r="F40" s="728">
        <f ca="1">INDIRECT("'数据-取费表'!I"&amp;$G$1)</f>
        <v>0.05</v>
      </c>
      <c r="G40" s="1667"/>
      <c r="H40" s="1667"/>
      <c r="I40" s="770" t="s">
        <v>1348</v>
      </c>
      <c r="J40" s="778">
        <f ca="1">1-J39</f>
        <v>-4.3</v>
      </c>
      <c r="K40" s="1692"/>
      <c r="L40" s="1667"/>
      <c r="M40" s="1667"/>
    </row>
    <row r="41" spans="1:18" ht="18" customHeight="1">
      <c r="A41" s="720"/>
      <c r="B41" s="721"/>
      <c r="C41" s="722"/>
      <c r="D41" s="754" t="s">
        <v>1337</v>
      </c>
      <c r="E41" s="718" t="s">
        <v>2222</v>
      </c>
      <c r="F41" s="755">
        <f ca="1">IF(INDIRECT("'数据-取费表'!af"&amp;$G$1)=0,INDIRECT("'数据-取费表'!ae"&amp;$G$1),INDIRECT("'数据-取费表'!af"&amp;$G$1))</f>
        <v>47.45</v>
      </c>
      <c r="G41" s="1667"/>
      <c r="H41" s="1635"/>
      <c r="I41" s="776" t="s">
        <v>1349</v>
      </c>
      <c r="J41" s="779"/>
      <c r="K41" s="1691"/>
      <c r="L41" s="1635"/>
      <c r="M41" s="1635"/>
    </row>
    <row r="42" spans="1:18" ht="18" customHeight="1">
      <c r="A42" s="724"/>
      <c r="B42" s="725"/>
      <c r="C42" s="726"/>
      <c r="D42" s="749"/>
      <c r="E42" s="718" t="s">
        <v>1338</v>
      </c>
      <c r="F42" s="728">
        <f ca="1">INDIRECT("'数据-取费表'!v"&amp;$G$1)</f>
        <v>1.4999999999999999E-2</v>
      </c>
      <c r="G42" s="1667"/>
      <c r="H42" s="1635"/>
      <c r="I42" s="780" t="s">
        <v>1350</v>
      </c>
      <c r="J42" s="778">
        <f ca="1">ROUND(C13/C40,3)</f>
        <v>3.3</v>
      </c>
      <c r="K42" s="1691"/>
      <c r="L42" s="1635"/>
      <c r="M42" s="1635"/>
    </row>
    <row r="43" spans="1:18" ht="18" customHeight="1" thickBot="1">
      <c r="A43" s="756" t="s">
        <v>1316</v>
      </c>
      <c r="B43" s="757" t="s">
        <v>1339</v>
      </c>
      <c r="C43" s="758">
        <f ca="1">ROUND(C40*10000/F43,0)</f>
        <v>1981</v>
      </c>
      <c r="D43" s="759" t="s">
        <v>1340</v>
      </c>
      <c r="E43" s="760" t="s">
        <v>1341</v>
      </c>
      <c r="F43" s="761">
        <f ca="1">INDIRECT("'数据-取费表'!k"&amp;$G$1)</f>
        <v>2307.2000000000003</v>
      </c>
      <c r="G43" s="1667"/>
      <c r="H43" s="1635"/>
      <c r="I43" s="780" t="s">
        <v>1351</v>
      </c>
      <c r="J43" s="781">
        <f ca="1">1-J42</f>
        <v>-2.2999999999999998</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f ca="1">C67-C40</f>
        <v>-547</v>
      </c>
      <c r="D46" s="2762"/>
      <c r="E46" s="2762"/>
      <c r="F46" s="2762"/>
      <c r="I46" s="1938" t="s">
        <v>1697</v>
      </c>
      <c r="J46" s="1939"/>
      <c r="K46" s="1940"/>
      <c r="L46" s="2374">
        <f>IF(OR(M47="住宅",D1="土地（套用方法）"),0,IF(L48&gt;J51,L60,J60))</f>
        <v>0</v>
      </c>
      <c r="M46" s="2763"/>
      <c r="O46" s="1952" t="s">
        <v>1764</v>
      </c>
      <c r="P46" s="1143"/>
      <c r="Q46" s="1329"/>
      <c r="R46" s="1143"/>
    </row>
    <row r="47" spans="1:18" s="1671" customFormat="1" ht="18" customHeight="1" thickBot="1">
      <c r="A47" s="3381">
        <v>1</v>
      </c>
      <c r="B47" s="3382" t="s">
        <v>583</v>
      </c>
      <c r="C47" s="3383">
        <f ca="1">C48+C52+C54</f>
        <v>0</v>
      </c>
      <c r="D47" s="3384"/>
      <c r="E47" s="3384"/>
      <c r="F47" s="3385"/>
      <c r="I47" s="2366" t="s">
        <v>1698</v>
      </c>
      <c r="J47" s="1941" t="s">
        <v>3668</v>
      </c>
      <c r="K47" s="2371" t="s">
        <v>1703</v>
      </c>
      <c r="L47" s="2375">
        <f ca="1">INDIRECT("'数据-取费表'!d"&amp;$G$1)</f>
        <v>50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49.95</v>
      </c>
      <c r="M48" s="2763"/>
      <c r="O48" s="1956" t="s">
        <v>1733</v>
      </c>
      <c r="P48" s="1957" t="s">
        <v>1759</v>
      </c>
      <c r="Q48" s="1958">
        <f ca="1">C40+J29</f>
        <v>457</v>
      </c>
      <c r="R48" s="1957" t="s">
        <v>1734</v>
      </c>
    </row>
    <row r="49" spans="1:18" s="1671" customFormat="1" ht="18" customHeight="1" thickBot="1">
      <c r="A49" s="720"/>
      <c r="B49" s="721"/>
      <c r="C49" s="722"/>
      <c r="D49" s="723"/>
      <c r="E49" s="718" t="s">
        <v>1268</v>
      </c>
      <c r="F49" s="719">
        <f ca="1">F7</f>
        <v>70</v>
      </c>
      <c r="G49" s="1698"/>
      <c r="H49" s="1701"/>
      <c r="I49" s="2363" t="s">
        <v>1700</v>
      </c>
      <c r="J49" s="1943"/>
      <c r="K49" s="2373" t="s">
        <v>1706</v>
      </c>
      <c r="L49" s="1565"/>
      <c r="M49" s="2763"/>
      <c r="O49" s="1956" t="s">
        <v>1735</v>
      </c>
      <c r="P49" s="1957" t="s">
        <v>1760</v>
      </c>
      <c r="Q49" s="1958" t="str">
        <f ca="1">J60</f>
        <v>0</v>
      </c>
      <c r="R49" s="1957" t="s">
        <v>1736</v>
      </c>
    </row>
    <row r="50" spans="1:18" s="1671" customFormat="1" ht="18" customHeight="1" thickBot="1">
      <c r="A50" s="720"/>
      <c r="B50" s="721"/>
      <c r="C50" s="722"/>
      <c r="D50" s="723"/>
      <c r="E50" s="718" t="s">
        <v>1269</v>
      </c>
      <c r="F50" s="719">
        <f ca="1">F8</f>
        <v>12</v>
      </c>
      <c r="H50" s="1701"/>
      <c r="I50" s="2363" t="s">
        <v>1701</v>
      </c>
      <c r="J50" s="2370">
        <f>SUMPRODUCT((I63:I65=J47)*(J62:L62=J48)*(J63:L65))</f>
        <v>60</v>
      </c>
      <c r="K50" s="2373" t="s">
        <v>1707</v>
      </c>
      <c r="L50" s="1565"/>
      <c r="M50" s="2763"/>
      <c r="O50" s="1959" t="s">
        <v>1737</v>
      </c>
      <c r="P50" s="1957" t="s">
        <v>1761</v>
      </c>
      <c r="Q50" s="1958">
        <f ca="1">C29</f>
        <v>1508</v>
      </c>
      <c r="R50" s="1957" t="s">
        <v>1734</v>
      </c>
    </row>
    <row r="51" spans="1:18" s="1671" customFormat="1" ht="18" customHeight="1" thickBot="1">
      <c r="A51" s="720"/>
      <c r="B51" s="721"/>
      <c r="C51" s="722"/>
      <c r="D51" s="723"/>
      <c r="E51" s="718" t="s">
        <v>588</v>
      </c>
      <c r="F51" s="1933"/>
      <c r="H51" s="1701"/>
      <c r="I51" s="2367" t="s">
        <v>1702</v>
      </c>
      <c r="J51" s="1566">
        <f>IF(J49="",J50,J49+J50-YEAR('数据-取费表'!B2))</f>
        <v>60</v>
      </c>
      <c r="K51" s="2363" t="s">
        <v>1708</v>
      </c>
      <c r="L51" s="2376">
        <f ca="1">ROUND(-PV(INDIRECT("'数据-取费表'!h"&amp;$G$1),J51,(C39-C13*J36),0),0)</f>
        <v>-1766</v>
      </c>
      <c r="M51" s="2763"/>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2230</v>
      </c>
      <c r="E52" s="2002" t="s">
        <v>1808</v>
      </c>
      <c r="F52" s="2075"/>
      <c r="I52" s="2368" t="s">
        <v>1775</v>
      </c>
      <c r="J52" s="1944">
        <v>7.4999999999999997E-2</v>
      </c>
      <c r="K52" s="2368" t="s">
        <v>1774</v>
      </c>
      <c r="L52" s="1944"/>
      <c r="M52" s="2763"/>
      <c r="O52" s="1959" t="s">
        <v>1740</v>
      </c>
      <c r="P52" s="1957" t="s">
        <v>1741</v>
      </c>
      <c r="Q52" s="1960">
        <f>J52</f>
        <v>7.4999999999999997E-2</v>
      </c>
      <c r="R52" s="1961"/>
    </row>
    <row r="53" spans="1:18" s="1671" customFormat="1" ht="39.75" customHeight="1" thickBot="1">
      <c r="A53" s="720"/>
      <c r="B53" s="1999" t="s">
        <v>1856</v>
      </c>
      <c r="C53" s="2003"/>
      <c r="D53" s="2005"/>
      <c r="E53" s="2002"/>
      <c r="F53" s="734"/>
      <c r="I53" s="2369" t="s">
        <v>2234</v>
      </c>
      <c r="J53" s="2415">
        <f ca="1">IF(M47="住宅",IF(D1="——",MAX(J51,L48),MAX(J51,L48-'数据-取费表'!B20)),IF(D1="——",MIN(J51,L48),MIN(J51,L48-'数据-取费表'!B20)))</f>
        <v>47.45</v>
      </c>
      <c r="K53" s="3821" t="s">
        <v>2224</v>
      </c>
      <c r="L53" s="3822"/>
      <c r="M53" s="2763"/>
      <c r="O53" s="1959" t="s">
        <v>1742</v>
      </c>
      <c r="P53" s="1957" t="s">
        <v>1743</v>
      </c>
      <c r="Q53" s="1958">
        <f ca="1">J53</f>
        <v>47.45</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3"/>
      <c r="O54" s="1956" t="s">
        <v>1745</v>
      </c>
      <c r="P54" s="1957" t="s">
        <v>1762</v>
      </c>
      <c r="Q54" s="1958">
        <f ca="1">Q48+Q49</f>
        <v>457</v>
      </c>
      <c r="R54" s="1961" t="s">
        <v>1746</v>
      </c>
    </row>
    <row r="55" spans="1:18" s="1671" customFormat="1" ht="18" customHeight="1" thickTop="1" thickBot="1">
      <c r="A55" s="731">
        <v>2</v>
      </c>
      <c r="B55" s="732" t="s">
        <v>592</v>
      </c>
      <c r="C55" s="733">
        <f ca="1">C13</f>
        <v>1508</v>
      </c>
      <c r="D55" s="729"/>
      <c r="E55" s="729"/>
      <c r="F55" s="734"/>
      <c r="I55" s="2379" t="s">
        <v>1709</v>
      </c>
      <c r="J55" s="2352" t="e">
        <f ca="1">ROUND(IF(J47="钢混",J57/J50,1-(1-2%)*(J50-J57)/J50),3)</f>
        <v>#VALUE!</v>
      </c>
      <c r="K55" s="2380" t="s">
        <v>1710</v>
      </c>
      <c r="L55" s="1945"/>
      <c r="M55" s="2763"/>
      <c r="O55" s="1962" t="s">
        <v>1765</v>
      </c>
      <c r="P55" s="1143"/>
      <c r="Q55" s="1329"/>
      <c r="R55" s="1143"/>
    </row>
    <row r="56" spans="1:18" s="1671" customFormat="1" ht="42.75" customHeight="1" thickBot="1">
      <c r="A56" s="1369"/>
      <c r="B56" s="1824" t="s">
        <v>1659</v>
      </c>
      <c r="C56" s="48">
        <f ca="1">C29</f>
        <v>1508</v>
      </c>
      <c r="D56" s="3473"/>
      <c r="E56" s="718"/>
      <c r="F56" s="743"/>
      <c r="I56" s="2381" t="s">
        <v>1711</v>
      </c>
      <c r="J56" s="2391" t="s">
        <v>3281</v>
      </c>
      <c r="K56" s="2363" t="s">
        <v>1716</v>
      </c>
      <c r="L56" s="1566" t="str">
        <f ca="1">IF(L48&lt;J51,"——",L48-J51)</f>
        <v>——</v>
      </c>
      <c r="M56" s="2763"/>
      <c r="O56" s="1953" t="s">
        <v>1729</v>
      </c>
      <c r="P56" s="1954" t="s">
        <v>1730</v>
      </c>
      <c r="Q56" s="1955" t="s">
        <v>1731</v>
      </c>
      <c r="R56" s="1954" t="s">
        <v>1732</v>
      </c>
    </row>
    <row r="57" spans="1:18" s="1671" customFormat="1" ht="28.5" customHeight="1" thickBot="1">
      <c r="A57" s="731" t="s">
        <v>1277</v>
      </c>
      <c r="B57" s="732" t="s">
        <v>599</v>
      </c>
      <c r="C57" s="733">
        <f ca="1">ROUND(C58+C63+C64+C65,0)</f>
        <v>5</v>
      </c>
      <c r="D57" s="21" t="s">
        <v>1279</v>
      </c>
      <c r="E57" s="3478"/>
      <c r="F57" s="51"/>
      <c r="I57" s="2382" t="s">
        <v>1712</v>
      </c>
      <c r="J57" s="2383" t="str">
        <f ca="1">IF(OR(M47="住宅",J51&lt;L48,J56="是"),"——",J51-L48)</f>
        <v>——</v>
      </c>
      <c r="K57" s="2363" t="s">
        <v>1717</v>
      </c>
      <c r="L57" s="1566" t="str">
        <f ca="1">IF(L48&lt;J51,"——",IF(L55="比较法",L49,IF(L55="基准地价",L50,L51)))</f>
        <v>——</v>
      </c>
      <c r="M57" s="2763"/>
      <c r="O57" s="1956" t="s">
        <v>1733</v>
      </c>
      <c r="P57" s="1957" t="s">
        <v>1759</v>
      </c>
      <c r="Q57" s="1958">
        <f ca="1">C40+J29</f>
        <v>457</v>
      </c>
      <c r="R57" s="1957" t="s">
        <v>1734</v>
      </c>
    </row>
    <row r="58" spans="1:18" s="1671" customFormat="1" ht="28.5" customHeight="1" thickBot="1">
      <c r="A58" s="1368" t="s">
        <v>1353</v>
      </c>
      <c r="B58" s="718" t="s">
        <v>604</v>
      </c>
      <c r="C58" s="2554">
        <f ca="1">ROUND(IF(AND(项目基本情况!B11="自然人",项目基本情况!B10="北京市"),C48*F58/(1+'数据-取费表'!C42),C59+C60+C61),2)</f>
        <v>0.17</v>
      </c>
      <c r="D58" s="3474" t="s">
        <v>605</v>
      </c>
      <c r="E58" s="3473"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3"/>
      <c r="O58" s="1956" t="s">
        <v>1735</v>
      </c>
      <c r="P58" s="1957" t="s">
        <v>1766</v>
      </c>
      <c r="Q58" s="1958">
        <f ca="1">L60</f>
        <v>0</v>
      </c>
      <c r="R58" s="1961" t="s">
        <v>1768</v>
      </c>
    </row>
    <row r="59" spans="1:18" s="1671" customFormat="1" ht="28.5" customHeight="1" thickBot="1">
      <c r="A59" s="1367" t="s">
        <v>1360</v>
      </c>
      <c r="B59" s="718" t="s">
        <v>608</v>
      </c>
      <c r="C59" s="48">
        <f ca="1">ROUND(C47*F59/1.05,2)</f>
        <v>0</v>
      </c>
      <c r="D59" s="3473" t="s">
        <v>1285</v>
      </c>
      <c r="E59" s="718" t="s">
        <v>1276</v>
      </c>
      <c r="F59" s="743">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3"/>
      <c r="O59" s="1959" t="s">
        <v>1737</v>
      </c>
      <c r="P59" s="1957" t="s">
        <v>1767</v>
      </c>
      <c r="Q59" s="1958">
        <f>IF(L55="比较法",L49,IF(L55="基准地价",L50,0))</f>
        <v>0</v>
      </c>
      <c r="R59" s="1957" t="s">
        <v>1734</v>
      </c>
    </row>
    <row r="60" spans="1:18" s="1671" customFormat="1" ht="18" customHeight="1" thickBot="1">
      <c r="A60" s="1367" t="s">
        <v>1361</v>
      </c>
      <c r="B60" s="718" t="s">
        <v>1287</v>
      </c>
      <c r="C60" s="48">
        <f ca="1">IF(D60="按租金收入计税",ROUND(C48*F60/(1+'数据-取费表'!C42),2),IF(D60="按房产原值计税",ROUND(C56*F60*0.7,2),INDIRECT("'数据-取费表'!Aj"&amp;$G$1)))</f>
        <v>0</v>
      </c>
      <c r="D60" s="3473" t="str">
        <f>D33</f>
        <v>按租金收入计税</v>
      </c>
      <c r="E60" s="718" t="s">
        <v>1276</v>
      </c>
      <c r="F60" s="743">
        <f t="shared" si="0"/>
        <v>0.12</v>
      </c>
      <c r="I60" s="2384" t="s">
        <v>1715</v>
      </c>
      <c r="J60" s="2385" t="str">
        <f ca="1">IF(OR(M47="住宅",J51&lt;L48,J56="是"),"0",ROUND(J59/(1+J52)^J53,0))</f>
        <v>0</v>
      </c>
      <c r="K60" s="2386" t="s">
        <v>1720</v>
      </c>
      <c r="L60" s="2385">
        <f ca="1">IF(OR(M47="住宅",L48&lt;J51),0,ROUND(L57*(L58/L59-1),0))</f>
        <v>0</v>
      </c>
      <c r="M60" s="2763"/>
      <c r="O60" s="1959" t="s">
        <v>1738</v>
      </c>
      <c r="P60" s="1957" t="s">
        <v>1747</v>
      </c>
      <c r="Q60" s="1960">
        <f>L52</f>
        <v>0</v>
      </c>
      <c r="R60" s="1961"/>
    </row>
    <row r="61" spans="1:18" s="1671" customFormat="1" ht="18" customHeight="1" thickBot="1">
      <c r="A61" s="1370" t="s">
        <v>1362</v>
      </c>
      <c r="B61" s="314" t="s">
        <v>615</v>
      </c>
      <c r="C61" s="49">
        <f ca="1">ROUND(F61*F62/10000,2)</f>
        <v>0.17</v>
      </c>
      <c r="D61" s="747" t="s">
        <v>616</v>
      </c>
      <c r="E61" s="718" t="s">
        <v>617</v>
      </c>
      <c r="F61" s="586">
        <f t="shared" si="0"/>
        <v>1.5</v>
      </c>
      <c r="K61" s="1695"/>
      <c r="O61" s="1959" t="s">
        <v>1740</v>
      </c>
      <c r="P61" s="1957" t="s">
        <v>1748</v>
      </c>
      <c r="Q61" s="1958" t="e">
        <f ca="1">L58</f>
        <v>#DIV/0!</v>
      </c>
      <c r="R61" s="1961" t="s">
        <v>1749</v>
      </c>
    </row>
    <row r="62" spans="1:18" s="1671" customFormat="1" ht="15.75" thickBot="1">
      <c r="A62" s="748"/>
      <c r="B62" s="727"/>
      <c r="C62" s="64"/>
      <c r="D62" s="749"/>
      <c r="E62" s="718" t="s">
        <v>621</v>
      </c>
      <c r="F62" s="719">
        <f t="shared" ca="1" si="0"/>
        <v>1134.71</v>
      </c>
      <c r="I62" s="2387" t="s">
        <v>1721</v>
      </c>
      <c r="J62" s="2388" t="s">
        <v>1722</v>
      </c>
      <c r="K62" s="2388" t="s">
        <v>1723</v>
      </c>
      <c r="L62" s="2388" t="s">
        <v>1704</v>
      </c>
      <c r="M62" s="2389" t="s">
        <v>2203</v>
      </c>
      <c r="O62" s="1959" t="s">
        <v>1742</v>
      </c>
      <c r="P62" s="1957" t="str">
        <f>K59</f>
        <v>建设期及建筑物耐用年限下的土地年期修正系数Kn</v>
      </c>
      <c r="Q62" s="1958" t="e">
        <f ca="1">L59</f>
        <v>#DIV/0!</v>
      </c>
      <c r="R62" s="1961" t="s">
        <v>1751</v>
      </c>
    </row>
    <row r="63" spans="1:18" s="1671" customFormat="1" ht="15.75" thickBot="1">
      <c r="A63" s="1368" t="s">
        <v>1414</v>
      </c>
      <c r="B63" s="718" t="s">
        <v>623</v>
      </c>
      <c r="C63" s="48">
        <f ca="1">ROUND(C56*F63,2)</f>
        <v>3.02</v>
      </c>
      <c r="D63" s="3473" t="s">
        <v>1332</v>
      </c>
      <c r="E63" s="718" t="s">
        <v>1276</v>
      </c>
      <c r="F63" s="750">
        <f t="shared" ca="1" si="0"/>
        <v>2E-3</v>
      </c>
      <c r="I63" s="2387" t="s">
        <v>1724</v>
      </c>
      <c r="J63" s="2388">
        <v>70</v>
      </c>
      <c r="K63" s="2388">
        <v>50</v>
      </c>
      <c r="L63" s="2388">
        <v>80</v>
      </c>
      <c r="M63" s="2390">
        <v>0.02</v>
      </c>
      <c r="O63" s="1956" t="s">
        <v>1745</v>
      </c>
      <c r="P63" s="1957" t="s">
        <v>1762</v>
      </c>
      <c r="Q63" s="1958">
        <f ca="1">Q57+Q58</f>
        <v>457</v>
      </c>
      <c r="R63" s="1961" t="s">
        <v>1746</v>
      </c>
    </row>
    <row r="64" spans="1:18" s="1671" customFormat="1" ht="16.5" thickBot="1">
      <c r="A64" s="1368" t="s">
        <v>1415</v>
      </c>
      <c r="B64" s="718" t="s">
        <v>626</v>
      </c>
      <c r="C64" s="48">
        <f ca="1">ROUND(C55*F64,2)</f>
        <v>1.51</v>
      </c>
      <c r="D64" s="3473" t="s">
        <v>627</v>
      </c>
      <c r="E64" s="718" t="s">
        <v>1276</v>
      </c>
      <c r="F64" s="751">
        <f t="shared" ca="1" si="0"/>
        <v>1E-3</v>
      </c>
      <c r="I64" s="2387" t="s">
        <v>1725</v>
      </c>
      <c r="J64" s="2388">
        <v>50</v>
      </c>
      <c r="K64" s="2388">
        <v>35</v>
      </c>
      <c r="L64" s="2388">
        <v>60</v>
      </c>
      <c r="M64" s="779">
        <v>0</v>
      </c>
      <c r="O64" s="1962" t="s">
        <v>1769</v>
      </c>
      <c r="P64" s="1143"/>
      <c r="Q64" s="1329"/>
      <c r="R64" s="1143"/>
    </row>
    <row r="65" spans="1:18" s="1671" customFormat="1" ht="15.75" thickBot="1">
      <c r="A65" s="1368" t="s">
        <v>1416</v>
      </c>
      <c r="B65" s="718" t="s">
        <v>613</v>
      </c>
      <c r="C65" s="48">
        <f ca="1">ROUND(C47*F65,2)</f>
        <v>0</v>
      </c>
      <c r="D65" s="3473" t="s">
        <v>630</v>
      </c>
      <c r="E65" s="718" t="s">
        <v>1276</v>
      </c>
      <c r="F65" s="728">
        <f t="shared" ca="1" si="0"/>
        <v>0.01</v>
      </c>
      <c r="I65" s="2387" t="s">
        <v>1726</v>
      </c>
      <c r="J65" s="2388">
        <v>40</v>
      </c>
      <c r="K65" s="2388">
        <v>30</v>
      </c>
      <c r="L65" s="2388">
        <v>50</v>
      </c>
      <c r="M65" s="2390">
        <v>0.02</v>
      </c>
      <c r="O65" s="1953" t="s">
        <v>1729</v>
      </c>
      <c r="P65" s="1954" t="s">
        <v>1730</v>
      </c>
      <c r="Q65" s="1955" t="s">
        <v>1731</v>
      </c>
      <c r="R65" s="1954" t="s">
        <v>1732</v>
      </c>
    </row>
    <row r="66" spans="1:18" s="1671" customFormat="1" ht="24.75" thickBot="1">
      <c r="A66" s="731" t="s">
        <v>1305</v>
      </c>
      <c r="B66" s="2297" t="s">
        <v>2098</v>
      </c>
      <c r="C66" s="733">
        <f ca="1">C47-C57</f>
        <v>-5</v>
      </c>
      <c r="D66" s="3474" t="s">
        <v>647</v>
      </c>
      <c r="E66" s="3477"/>
      <c r="F66" s="753"/>
      <c r="K66" s="1695"/>
      <c r="O66" s="1956" t="s">
        <v>1733</v>
      </c>
      <c r="P66" s="1957" t="s">
        <v>1759</v>
      </c>
      <c r="Q66" s="1958">
        <f ca="1">C40+J29</f>
        <v>457</v>
      </c>
      <c r="R66" s="1957" t="s">
        <v>1734</v>
      </c>
    </row>
    <row r="67" spans="1:18" s="1671" customFormat="1" ht="20.25" thickBot="1">
      <c r="A67" s="715" t="s">
        <v>1309</v>
      </c>
      <c r="B67" s="1825" t="s">
        <v>1658</v>
      </c>
      <c r="C67" s="717">
        <f ca="1">ROUND(C66*(1-((1+F69)/(1+F67))^F68)/(F67-F69),0)</f>
        <v>-90</v>
      </c>
      <c r="D67" s="747" t="s">
        <v>651</v>
      </c>
      <c r="E67" s="718" t="s">
        <v>652</v>
      </c>
      <c r="F67" s="728">
        <f ca="1">F40</f>
        <v>0.05</v>
      </c>
      <c r="K67" s="1695"/>
      <c r="O67" s="1956" t="s">
        <v>1735</v>
      </c>
      <c r="P67" s="1957" t="s">
        <v>1766</v>
      </c>
      <c r="Q67" s="1958">
        <f ca="1">L60</f>
        <v>0</v>
      </c>
      <c r="R67" s="1961" t="s">
        <v>1768</v>
      </c>
    </row>
    <row r="68" spans="1:18" ht="21.75" thickBot="1">
      <c r="A68" s="720"/>
      <c r="B68" s="721"/>
      <c r="C68" s="722"/>
      <c r="D68" s="754" t="s">
        <v>1337</v>
      </c>
      <c r="E68" s="718" t="s">
        <v>1313</v>
      </c>
      <c r="F68" s="755">
        <f ca="1">F41</f>
        <v>47.45</v>
      </c>
      <c r="O68" s="1959" t="s">
        <v>1737</v>
      </c>
      <c r="P68" s="1957" t="s">
        <v>1767</v>
      </c>
      <c r="Q68" s="1963">
        <f ca="1">L51</f>
        <v>-1766</v>
      </c>
      <c r="R68" s="1964" t="s">
        <v>1770</v>
      </c>
    </row>
    <row r="69" spans="1:18" ht="20.25" thickBot="1">
      <c r="A69" s="724"/>
      <c r="B69" s="725"/>
      <c r="C69" s="726"/>
      <c r="D69" s="749"/>
      <c r="E69" s="718" t="s">
        <v>657</v>
      </c>
      <c r="F69" s="1933"/>
      <c r="O69" s="1959" t="s">
        <v>1738</v>
      </c>
      <c r="P69" s="1965" t="s">
        <v>1752</v>
      </c>
      <c r="Q69" s="1958">
        <f ca="1">ROUND(Q70-Q71*Q72,0)</f>
        <v>-86</v>
      </c>
      <c r="R69" s="1961"/>
    </row>
    <row r="70" spans="1:18" ht="15.75" thickBot="1">
      <c r="A70" s="756" t="s">
        <v>1316</v>
      </c>
      <c r="B70" s="757" t="s">
        <v>1339</v>
      </c>
      <c r="C70" s="758">
        <f ca="1">ROUND(C67*10000/F70,0)</f>
        <v>-390</v>
      </c>
      <c r="D70" s="759" t="s">
        <v>1340</v>
      </c>
      <c r="E70" s="760" t="s">
        <v>1341</v>
      </c>
      <c r="F70" s="761">
        <f ca="1">F43</f>
        <v>2307.2000000000003</v>
      </c>
      <c r="O70" s="1959" t="s">
        <v>1753</v>
      </c>
      <c r="P70" s="1965" t="s">
        <v>1754</v>
      </c>
      <c r="Q70" s="1958">
        <f ca="1">C39</f>
        <v>20</v>
      </c>
      <c r="R70" s="1957" t="s">
        <v>1734</v>
      </c>
    </row>
    <row r="71" spans="1:18" ht="15.75" thickBot="1">
      <c r="O71" s="1959" t="s">
        <v>1755</v>
      </c>
      <c r="P71" s="1965" t="s">
        <v>1756</v>
      </c>
      <c r="Q71" s="1958">
        <f ca="1">C13</f>
        <v>1508</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建设期及建筑物耐用年限下的土地年期修正系数Kn</v>
      </c>
      <c r="Q75" s="1958" t="e">
        <f ca="1">L59</f>
        <v>#DIV/0!</v>
      </c>
      <c r="R75" s="1961" t="s">
        <v>1751</v>
      </c>
    </row>
    <row r="76" spans="1:18" ht="15.75" thickBot="1">
      <c r="O76" s="1956" t="s">
        <v>1745</v>
      </c>
      <c r="P76" s="1957" t="s">
        <v>1762</v>
      </c>
      <c r="Q76" s="1958">
        <f ca="1">Q66+Q67</f>
        <v>457</v>
      </c>
      <c r="R76" s="1961"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39" sqref="K3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3711</v>
      </c>
      <c r="D1" s="2362" t="s">
        <v>3732</v>
      </c>
      <c r="E1" s="1946" t="s">
        <v>1728</v>
      </c>
      <c r="F1" s="1947">
        <f ca="1">J53</f>
        <v>47.45</v>
      </c>
      <c r="G1" s="2759">
        <f>MATCH(C1,'数据-取费表'!A6:A16,0)+5</f>
        <v>8</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457</v>
      </c>
      <c r="C2" s="2764"/>
      <c r="D2" s="2763"/>
      <c r="E2" s="2765"/>
      <c r="F2" s="2765"/>
      <c r="G2" s="2760"/>
      <c r="H2" s="1669"/>
      <c r="I2" s="1669"/>
      <c r="J2" s="1669"/>
      <c r="K2" s="1670"/>
      <c r="L2" s="1669"/>
      <c r="M2" s="1669"/>
    </row>
    <row r="3" spans="1:33" ht="18" customHeight="1" thickBot="1">
      <c r="A3" s="766" t="s">
        <v>1256</v>
      </c>
      <c r="B3" s="767">
        <f ca="1">IF(ISERROR(B2*10000/F43),0,ROUND(B2*10000/F43,0))</f>
        <v>1981</v>
      </c>
      <c r="C3" s="2764"/>
      <c r="D3" s="2763"/>
      <c r="E3" s="2765"/>
      <c r="F3" s="2765"/>
      <c r="G3" s="2760"/>
      <c r="H3" s="710" t="s">
        <v>642</v>
      </c>
      <c r="I3" s="1155"/>
      <c r="J3" s="1155"/>
      <c r="K3" s="1323"/>
      <c r="L3" s="1155"/>
      <c r="M3" s="1155"/>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0">
        <f ca="1">C6+C10+C12</f>
        <v>30</v>
      </c>
      <c r="D5" s="2000" t="s">
        <v>1805</v>
      </c>
      <c r="E5" s="1994"/>
      <c r="F5" s="1995"/>
      <c r="G5" s="1667"/>
      <c r="H5" s="715">
        <v>1</v>
      </c>
      <c r="I5" s="716" t="s">
        <v>1802</v>
      </c>
      <c r="J5" s="50">
        <f ca="1">J6+J10+J12</f>
        <v>0</v>
      </c>
      <c r="K5" s="2000" t="s">
        <v>1805</v>
      </c>
      <c r="L5" s="1994"/>
      <c r="M5" s="1995"/>
    </row>
    <row r="6" spans="1:33" ht="18" customHeight="1">
      <c r="A6" s="1520" t="s">
        <v>1353</v>
      </c>
      <c r="B6" s="3815" t="s">
        <v>1807</v>
      </c>
      <c r="C6" s="717">
        <f ca="1">ROUND(F6*F8*F7*(1-F9)/10000,0)</f>
        <v>30</v>
      </c>
      <c r="D6" s="2001" t="s">
        <v>1806</v>
      </c>
      <c r="E6" s="718" t="s">
        <v>1267</v>
      </c>
      <c r="F6" s="719">
        <f ca="1">INDIRECT("'数据-取费表'!u"&amp;$G$1)</f>
        <v>400</v>
      </c>
      <c r="G6" s="1667"/>
      <c r="H6" s="2008" t="s">
        <v>1812</v>
      </c>
      <c r="I6" s="3815" t="s">
        <v>1807</v>
      </c>
      <c r="J6" s="717">
        <f ca="1">ROUND(M6*M8*M7*(1-M9)/10000,0)</f>
        <v>0</v>
      </c>
      <c r="K6" s="314" t="s">
        <v>1266</v>
      </c>
      <c r="L6" s="718" t="s">
        <v>1267</v>
      </c>
      <c r="M6" s="719">
        <f ca="1">INDIRECT("'数据-取费表'!z"&amp;$G$1)</f>
        <v>0</v>
      </c>
    </row>
    <row r="7" spans="1:33" ht="18" customHeight="1">
      <c r="A7" s="2004"/>
      <c r="B7" s="3816"/>
      <c r="C7" s="722"/>
      <c r="D7" s="723"/>
      <c r="E7" s="718" t="s">
        <v>1268</v>
      </c>
      <c r="F7" s="719">
        <f ca="1">IF(INDIRECT("'数据-取费表'!ah"&amp;$G$1)="",INDIRECT("'数据-取费表'!k"&amp;$G$1),INDIRECT("'数据-取费表'!ah"&amp;$G$1))</f>
        <v>70</v>
      </c>
      <c r="G7" s="1667"/>
      <c r="H7" s="1993"/>
      <c r="I7" s="3816"/>
      <c r="J7" s="722"/>
      <c r="K7" s="723"/>
      <c r="L7" s="718" t="s">
        <v>1268</v>
      </c>
      <c r="M7" s="719">
        <f ca="1">F7</f>
        <v>70</v>
      </c>
    </row>
    <row r="8" spans="1:33" ht="18" customHeight="1">
      <c r="A8" s="1997"/>
      <c r="B8" s="3817"/>
      <c r="C8" s="722"/>
      <c r="D8" s="723"/>
      <c r="E8" s="718" t="s">
        <v>1269</v>
      </c>
      <c r="F8" s="719">
        <f ca="1">INDIRECT("'数据-取费表'!ai"&amp;$G$1)</f>
        <v>12</v>
      </c>
      <c r="G8" s="1667"/>
      <c r="H8" s="1993"/>
      <c r="I8" s="3817"/>
      <c r="J8" s="722"/>
      <c r="K8" s="723"/>
      <c r="L8" s="718" t="s">
        <v>1269</v>
      </c>
      <c r="M8" s="719">
        <f ca="1">INDIRECT("'数据-取费表'!ai"&amp;$G$1)</f>
        <v>12</v>
      </c>
    </row>
    <row r="9" spans="1:33" ht="18" customHeight="1">
      <c r="A9" s="720"/>
      <c r="B9" s="3818"/>
      <c r="C9" s="722"/>
      <c r="D9" s="723"/>
      <c r="E9" s="718" t="s">
        <v>1270</v>
      </c>
      <c r="F9" s="728">
        <f ca="1">INDIRECT("'数据-取费表'!w"&amp;$G$1)</f>
        <v>0.1</v>
      </c>
      <c r="G9" s="1667"/>
      <c r="H9" s="2009"/>
      <c r="I9" s="3817"/>
      <c r="J9" s="722"/>
      <c r="K9" s="723"/>
      <c r="L9" s="729" t="s">
        <v>1270</v>
      </c>
      <c r="M9" s="730">
        <f ca="1">INDIRECT("'数据-取费表'!ab"&amp;$G$1)</f>
        <v>0</v>
      </c>
    </row>
    <row r="10" spans="1:33" ht="18" customHeight="1">
      <c r="A10" s="1520" t="s">
        <v>1810</v>
      </c>
      <c r="B10" s="1998" t="s">
        <v>1803</v>
      </c>
      <c r="C10" s="733">
        <f ca="1">ROUND(IF(F10="押一",C6/12*F11,IF(F10="押二",C6/12*2*F11,IF(F10="押三",C6/12*3*F11,C11*F11))),0)</f>
        <v>0</v>
      </c>
      <c r="D10" s="2005" t="s">
        <v>2230</v>
      </c>
      <c r="E10" s="2002" t="s">
        <v>1808</v>
      </c>
      <c r="F10" s="2075" t="s">
        <v>3733</v>
      </c>
      <c r="G10" s="1667"/>
      <c r="H10" s="2036" t="s">
        <v>1813</v>
      </c>
      <c r="I10" s="2040" t="s">
        <v>1803</v>
      </c>
      <c r="J10" s="717">
        <f ca="1">ROUND(IF(M10="押一",J6/12*M11,IF(M10="押二",J6/12*2*M11,IF(M10="押三",J6/12*3*M11,J11*M11))),0)</f>
        <v>0</v>
      </c>
      <c r="K10" s="2005" t="s">
        <v>2230</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1508</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8" t="s">
        <v>593</v>
      </c>
      <c r="C14" s="738">
        <f ca="1">INDIRECT("'数据-取费表'!m"&amp;$G$1)+INDIRECT("'数据-取费表'!t"&amp;$G$1)</f>
        <v>1127</v>
      </c>
      <c r="D14" s="904" t="s">
        <v>1274</v>
      </c>
      <c r="E14" s="903"/>
      <c r="F14" s="739"/>
      <c r="G14" s="1667"/>
      <c r="H14" s="1368" t="s">
        <v>1359</v>
      </c>
      <c r="I14" s="1824" t="s">
        <v>2102</v>
      </c>
      <c r="J14" s="48">
        <f ca="1">C29</f>
        <v>1508</v>
      </c>
      <c r="K14" s="21"/>
      <c r="L14" s="735"/>
      <c r="M14" s="736"/>
    </row>
    <row r="15" spans="1:33" s="1675" customFormat="1" ht="18" customHeight="1" thickBot="1">
      <c r="A15" s="1367" t="s">
        <v>1410</v>
      </c>
      <c r="B15" s="718" t="s">
        <v>595</v>
      </c>
      <c r="C15" s="48">
        <f ca="1">ROUND(C14*F15,0)</f>
        <v>56</v>
      </c>
      <c r="D15" s="740" t="s">
        <v>1275</v>
      </c>
      <c r="E15" s="740" t="s">
        <v>1276</v>
      </c>
      <c r="F15" s="741">
        <f>'数据-取费表'!B33</f>
        <v>0.05</v>
      </c>
      <c r="G15" s="2761"/>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8" t="s">
        <v>598</v>
      </c>
      <c r="C16" s="48">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3</v>
      </c>
      <c r="K16" s="1513" t="s">
        <v>1279</v>
      </c>
      <c r="L16" s="907"/>
      <c r="M16" s="1995"/>
    </row>
    <row r="17" spans="1:33" s="1675" customFormat="1" ht="18" customHeight="1">
      <c r="A17" s="1367" t="s">
        <v>1412</v>
      </c>
      <c r="B17" s="718" t="s">
        <v>601</v>
      </c>
      <c r="C17" s="48">
        <f ca="1">ROUND(F17*(F43+INDIRECT("'数据-取费表'!S"&amp;$G$1))/10000,0)</f>
        <v>50</v>
      </c>
      <c r="D17" s="718" t="s">
        <v>1280</v>
      </c>
      <c r="E17" s="718" t="s">
        <v>1281</v>
      </c>
      <c r="F17" s="51">
        <f>'数据-取费表'!B35</f>
        <v>200</v>
      </c>
      <c r="G17" s="2761"/>
      <c r="H17" s="1368" t="s">
        <v>1359</v>
      </c>
      <c r="I17" s="718" t="s">
        <v>604</v>
      </c>
      <c r="J17" s="2554">
        <f ca="1">ROUND(IF(AND(项目基本情况!B11="自然人",项目基本情况!B10="北京市"),J6*M17/(1+'数据-取费表'!C42),J18+J19+J20),2)</f>
        <v>0.17</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8" t="s">
        <v>607</v>
      </c>
      <c r="C18" s="48">
        <f ca="1">ROUND(C14*F18,0)</f>
        <v>23</v>
      </c>
      <c r="D18" s="718" t="s">
        <v>1275</v>
      </c>
      <c r="E18" s="718" t="s">
        <v>1276</v>
      </c>
      <c r="F18" s="743">
        <f>'数据-取费表'!B36</f>
        <v>0.02</v>
      </c>
      <c r="G18" s="2761"/>
      <c r="H18" s="1367" t="s">
        <v>1409</v>
      </c>
      <c r="I18" s="718" t="s">
        <v>1284</v>
      </c>
      <c r="J18" s="48">
        <f ca="1">ROUND(J6*M18/(1+'数据-取费表'!C42),2)</f>
        <v>0</v>
      </c>
      <c r="K18" s="905" t="s">
        <v>1285</v>
      </c>
      <c r="L18" s="718" t="s">
        <v>1276</v>
      </c>
      <c r="M18" s="743">
        <f>'数据-取费表'!B41</f>
        <v>5.6000000000000001E-2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8" t="s">
        <v>610</v>
      </c>
      <c r="C19" s="48">
        <f ca="1">SUM(C14:C18)</f>
        <v>1256</v>
      </c>
      <c r="D19" s="240" t="s">
        <v>1286</v>
      </c>
      <c r="E19" s="913"/>
      <c r="F19" s="51"/>
      <c r="G19" s="1667"/>
      <c r="H19" s="1367" t="s">
        <v>1410</v>
      </c>
      <c r="I19" s="718" t="s">
        <v>1287</v>
      </c>
      <c r="J19" s="48">
        <f ca="1">IF(K19="按租金收入计税",ROUND(J6*M19/(1+'数据-取费表'!C42),1),ROUND(C29*F33*0.7,2))</f>
        <v>0</v>
      </c>
      <c r="K19" s="744" t="s">
        <v>3243</v>
      </c>
      <c r="L19" s="718" t="s">
        <v>1276</v>
      </c>
      <c r="M19" s="743">
        <f>IF(K19="按租金收入计税",'数据-取费表'!B51,'数据-取费表'!B50)</f>
        <v>0.12</v>
      </c>
    </row>
    <row r="20" spans="1:33" s="1675" customFormat="1" ht="18" customHeight="1">
      <c r="A20" s="1368" t="s">
        <v>1414</v>
      </c>
      <c r="B20" s="718" t="s">
        <v>613</v>
      </c>
      <c r="C20" s="48">
        <f ca="1">ROUND(C19*F20,0)</f>
        <v>25</v>
      </c>
      <c r="D20" s="745" t="s">
        <v>1288</v>
      </c>
      <c r="E20" s="718" t="s">
        <v>1276</v>
      </c>
      <c r="F20" s="743">
        <f>'数据-取费表'!B37</f>
        <v>0.02</v>
      </c>
      <c r="G20" s="2761"/>
      <c r="H20" s="1370" t="s">
        <v>1405</v>
      </c>
      <c r="I20" s="314" t="s">
        <v>1289</v>
      </c>
      <c r="J20" s="49">
        <f ca="1">ROUND(M20*M21/10000,2)</f>
        <v>0.17</v>
      </c>
      <c r="K20" s="747" t="s">
        <v>1290</v>
      </c>
      <c r="L20" s="718" t="s">
        <v>1291</v>
      </c>
      <c r="M20" s="586">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8" t="s">
        <v>1292</v>
      </c>
      <c r="C21" s="48" t="s">
        <v>1293</v>
      </c>
      <c r="D21" s="745" t="s">
        <v>1655</v>
      </c>
      <c r="E21" s="718" t="s">
        <v>1294</v>
      </c>
      <c r="F21" s="743">
        <f>'数据-取费表'!B38</f>
        <v>0.02</v>
      </c>
      <c r="G21" s="2761"/>
      <c r="H21" s="2010"/>
      <c r="I21" s="727"/>
      <c r="J21" s="64"/>
      <c r="K21" s="749"/>
      <c r="L21" s="718" t="s">
        <v>1295</v>
      </c>
      <c r="M21" s="719">
        <f ca="1">INDIRECT("'数据-取费表'!r"&amp;$G$1)</f>
        <v>1134.71</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8" t="s">
        <v>1296</v>
      </c>
      <c r="C22" s="48"/>
      <c r="D22" s="2044" t="str">
        <f>IF(F23&lt;=1,"单利计息。","复利计息。")&amp;"建造成本、管理费用、销售费用产生的利息。"</f>
        <v>复利计息。建造成本、管理费用、销售费用产生的利息。</v>
      </c>
      <c r="E22" s="913"/>
      <c r="F22" s="51"/>
      <c r="G22" s="1667"/>
      <c r="H22" s="1368" t="s">
        <v>1414</v>
      </c>
      <c r="I22" s="718" t="s">
        <v>1297</v>
      </c>
      <c r="J22" s="48">
        <f ca="1">ROUND(J14*M22,2)</f>
        <v>3.02</v>
      </c>
      <c r="K22" s="905" t="s">
        <v>1298</v>
      </c>
      <c r="L22" s="718" t="s">
        <v>1276</v>
      </c>
      <c r="M22" s="750">
        <f ca="1">INDIRECT("'数据-取费表'!Ak"&amp;$G$1)</f>
        <v>2E-3</v>
      </c>
    </row>
    <row r="23" spans="1:33" s="1675" customFormat="1" ht="18" customHeight="1">
      <c r="A23" s="1367" t="s">
        <v>1360</v>
      </c>
      <c r="B23" s="718" t="s">
        <v>1818</v>
      </c>
      <c r="C23" s="48">
        <f ca="1">ROUND(IF('数据-取费表'!B22&lt;=1,(C19+C20)*F24*F23/2,(C19+C20)*(POWER((1+F24),F23/2)-1)),0)</f>
        <v>50</v>
      </c>
      <c r="D23" s="2043" t="str">
        <f>IF(F23&lt;=1,"(建造成本+管理费用)×利率×(建设周期÷2)","(建造成本+管理费用)×((1+利率)^(建设周期÷2)-1)")</f>
        <v>(建造成本+管理费用)×((1+利率)^(建设周期÷2)-1)</v>
      </c>
      <c r="E23" s="718" t="s">
        <v>1299</v>
      </c>
      <c r="F23" s="586">
        <f>'数据-取费表'!B20</f>
        <v>2.5</v>
      </c>
      <c r="G23" s="2761"/>
      <c r="H23" s="1368" t="s">
        <v>1415</v>
      </c>
      <c r="I23" s="718" t="s">
        <v>626</v>
      </c>
      <c r="J23" s="48">
        <f ca="1">ROUND(J13*M23,2)</f>
        <v>0</v>
      </c>
      <c r="K23" s="905"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8" t="s">
        <v>1301</v>
      </c>
      <c r="C24" s="48">
        <f ca="1">ROUND(IF('数据-取费表'!B22&lt;=1,F21*F24*F23/2,F21*(POWER((1+F24),F23/2)-1)),4)</f>
        <v>8.0000000000000004E-4</v>
      </c>
      <c r="D24" s="2043" t="str">
        <f>IF(F23&lt;=1,"销售费用×利率×(建设周期÷2)","销售费用×((1+利率)^(建设周期÷2)-1)")</f>
        <v>销售费用×((1+利率)^(建设周期÷2)-1)</v>
      </c>
      <c r="E24" s="718" t="s">
        <v>1302</v>
      </c>
      <c r="F24" s="752">
        <f ca="1">'数据-取费表'!B40</f>
        <v>3.1E-2</v>
      </c>
      <c r="G24" s="2761"/>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8" t="s">
        <v>631</v>
      </c>
      <c r="C25" s="48"/>
      <c r="D25" s="240" t="s">
        <v>1304</v>
      </c>
      <c r="E25" s="913"/>
      <c r="F25" s="51"/>
      <c r="G25" s="1667"/>
      <c r="H25" s="1519" t="s">
        <v>1305</v>
      </c>
      <c r="I25" s="2296" t="s">
        <v>2098</v>
      </c>
      <c r="J25" s="726">
        <f ca="1">J5-J16</f>
        <v>-3</v>
      </c>
      <c r="K25" s="2023" t="s">
        <v>1306</v>
      </c>
      <c r="L25" s="2024"/>
      <c r="M25" s="2025"/>
    </row>
    <row r="26" spans="1:33" ht="18" customHeight="1">
      <c r="A26" s="1367" t="s">
        <v>1360</v>
      </c>
      <c r="B26" s="718" t="s">
        <v>1785</v>
      </c>
      <c r="C26" s="48">
        <f ca="1">ROUND((C19+C20)*F26,0)</f>
        <v>64</v>
      </c>
      <c r="D26" s="745" t="s">
        <v>1307</v>
      </c>
      <c r="E26" s="729" t="s">
        <v>1308</v>
      </c>
      <c r="F26" s="728">
        <f ca="1">INDIRECT("'数据-取费表'!q"&amp;$G$1)</f>
        <v>0.05</v>
      </c>
      <c r="G26" s="1667"/>
      <c r="H26" s="2006" t="s">
        <v>1309</v>
      </c>
      <c r="I26" s="1825" t="s">
        <v>2103</v>
      </c>
      <c r="J26" s="717">
        <f ca="1">IF(J5&lt;&gt;0,ROUND(J25*(1-((1+M28)/(1+M26))^M27)/(M26-M28),0),0)</f>
        <v>0</v>
      </c>
      <c r="K26" s="747" t="s">
        <v>1310</v>
      </c>
      <c r="L26" s="718" t="s">
        <v>1773</v>
      </c>
      <c r="M26" s="728">
        <f ca="1">INDIRECT("'数据-取费表'!I"&amp;$G$1)</f>
        <v>0.05</v>
      </c>
    </row>
    <row r="27" spans="1:33" ht="18" customHeight="1">
      <c r="A27" s="1367" t="s">
        <v>1361</v>
      </c>
      <c r="B27" s="718" t="s">
        <v>633</v>
      </c>
      <c r="C27" s="48">
        <f ca="1">ROUND(F21*F26,4)</f>
        <v>1E-3</v>
      </c>
      <c r="D27" s="745" t="s">
        <v>1311</v>
      </c>
      <c r="E27" s="740"/>
      <c r="F27" s="741"/>
      <c r="G27" s="1667"/>
      <c r="H27" s="2007"/>
      <c r="I27" s="721"/>
      <c r="J27" s="722"/>
      <c r="K27" s="754" t="s">
        <v>1312</v>
      </c>
      <c r="L27" s="718" t="s">
        <v>1313</v>
      </c>
      <c r="M27" s="755">
        <f ca="1">INDIRECT("'数据-取费表'!ag"&amp;$G$1)</f>
        <v>0</v>
      </c>
    </row>
    <row r="28" spans="1:33" s="1675" customFormat="1" ht="18" customHeight="1">
      <c r="A28" s="1369" t="s">
        <v>1370</v>
      </c>
      <c r="B28" s="718" t="s">
        <v>634</v>
      </c>
      <c r="C28" s="48">
        <f>ROUND(F28/(1+'数据-取费表'!C42),4)</f>
        <v>5.33E-2</v>
      </c>
      <c r="D28" s="745" t="s">
        <v>1656</v>
      </c>
      <c r="E28" s="718" t="s">
        <v>1314</v>
      </c>
      <c r="F28" s="743">
        <f>'数据-取费表'!B41</f>
        <v>5.6000000000000001E-2</v>
      </c>
      <c r="G28" s="2761"/>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1508</v>
      </c>
      <c r="D29" s="2020"/>
      <c r="E29" s="2021"/>
      <c r="F29" s="2022"/>
      <c r="G29" s="2761"/>
      <c r="H29" s="756" t="s">
        <v>1316</v>
      </c>
      <c r="I29" s="757" t="s">
        <v>1317</v>
      </c>
      <c r="J29" s="758">
        <f ca="1">ROUND(J26/(1+F40)^F41,0)</f>
        <v>0</v>
      </c>
      <c r="K29" s="759" t="s">
        <v>1318</v>
      </c>
      <c r="L29" s="760"/>
      <c r="M29" s="761">
        <f ca="1">INDIRECT("'数据-取费表'!k"&amp;$G$1)</f>
        <v>2307.2000000000003</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10</v>
      </c>
      <c r="D30" s="1513" t="s">
        <v>1320</v>
      </c>
      <c r="E30" s="907"/>
      <c r="F30" s="1995"/>
      <c r="G30" s="1667"/>
      <c r="H30" s="1676"/>
      <c r="I30" s="1677"/>
      <c r="J30" s="1678"/>
      <c r="K30" s="1635"/>
      <c r="L30" s="1679"/>
      <c r="M30" s="1680"/>
    </row>
    <row r="31" spans="1:33" ht="18" customHeight="1">
      <c r="A31" s="1368" t="s">
        <v>1359</v>
      </c>
      <c r="B31" s="718" t="s">
        <v>604</v>
      </c>
      <c r="C31" s="2554">
        <f ca="1">ROUND(IF(AND(项目基本情况!B11="自然人",项目基本情况!B10="北京市"),C6*F31/(1+'数据-取费表'!C42),C32+C33+C34),2)</f>
        <v>5.2</v>
      </c>
      <c r="D31" s="904" t="s">
        <v>1321</v>
      </c>
      <c r="E31" s="905" t="s">
        <v>1322</v>
      </c>
      <c r="F31" s="2553" t="str">
        <f>IF(项目基本情况!B11="企业","——",IF(M47="住宅",IF(F6*F7*F8/12/(1+'数据-取费表'!F30)&gt;100000,4%,2.5%),IF(F6*F7*F8/12/(1+'数据-取费表'!F30)&gt;100000,12%,7%)))</f>
        <v>——</v>
      </c>
      <c r="G31" s="1667"/>
      <c r="H31" s="2758" t="s">
        <v>2280</v>
      </c>
      <c r="I31" s="1677"/>
      <c r="J31" s="1678"/>
      <c r="K31" s="1635"/>
      <c r="L31" s="1679"/>
      <c r="M31" s="1680"/>
    </row>
    <row r="32" spans="1:33" ht="18" customHeight="1">
      <c r="A32" s="1367" t="s">
        <v>1360</v>
      </c>
      <c r="B32" s="718" t="s">
        <v>1323</v>
      </c>
      <c r="C32" s="48">
        <f ca="1">ROUND(C6*F32/(1+'数据-取费表'!C42),2)</f>
        <v>1.6</v>
      </c>
      <c r="D32" s="905" t="s">
        <v>1324</v>
      </c>
      <c r="E32" s="718" t="s">
        <v>1325</v>
      </c>
      <c r="F32" s="743">
        <f>'数据-取费表'!B41</f>
        <v>5.6000000000000001E-2</v>
      </c>
      <c r="G32" s="1667"/>
      <c r="H32" s="1681"/>
      <c r="I32" s="1682"/>
      <c r="J32" s="1683"/>
      <c r="K32" s="1684"/>
      <c r="L32" s="1685"/>
      <c r="M32" s="1686"/>
    </row>
    <row r="33" spans="1:18" ht="18" customHeight="1">
      <c r="A33" s="1367" t="s">
        <v>1361</v>
      </c>
      <c r="B33" s="718" t="s">
        <v>1326</v>
      </c>
      <c r="C33" s="48">
        <f ca="1">IF(D33="按租金收入计税",ROUND(C6*F33/(1+'数据-取费表'!C42),2),IF(D33="按房产原值计税",ROUND(C29*F33*0.7,2),INDIRECT("'数据-取费表'!Aj"&amp;$G$1)))</f>
        <v>3.43</v>
      </c>
      <c r="D33" s="744" t="s">
        <v>3243</v>
      </c>
      <c r="E33" s="718" t="s">
        <v>1325</v>
      </c>
      <c r="F33" s="743">
        <f>IF(D33="按租金收入计税",'数据-取费表'!B51,'数据-取费表'!B50)</f>
        <v>0.12</v>
      </c>
      <c r="G33" s="1667"/>
      <c r="H33" s="1687"/>
      <c r="I33" s="1687"/>
      <c r="J33" s="1687"/>
      <c r="K33" s="1688"/>
      <c r="L33" s="1687"/>
      <c r="M33" s="1687"/>
    </row>
    <row r="34" spans="1:18" ht="18" customHeight="1">
      <c r="A34" s="1370" t="s">
        <v>1362</v>
      </c>
      <c r="B34" s="314" t="s">
        <v>1327</v>
      </c>
      <c r="C34" s="49">
        <f ca="1">ROUND(F34*F35/10000,2)</f>
        <v>0.17</v>
      </c>
      <c r="D34" s="747" t="s">
        <v>1328</v>
      </c>
      <c r="E34" s="718" t="s">
        <v>1329</v>
      </c>
      <c r="F34" s="586">
        <f>'数据-取费表'!B52</f>
        <v>1.5</v>
      </c>
      <c r="G34" s="1667"/>
      <c r="H34" s="1676"/>
      <c r="I34" s="768" t="s">
        <v>1342</v>
      </c>
      <c r="J34" s="769"/>
      <c r="K34" s="1690"/>
      <c r="L34" s="1689"/>
      <c r="M34" s="1689"/>
    </row>
    <row r="35" spans="1:18" ht="18" customHeight="1">
      <c r="A35" s="748"/>
      <c r="B35" s="727"/>
      <c r="C35" s="64"/>
      <c r="D35" s="749"/>
      <c r="E35" s="718" t="s">
        <v>1330</v>
      </c>
      <c r="F35" s="719">
        <f ca="1">INDIRECT("'数据-取费表'!r"&amp;$G$1)</f>
        <v>1134.71</v>
      </c>
      <c r="G35" s="1667"/>
      <c r="H35" s="1676"/>
      <c r="I35" s="770" t="s">
        <v>1343</v>
      </c>
      <c r="J35" s="771">
        <f ca="1">ROUND(C13*J36,0)</f>
        <v>106</v>
      </c>
      <c r="K35" s="1688"/>
      <c r="L35" s="1687"/>
      <c r="M35" s="1687"/>
    </row>
    <row r="36" spans="1:18" ht="18" customHeight="1">
      <c r="A36" s="1368" t="s">
        <v>1414</v>
      </c>
      <c r="B36" s="718" t="s">
        <v>1331</v>
      </c>
      <c r="C36" s="48">
        <f ca="1">ROUND(C29*F36,2)</f>
        <v>3.02</v>
      </c>
      <c r="D36" s="905"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8" t="s">
        <v>1415</v>
      </c>
      <c r="B37" s="718" t="s">
        <v>626</v>
      </c>
      <c r="C37" s="48">
        <f ca="1">ROUND(C13*F37,2)</f>
        <v>1.51</v>
      </c>
      <c r="D37" s="905"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0.3</v>
      </c>
      <c r="D38" s="2020" t="s">
        <v>1334</v>
      </c>
      <c r="E38" s="2021" t="s">
        <v>1325</v>
      </c>
      <c r="F38" s="2017">
        <f ca="1">INDIRECT("'数据-取费表'!Am"&amp;$G$1)</f>
        <v>0.01</v>
      </c>
      <c r="G38" s="1667"/>
      <c r="H38" s="1687"/>
      <c r="I38" s="776" t="s">
        <v>1346</v>
      </c>
      <c r="J38" s="777"/>
      <c r="K38" s="1692"/>
      <c r="L38" s="1687"/>
      <c r="M38" s="1687"/>
    </row>
    <row r="39" spans="1:18" ht="24.6" customHeight="1" thickTop="1">
      <c r="A39" s="1519" t="s">
        <v>1419</v>
      </c>
      <c r="B39" s="2296" t="s">
        <v>2098</v>
      </c>
      <c r="C39" s="726">
        <f ca="1">C5-C30</f>
        <v>20</v>
      </c>
      <c r="D39" s="2023" t="s">
        <v>1335</v>
      </c>
      <c r="E39" s="2024"/>
      <c r="F39" s="2025"/>
      <c r="G39" s="1667"/>
      <c r="H39" s="1687"/>
      <c r="I39" s="770" t="s">
        <v>1347</v>
      </c>
      <c r="J39" s="778">
        <f ca="1">ROUND(J35/C39,3)</f>
        <v>5.3</v>
      </c>
      <c r="K39" s="1692"/>
      <c r="L39" s="1687"/>
      <c r="M39" s="1687"/>
    </row>
    <row r="40" spans="1:18" ht="18" customHeight="1">
      <c r="A40" s="715" t="s">
        <v>1420</v>
      </c>
      <c r="B40" s="1825" t="s">
        <v>1658</v>
      </c>
      <c r="C40" s="717">
        <f ca="1">ROUND(C39*(1-((1+F42)/(1+F40))^F41)/(F40-F42),0)</f>
        <v>457</v>
      </c>
      <c r="D40" s="747" t="s">
        <v>1336</v>
      </c>
      <c r="E40" s="718" t="s">
        <v>1773</v>
      </c>
      <c r="F40" s="728">
        <f ca="1">INDIRECT("'数据-取费表'!I"&amp;$G$1)</f>
        <v>0.05</v>
      </c>
      <c r="G40" s="1667"/>
      <c r="H40" s="1667"/>
      <c r="I40" s="770" t="s">
        <v>1348</v>
      </c>
      <c r="J40" s="778">
        <f ca="1">1-J39</f>
        <v>-4.3</v>
      </c>
      <c r="K40" s="1692"/>
      <c r="L40" s="1667"/>
      <c r="M40" s="1667"/>
    </row>
    <row r="41" spans="1:18" ht="18" customHeight="1">
      <c r="A41" s="720"/>
      <c r="B41" s="721"/>
      <c r="C41" s="722"/>
      <c r="D41" s="754" t="s">
        <v>1337</v>
      </c>
      <c r="E41" s="718" t="s">
        <v>2222</v>
      </c>
      <c r="F41" s="755">
        <f ca="1">IF(INDIRECT("'数据-取费表'!af"&amp;$G$1)=0,INDIRECT("'数据-取费表'!ae"&amp;$G$1),INDIRECT("'数据-取费表'!af"&amp;$G$1))</f>
        <v>47.45</v>
      </c>
      <c r="G41" s="1667"/>
      <c r="H41" s="1635"/>
      <c r="I41" s="776" t="s">
        <v>1349</v>
      </c>
      <c r="J41" s="779"/>
      <c r="K41" s="1691"/>
      <c r="L41" s="1635"/>
      <c r="M41" s="1635"/>
    </row>
    <row r="42" spans="1:18" ht="18" customHeight="1">
      <c r="A42" s="724"/>
      <c r="B42" s="725"/>
      <c r="C42" s="726"/>
      <c r="D42" s="749"/>
      <c r="E42" s="718" t="s">
        <v>1338</v>
      </c>
      <c r="F42" s="728">
        <f ca="1">INDIRECT("'数据-取费表'!v"&amp;$G$1)</f>
        <v>1.4999999999999999E-2</v>
      </c>
      <c r="G42" s="1667"/>
      <c r="H42" s="1635"/>
      <c r="I42" s="780" t="s">
        <v>1350</v>
      </c>
      <c r="J42" s="778">
        <f ca="1">ROUND(C13/C40,3)</f>
        <v>3.3</v>
      </c>
      <c r="K42" s="1691"/>
      <c r="L42" s="1635"/>
      <c r="M42" s="1635"/>
    </row>
    <row r="43" spans="1:18" ht="18" customHeight="1" thickBot="1">
      <c r="A43" s="756" t="s">
        <v>1316</v>
      </c>
      <c r="B43" s="757" t="s">
        <v>1339</v>
      </c>
      <c r="C43" s="758">
        <f ca="1">ROUND(C40*10000/F43,0)</f>
        <v>1981</v>
      </c>
      <c r="D43" s="759" t="s">
        <v>1340</v>
      </c>
      <c r="E43" s="760" t="s">
        <v>1341</v>
      </c>
      <c r="F43" s="761">
        <f ca="1">INDIRECT("'数据-取费表'!k"&amp;$G$1)</f>
        <v>2307.2000000000003</v>
      </c>
      <c r="G43" s="1667"/>
      <c r="H43" s="1635"/>
      <c r="I43" s="780" t="s">
        <v>1351</v>
      </c>
      <c r="J43" s="781">
        <f ca="1">1-J42</f>
        <v>-2.2999999999999998</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f ca="1">C67-C40</f>
        <v>-547</v>
      </c>
      <c r="D46" s="2762"/>
      <c r="E46" s="2762"/>
      <c r="F46" s="2762"/>
      <c r="I46" s="1938" t="s">
        <v>1697</v>
      </c>
      <c r="J46" s="1939"/>
      <c r="K46" s="1940"/>
      <c r="L46" s="2374">
        <f>IF(OR(M47="住宅",D1="土地（套用方法）"),0,IF(L48&gt;J51,L60,J60))</f>
        <v>0</v>
      </c>
      <c r="M46" s="2763"/>
      <c r="O46" s="1952" t="s">
        <v>1764</v>
      </c>
      <c r="P46" s="1143"/>
      <c r="Q46" s="1329"/>
      <c r="R46" s="1143"/>
    </row>
    <row r="47" spans="1:18" s="1671" customFormat="1" ht="18" customHeight="1" thickBot="1">
      <c r="A47" s="3381">
        <v>1</v>
      </c>
      <c r="B47" s="3382" t="s">
        <v>583</v>
      </c>
      <c r="C47" s="3383">
        <f ca="1">C48+C52+C54</f>
        <v>0</v>
      </c>
      <c r="D47" s="3384"/>
      <c r="E47" s="3384"/>
      <c r="F47" s="3385"/>
      <c r="I47" s="2366" t="s">
        <v>1698</v>
      </c>
      <c r="J47" s="1941" t="s">
        <v>3668</v>
      </c>
      <c r="K47" s="2371" t="s">
        <v>1703</v>
      </c>
      <c r="L47" s="2375">
        <f ca="1">INDIRECT("'数据-取费表'!d"&amp;$G$1)</f>
        <v>50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49.95</v>
      </c>
      <c r="M48" s="2763"/>
      <c r="O48" s="1956" t="s">
        <v>1733</v>
      </c>
      <c r="P48" s="1957" t="s">
        <v>1759</v>
      </c>
      <c r="Q48" s="1958">
        <f ca="1">C40+J29</f>
        <v>457</v>
      </c>
      <c r="R48" s="1957" t="s">
        <v>1734</v>
      </c>
    </row>
    <row r="49" spans="1:18" s="1671" customFormat="1" ht="18" customHeight="1" thickBot="1">
      <c r="A49" s="720"/>
      <c r="B49" s="721"/>
      <c r="C49" s="722"/>
      <c r="D49" s="723"/>
      <c r="E49" s="718" t="s">
        <v>1268</v>
      </c>
      <c r="F49" s="719">
        <f ca="1">F7</f>
        <v>70</v>
      </c>
      <c r="G49" s="1698"/>
      <c r="H49" s="1701"/>
      <c r="I49" s="2363" t="s">
        <v>1700</v>
      </c>
      <c r="J49" s="1943"/>
      <c r="K49" s="2373" t="s">
        <v>1706</v>
      </c>
      <c r="L49" s="1565"/>
      <c r="M49" s="2763"/>
      <c r="O49" s="1956" t="s">
        <v>1735</v>
      </c>
      <c r="P49" s="1957" t="s">
        <v>1760</v>
      </c>
      <c r="Q49" s="1958" t="str">
        <f ca="1">J60</f>
        <v>0</v>
      </c>
      <c r="R49" s="1957" t="s">
        <v>1736</v>
      </c>
    </row>
    <row r="50" spans="1:18" s="1671" customFormat="1" ht="18" customHeight="1" thickBot="1">
      <c r="A50" s="720"/>
      <c r="B50" s="721"/>
      <c r="C50" s="722"/>
      <c r="D50" s="723"/>
      <c r="E50" s="718" t="s">
        <v>1269</v>
      </c>
      <c r="F50" s="719">
        <f ca="1">F8</f>
        <v>12</v>
      </c>
      <c r="H50" s="1701"/>
      <c r="I50" s="2363" t="s">
        <v>1701</v>
      </c>
      <c r="J50" s="2370">
        <f>SUMPRODUCT((I63:I65=J47)*(J62:L62=J48)*(J63:L65))</f>
        <v>60</v>
      </c>
      <c r="K50" s="2373" t="s">
        <v>1707</v>
      </c>
      <c r="L50" s="1565"/>
      <c r="M50" s="2763"/>
      <c r="O50" s="1959" t="s">
        <v>1737</v>
      </c>
      <c r="P50" s="1957" t="s">
        <v>1761</v>
      </c>
      <c r="Q50" s="1958">
        <f ca="1">C29</f>
        <v>1508</v>
      </c>
      <c r="R50" s="1957" t="s">
        <v>1734</v>
      </c>
    </row>
    <row r="51" spans="1:18" s="1671" customFormat="1" ht="18" customHeight="1" thickBot="1">
      <c r="A51" s="720"/>
      <c r="B51" s="721"/>
      <c r="C51" s="722"/>
      <c r="D51" s="723"/>
      <c r="E51" s="718" t="s">
        <v>588</v>
      </c>
      <c r="F51" s="1933"/>
      <c r="H51" s="1701"/>
      <c r="I51" s="2367" t="s">
        <v>1702</v>
      </c>
      <c r="J51" s="1566">
        <f>IF(J49="",J50,J49+J50-YEAR('数据-取费表'!B2))</f>
        <v>60</v>
      </c>
      <c r="K51" s="2363" t="s">
        <v>1708</v>
      </c>
      <c r="L51" s="2376">
        <f ca="1">ROUND(-PV(INDIRECT("'数据-取费表'!h"&amp;$G$1),J51,(C39-C13*J36),0),0)</f>
        <v>-1766</v>
      </c>
      <c r="M51" s="2763"/>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2231</v>
      </c>
      <c r="E52" s="2002" t="s">
        <v>1808</v>
      </c>
      <c r="F52" s="2075"/>
      <c r="I52" s="2368" t="s">
        <v>1775</v>
      </c>
      <c r="J52" s="1944">
        <v>7.4999999999999997E-2</v>
      </c>
      <c r="K52" s="2368" t="s">
        <v>1774</v>
      </c>
      <c r="L52" s="1944"/>
      <c r="M52" s="2763"/>
      <c r="O52" s="1959" t="s">
        <v>1740</v>
      </c>
      <c r="P52" s="1957" t="s">
        <v>1741</v>
      </c>
      <c r="Q52" s="1960">
        <f>J52</f>
        <v>7.4999999999999997E-2</v>
      </c>
      <c r="R52" s="1961"/>
    </row>
    <row r="53" spans="1:18" s="1671" customFormat="1" ht="39.75" customHeight="1" thickBot="1">
      <c r="A53" s="720"/>
      <c r="B53" s="1999" t="s">
        <v>1856</v>
      </c>
      <c r="C53" s="2003"/>
      <c r="D53" s="2005"/>
      <c r="E53" s="2002"/>
      <c r="F53" s="734"/>
      <c r="I53" s="2369" t="s">
        <v>2234</v>
      </c>
      <c r="J53" s="2415">
        <f ca="1">IF(M47="住宅",IF(D1="——",MAX(J51,L48),MAX(J51,L48-'数据-取费表'!B20)),IF(D1="——",MIN(J51,L48),MIN(J51,L48-'数据-取费表'!B20)))</f>
        <v>47.45</v>
      </c>
      <c r="K53" s="3821" t="s">
        <v>2224</v>
      </c>
      <c r="L53" s="3822"/>
      <c r="M53" s="2763"/>
      <c r="O53" s="1959" t="s">
        <v>1742</v>
      </c>
      <c r="P53" s="1957" t="s">
        <v>1743</v>
      </c>
      <c r="Q53" s="1958">
        <f ca="1">J53</f>
        <v>47.45</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3"/>
      <c r="O54" s="1956" t="s">
        <v>1745</v>
      </c>
      <c r="P54" s="1957" t="s">
        <v>1762</v>
      </c>
      <c r="Q54" s="1958">
        <f ca="1">Q48+Q49</f>
        <v>457</v>
      </c>
      <c r="R54" s="1961" t="s">
        <v>1746</v>
      </c>
    </row>
    <row r="55" spans="1:18" s="1671" customFormat="1" ht="18" customHeight="1" thickTop="1" thickBot="1">
      <c r="A55" s="731">
        <v>2</v>
      </c>
      <c r="B55" s="732" t="s">
        <v>592</v>
      </c>
      <c r="C55" s="733">
        <f ca="1">C13</f>
        <v>1508</v>
      </c>
      <c r="D55" s="729"/>
      <c r="E55" s="729"/>
      <c r="F55" s="734"/>
      <c r="I55" s="2379" t="s">
        <v>1709</v>
      </c>
      <c r="J55" s="2352" t="e">
        <f ca="1">ROUND(IF(J47="钢混",J57/J50,1-(1-2%)*(J50-J57)/J50),3)</f>
        <v>#VALUE!</v>
      </c>
      <c r="K55" s="2380" t="s">
        <v>1710</v>
      </c>
      <c r="L55" s="1945"/>
      <c r="M55" s="2763"/>
      <c r="O55" s="1962" t="s">
        <v>1765</v>
      </c>
      <c r="P55" s="1143"/>
      <c r="Q55" s="1329"/>
      <c r="R55" s="1143"/>
    </row>
    <row r="56" spans="1:18" s="1671" customFormat="1" ht="42.75" customHeight="1" thickBot="1">
      <c r="A56" s="1369"/>
      <c r="B56" s="1824" t="s">
        <v>1659</v>
      </c>
      <c r="C56" s="48">
        <f ca="1">C29</f>
        <v>1508</v>
      </c>
      <c r="D56" s="905"/>
      <c r="E56" s="718"/>
      <c r="F56" s="743"/>
      <c r="I56" s="2381" t="s">
        <v>1711</v>
      </c>
      <c r="J56" s="2391" t="s">
        <v>3281</v>
      </c>
      <c r="K56" s="2363" t="s">
        <v>1716</v>
      </c>
      <c r="L56" s="1566" t="str">
        <f ca="1">IF(L48&lt;J51,"——",L48-J51)</f>
        <v>——</v>
      </c>
      <c r="M56" s="2763"/>
      <c r="O56" s="1953" t="s">
        <v>1729</v>
      </c>
      <c r="P56" s="1954" t="s">
        <v>1730</v>
      </c>
      <c r="Q56" s="1955" t="s">
        <v>1731</v>
      </c>
      <c r="R56" s="1954" t="s">
        <v>1732</v>
      </c>
    </row>
    <row r="57" spans="1:18" s="1671" customFormat="1" ht="28.5" customHeight="1" thickBot="1">
      <c r="A57" s="731" t="s">
        <v>1277</v>
      </c>
      <c r="B57" s="732" t="s">
        <v>599</v>
      </c>
      <c r="C57" s="733">
        <f ca="1">ROUND(C58+C63+C64+C65,0)</f>
        <v>5</v>
      </c>
      <c r="D57" s="21" t="s">
        <v>1279</v>
      </c>
      <c r="E57" s="913"/>
      <c r="F57" s="51"/>
      <c r="I57" s="2382" t="s">
        <v>1712</v>
      </c>
      <c r="J57" s="2383" t="str">
        <f ca="1">IF(OR(M47="住宅",J51&lt;L48,J56="是"),"——",J51-L48)</f>
        <v>——</v>
      </c>
      <c r="K57" s="2363" t="s">
        <v>1717</v>
      </c>
      <c r="L57" s="1566" t="str">
        <f ca="1">IF(L48&lt;J51,"——",IF(L55="比较法",L49,IF(L55="基准地价",L50,L51)))</f>
        <v>——</v>
      </c>
      <c r="M57" s="2763"/>
      <c r="O57" s="1956" t="s">
        <v>1733</v>
      </c>
      <c r="P57" s="1957" t="s">
        <v>1763</v>
      </c>
      <c r="Q57" s="1958">
        <f ca="1">C40+J29</f>
        <v>457</v>
      </c>
      <c r="R57" s="1957" t="s">
        <v>1734</v>
      </c>
    </row>
    <row r="58" spans="1:18" s="1671" customFormat="1" ht="28.5" customHeight="1" thickBot="1">
      <c r="A58" s="1368" t="s">
        <v>1353</v>
      </c>
      <c r="B58" s="718" t="s">
        <v>604</v>
      </c>
      <c r="C58" s="2554">
        <f ca="1">ROUND(IF(AND(项目基本情况!B11="自然人",项目基本情况!B10="北京市"),C48*F58/(1+'数据-取费表'!C42),C59+C60+C61),2)</f>
        <v>0.17</v>
      </c>
      <c r="D58" s="904" t="s">
        <v>605</v>
      </c>
      <c r="E58" s="905"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3"/>
      <c r="O58" s="1956" t="s">
        <v>1735</v>
      </c>
      <c r="P58" s="1957" t="s">
        <v>1766</v>
      </c>
      <c r="Q58" s="1958">
        <f ca="1">L60</f>
        <v>0</v>
      </c>
      <c r="R58" s="1961" t="s">
        <v>1768</v>
      </c>
    </row>
    <row r="59" spans="1:18" s="1671" customFormat="1" ht="28.5" customHeight="1" thickBot="1">
      <c r="A59" s="1367" t="s">
        <v>1360</v>
      </c>
      <c r="B59" s="718" t="s">
        <v>608</v>
      </c>
      <c r="C59" s="48">
        <f ca="1">ROUND(C47*F59/1.05,2)</f>
        <v>0</v>
      </c>
      <c r="D59" s="905" t="s">
        <v>1285</v>
      </c>
      <c r="E59" s="718" t="s">
        <v>1276</v>
      </c>
      <c r="F59" s="743">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ROUND(IF(D1="土地（套用方法）",POWER(1+L52,L47-(J51+'数据-取费表'!B20))*(POWER(1+L52,(J51+'数据-取费表'!B20))-1)/(POWER(1+L52,L47)-1),POWER(1+L52,L47-J51)*(POWER(1+L52,J51)-1)/(POWER(1+L52,L47)-1)),4)</f>
        <v>#DIV/0!</v>
      </c>
      <c r="M59" s="2763"/>
      <c r="O59" s="1959" t="s">
        <v>1737</v>
      </c>
      <c r="P59" s="1957" t="s">
        <v>1767</v>
      </c>
      <c r="Q59" s="1958">
        <f>IF(L55="比较法",L49,IF(L55="基准地价",L50,0))</f>
        <v>0</v>
      </c>
      <c r="R59" s="1957" t="s">
        <v>1734</v>
      </c>
    </row>
    <row r="60" spans="1:18" s="1671" customFormat="1" ht="18" customHeight="1" thickBot="1">
      <c r="A60" s="1367" t="s">
        <v>1361</v>
      </c>
      <c r="B60" s="718" t="s">
        <v>1287</v>
      </c>
      <c r="C60" s="48">
        <f ca="1">IF(D60="按租金收入计税",ROUND(C48*F60/(1+'数据-取费表'!C42),2),IF(D60="按房产原值计税",ROUND(C56*F60*0.7,2),INDIRECT("'数据-取费表'!Aj"&amp;$G$1)))</f>
        <v>0</v>
      </c>
      <c r="D60" s="905" t="str">
        <f>D33</f>
        <v>按租金收入计税</v>
      </c>
      <c r="E60" s="718" t="s">
        <v>1276</v>
      </c>
      <c r="F60" s="743">
        <f t="shared" si="0"/>
        <v>0.12</v>
      </c>
      <c r="I60" s="2384" t="s">
        <v>1715</v>
      </c>
      <c r="J60" s="2385" t="str">
        <f ca="1">IF(OR(M47="住宅",J51&lt;L48,J56="是"),"0",ROUND(J59/(1+J52)^J53,0))</f>
        <v>0</v>
      </c>
      <c r="K60" s="2386" t="s">
        <v>1720</v>
      </c>
      <c r="L60" s="2385">
        <f ca="1">IF(OR(M47="住宅",L48&lt;J51),0,ROUND(L57*(L58/L59-1),0))</f>
        <v>0</v>
      </c>
      <c r="M60" s="2763"/>
      <c r="O60" s="1959" t="s">
        <v>1738</v>
      </c>
      <c r="P60" s="1957" t="s">
        <v>1747</v>
      </c>
      <c r="Q60" s="1960">
        <f>L52</f>
        <v>0</v>
      </c>
      <c r="R60" s="1961"/>
    </row>
    <row r="61" spans="1:18" s="1671" customFormat="1" ht="18" customHeight="1" thickBot="1">
      <c r="A61" s="1370" t="s">
        <v>1362</v>
      </c>
      <c r="B61" s="314" t="s">
        <v>615</v>
      </c>
      <c r="C61" s="49">
        <f ca="1">ROUND(F61*F62/10000,2)</f>
        <v>0.17</v>
      </c>
      <c r="D61" s="747" t="s">
        <v>616</v>
      </c>
      <c r="E61" s="718" t="s">
        <v>617</v>
      </c>
      <c r="F61" s="586">
        <f t="shared" si="0"/>
        <v>1.5</v>
      </c>
      <c r="K61" s="1695"/>
      <c r="O61" s="1959" t="s">
        <v>1740</v>
      </c>
      <c r="P61" s="1957" t="s">
        <v>1748</v>
      </c>
      <c r="Q61" s="1958" t="e">
        <f ca="1">L58</f>
        <v>#DIV/0!</v>
      </c>
      <c r="R61" s="1961" t="s">
        <v>1749</v>
      </c>
    </row>
    <row r="62" spans="1:18" s="1671" customFormat="1" ht="15.75" thickBot="1">
      <c r="A62" s="748"/>
      <c r="B62" s="727"/>
      <c r="C62" s="64"/>
      <c r="D62" s="749"/>
      <c r="E62" s="718" t="s">
        <v>621</v>
      </c>
      <c r="F62" s="719">
        <f t="shared" ca="1" si="0"/>
        <v>1134.71</v>
      </c>
      <c r="I62" s="2387" t="s">
        <v>1721</v>
      </c>
      <c r="J62" s="2388" t="s">
        <v>1722</v>
      </c>
      <c r="K62" s="2388" t="s">
        <v>1723</v>
      </c>
      <c r="L62" s="2388" t="s">
        <v>1704</v>
      </c>
      <c r="M62" s="2389" t="s">
        <v>2203</v>
      </c>
      <c r="O62" s="1959" t="s">
        <v>1742</v>
      </c>
      <c r="P62" s="1957" t="str">
        <f>K59</f>
        <v>建设期及建筑物耐用年限下的土地年期修正系数Kn</v>
      </c>
      <c r="Q62" s="1958" t="e">
        <f ca="1">L59</f>
        <v>#DIV/0!</v>
      </c>
      <c r="R62" s="1961" t="s">
        <v>1751</v>
      </c>
    </row>
    <row r="63" spans="1:18" s="1671" customFormat="1" ht="15.75" thickBot="1">
      <c r="A63" s="1368" t="s">
        <v>1414</v>
      </c>
      <c r="B63" s="718" t="s">
        <v>623</v>
      </c>
      <c r="C63" s="48">
        <f ca="1">ROUND(C56*F63,2)</f>
        <v>3.02</v>
      </c>
      <c r="D63" s="905" t="s">
        <v>1332</v>
      </c>
      <c r="E63" s="718" t="s">
        <v>1276</v>
      </c>
      <c r="F63" s="750">
        <f t="shared" ca="1" si="0"/>
        <v>2E-3</v>
      </c>
      <c r="I63" s="2387" t="s">
        <v>1724</v>
      </c>
      <c r="J63" s="2388">
        <v>70</v>
      </c>
      <c r="K63" s="2388">
        <v>50</v>
      </c>
      <c r="L63" s="2388">
        <v>80</v>
      </c>
      <c r="M63" s="2390">
        <v>0.02</v>
      </c>
      <c r="O63" s="1956" t="s">
        <v>1745</v>
      </c>
      <c r="P63" s="1957" t="s">
        <v>1762</v>
      </c>
      <c r="Q63" s="1958">
        <f ca="1">Q57+Q58</f>
        <v>457</v>
      </c>
      <c r="R63" s="1961" t="s">
        <v>1746</v>
      </c>
    </row>
    <row r="64" spans="1:18" s="1671" customFormat="1" ht="16.5" thickBot="1">
      <c r="A64" s="1368" t="s">
        <v>1415</v>
      </c>
      <c r="B64" s="718" t="s">
        <v>626</v>
      </c>
      <c r="C64" s="48">
        <f ca="1">ROUND(C55*F64,2)</f>
        <v>1.51</v>
      </c>
      <c r="D64" s="905" t="s">
        <v>627</v>
      </c>
      <c r="E64" s="718" t="s">
        <v>1276</v>
      </c>
      <c r="F64" s="751">
        <f t="shared" ca="1" si="0"/>
        <v>1E-3</v>
      </c>
      <c r="I64" s="2387" t="s">
        <v>1725</v>
      </c>
      <c r="J64" s="2388">
        <v>50</v>
      </c>
      <c r="K64" s="2388">
        <v>35</v>
      </c>
      <c r="L64" s="2388">
        <v>60</v>
      </c>
      <c r="M64" s="779">
        <v>0</v>
      </c>
      <c r="O64" s="1962" t="s">
        <v>1769</v>
      </c>
      <c r="P64" s="1143"/>
      <c r="Q64" s="1329"/>
      <c r="R64" s="1143"/>
    </row>
    <row r="65" spans="1:18" s="1671" customFormat="1" ht="15.75" thickBot="1">
      <c r="A65" s="1368" t="s">
        <v>1416</v>
      </c>
      <c r="B65" s="718" t="s">
        <v>613</v>
      </c>
      <c r="C65" s="48">
        <f ca="1">ROUND(C47*F65,2)</f>
        <v>0</v>
      </c>
      <c r="D65" s="905" t="s">
        <v>630</v>
      </c>
      <c r="E65" s="718" t="s">
        <v>1276</v>
      </c>
      <c r="F65" s="728">
        <f t="shared" ca="1" si="0"/>
        <v>0.01</v>
      </c>
      <c r="I65" s="2387" t="s">
        <v>1726</v>
      </c>
      <c r="J65" s="2388">
        <v>40</v>
      </c>
      <c r="K65" s="2388">
        <v>30</v>
      </c>
      <c r="L65" s="2388">
        <v>50</v>
      </c>
      <c r="M65" s="2390">
        <v>0.02</v>
      </c>
      <c r="O65" s="1953" t="s">
        <v>1729</v>
      </c>
      <c r="P65" s="1954" t="s">
        <v>1730</v>
      </c>
      <c r="Q65" s="1955" t="s">
        <v>1731</v>
      </c>
      <c r="R65" s="1954" t="s">
        <v>1732</v>
      </c>
    </row>
    <row r="66" spans="1:18" s="1671" customFormat="1" ht="24.75" thickBot="1">
      <c r="A66" s="731" t="s">
        <v>1305</v>
      </c>
      <c r="B66" s="2297" t="s">
        <v>2098</v>
      </c>
      <c r="C66" s="733">
        <f ca="1">C47-C57</f>
        <v>-5</v>
      </c>
      <c r="D66" s="904" t="s">
        <v>647</v>
      </c>
      <c r="E66" s="902"/>
      <c r="F66" s="753"/>
      <c r="K66" s="1695"/>
      <c r="O66" s="1956" t="s">
        <v>1733</v>
      </c>
      <c r="P66" s="1957" t="s">
        <v>1763</v>
      </c>
      <c r="Q66" s="1958">
        <f ca="1">C40+J29</f>
        <v>457</v>
      </c>
      <c r="R66" s="1957" t="s">
        <v>1734</v>
      </c>
    </row>
    <row r="67" spans="1:18" s="1671" customFormat="1" ht="20.25" thickBot="1">
      <c r="A67" s="715" t="s">
        <v>1309</v>
      </c>
      <c r="B67" s="1825" t="s">
        <v>1658</v>
      </c>
      <c r="C67" s="717">
        <f ca="1">ROUND(C66*(1-((1+F69)/(1+F67))^F68)/(F67-F69),0)</f>
        <v>-90</v>
      </c>
      <c r="D67" s="747" t="s">
        <v>651</v>
      </c>
      <c r="E67" s="718" t="s">
        <v>652</v>
      </c>
      <c r="F67" s="728">
        <f ca="1">F40</f>
        <v>0.05</v>
      </c>
      <c r="K67" s="1695"/>
      <c r="O67" s="1956" t="s">
        <v>1735</v>
      </c>
      <c r="P67" s="1957" t="s">
        <v>1766</v>
      </c>
      <c r="Q67" s="1958">
        <f ca="1">L60</f>
        <v>0</v>
      </c>
      <c r="R67" s="1961" t="s">
        <v>1768</v>
      </c>
    </row>
    <row r="68" spans="1:18" ht="21.75" thickBot="1">
      <c r="A68" s="720"/>
      <c r="B68" s="721"/>
      <c r="C68" s="722"/>
      <c r="D68" s="754" t="s">
        <v>1337</v>
      </c>
      <c r="E68" s="718" t="s">
        <v>1313</v>
      </c>
      <c r="F68" s="755">
        <f ca="1">F41</f>
        <v>47.45</v>
      </c>
      <c r="O68" s="1959" t="s">
        <v>1737</v>
      </c>
      <c r="P68" s="1957" t="s">
        <v>1767</v>
      </c>
      <c r="Q68" s="1963">
        <f ca="1">L51</f>
        <v>-1766</v>
      </c>
      <c r="R68" s="1964" t="s">
        <v>1770</v>
      </c>
    </row>
    <row r="69" spans="1:18" ht="20.25" thickBot="1">
      <c r="A69" s="724"/>
      <c r="B69" s="725"/>
      <c r="C69" s="726"/>
      <c r="D69" s="749"/>
      <c r="E69" s="718" t="s">
        <v>657</v>
      </c>
      <c r="F69" s="1933"/>
      <c r="O69" s="1959" t="s">
        <v>1738</v>
      </c>
      <c r="P69" s="1965" t="s">
        <v>1752</v>
      </c>
      <c r="Q69" s="1958">
        <f ca="1">ROUND(Q70-Q71*Q72,0)</f>
        <v>-86</v>
      </c>
      <c r="R69" s="1961"/>
    </row>
    <row r="70" spans="1:18" ht="15.75" thickBot="1">
      <c r="A70" s="756" t="s">
        <v>1316</v>
      </c>
      <c r="B70" s="757" t="s">
        <v>1339</v>
      </c>
      <c r="C70" s="758">
        <f ca="1">ROUND(C67*10000/F70,0)</f>
        <v>-390</v>
      </c>
      <c r="D70" s="759" t="s">
        <v>1340</v>
      </c>
      <c r="E70" s="760" t="s">
        <v>1341</v>
      </c>
      <c r="F70" s="761">
        <f ca="1">F43</f>
        <v>2307.2000000000003</v>
      </c>
      <c r="O70" s="1959" t="s">
        <v>1753</v>
      </c>
      <c r="P70" s="1965" t="s">
        <v>1754</v>
      </c>
      <c r="Q70" s="1958">
        <f ca="1">C39</f>
        <v>20</v>
      </c>
      <c r="R70" s="1957" t="s">
        <v>1734</v>
      </c>
    </row>
    <row r="71" spans="1:18" ht="15.75" thickBot="1">
      <c r="O71" s="1959" t="s">
        <v>1755</v>
      </c>
      <c r="P71" s="1965" t="s">
        <v>1756</v>
      </c>
      <c r="Q71" s="1958">
        <f ca="1">C13</f>
        <v>1508</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建设期及建筑物耐用年限下的土地年期修正系数Kn</v>
      </c>
      <c r="Q75" s="1958" t="e">
        <f ca="1">L59</f>
        <v>#DIV/0!</v>
      </c>
      <c r="R75" s="1961" t="s">
        <v>1751</v>
      </c>
    </row>
    <row r="76" spans="1:18" ht="15.75" thickBot="1">
      <c r="O76" s="1956" t="s">
        <v>1745</v>
      </c>
      <c r="P76" s="1957" t="s">
        <v>1762</v>
      </c>
      <c r="Q76" s="1958">
        <f ca="1">Q66+Q67</f>
        <v>457</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8" priority="4">
      <formula>$F$10="自定义"</formula>
    </cfRule>
  </conditionalFormatting>
  <conditionalFormatting sqref="C53">
    <cfRule type="expression" dxfId="27" priority="1">
      <formula>$F$52="自定义"</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J11">
    <cfRule type="expression" dxfId="24" priority="2">
      <formula>$M$10="自定义"</formula>
    </cfRule>
  </conditionalFormatting>
  <conditionalFormatting sqref="K55">
    <cfRule type="expression" dxfId="23" priority="7">
      <formula>$L$48&gt;$J$51</formula>
    </cfRule>
  </conditionalFormatting>
  <conditionalFormatting sqref="K60">
    <cfRule type="expression" dxfId="2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workbookViewId="0">
      <selection activeCell="M6" sqref="M6"/>
    </sheetView>
  </sheetViews>
  <sheetFormatPr defaultColWidth="8.875" defaultRowHeight="13.5"/>
  <cols>
    <col min="1" max="1" width="20.375" style="1489" customWidth="1"/>
    <col min="2" max="3" width="8.875" style="1489"/>
    <col min="4" max="4" width="9.375" style="1489" customWidth="1"/>
    <col min="5" max="5" width="15" style="1489" customWidth="1"/>
    <col min="6" max="6" width="10.75" style="1489" customWidth="1"/>
    <col min="7" max="7" width="15" style="1489" customWidth="1"/>
    <col min="8" max="8" width="13.5" style="1489" customWidth="1"/>
    <col min="9" max="9" width="15.25" style="1489" customWidth="1"/>
    <col min="10" max="10" width="10.375" style="1489" customWidth="1"/>
    <col min="11" max="11" width="13" style="1489" customWidth="1"/>
    <col min="12" max="14" width="8.875" style="1489"/>
    <col min="15" max="15" width="12.625" style="1489" customWidth="1"/>
    <col min="16" max="16" width="12.75" style="1489" customWidth="1"/>
    <col min="17" max="17" width="12.375" style="1489" customWidth="1"/>
    <col min="18" max="18" width="14.25" style="1489" customWidth="1"/>
    <col min="19" max="16384" width="8.875" style="1489"/>
  </cols>
  <sheetData>
    <row r="1" spans="1:19">
      <c r="A1" s="3812" t="s">
        <v>3642</v>
      </c>
      <c r="B1" s="3812"/>
      <c r="C1" s="3812"/>
      <c r="D1" s="3812"/>
      <c r="E1" s="3812"/>
      <c r="F1" s="3812"/>
      <c r="G1" s="3812"/>
      <c r="H1" s="3812"/>
      <c r="I1" s="3812"/>
      <c r="J1" s="3812"/>
      <c r="K1" s="3812"/>
    </row>
    <row r="2" spans="1:19">
      <c r="A2" s="1489" t="s">
        <v>3462</v>
      </c>
      <c r="B2" s="1489" t="s">
        <v>3435</v>
      </c>
      <c r="C2" s="1489" t="s">
        <v>3436</v>
      </c>
      <c r="D2" s="1489" t="s">
        <v>3621</v>
      </c>
      <c r="E2" s="1489" t="s">
        <v>3622</v>
      </c>
      <c r="F2" s="1489" t="s">
        <v>3623</v>
      </c>
      <c r="G2" s="1489" t="s">
        <v>3624</v>
      </c>
      <c r="H2" s="1489" t="s">
        <v>3643</v>
      </c>
      <c r="I2" s="1489" t="s">
        <v>3644</v>
      </c>
      <c r="J2" s="1489" t="s">
        <v>3625</v>
      </c>
      <c r="K2" s="1489" t="s">
        <v>3626</v>
      </c>
      <c r="L2" s="3390" t="s">
        <v>3649</v>
      </c>
      <c r="M2" s="3390" t="s">
        <v>3650</v>
      </c>
      <c r="O2" s="3390" t="s">
        <v>3651</v>
      </c>
      <c r="P2" s="3390" t="s">
        <v>3652</v>
      </c>
      <c r="Q2" s="3390" t="s">
        <v>3653</v>
      </c>
      <c r="R2" s="3390" t="s">
        <v>3654</v>
      </c>
      <c r="S2" s="3390" t="s">
        <v>3655</v>
      </c>
    </row>
    <row r="3" spans="1:19">
      <c r="A3" s="1489" t="s">
        <v>3645</v>
      </c>
      <c r="B3" s="1489" t="s">
        <v>3464</v>
      </c>
      <c r="C3" s="1489" t="s">
        <v>3465</v>
      </c>
      <c r="D3" s="1489">
        <v>424</v>
      </c>
      <c r="E3" s="1489">
        <v>14368</v>
      </c>
      <c r="F3" s="1489">
        <v>2157</v>
      </c>
      <c r="G3" s="1489">
        <v>3099.22</v>
      </c>
      <c r="J3" s="1489">
        <v>1978</v>
      </c>
      <c r="K3" s="1489">
        <v>68403</v>
      </c>
      <c r="L3" s="1489">
        <f>ROUND(E3/D3,0)</f>
        <v>34</v>
      </c>
      <c r="M3" s="1489">
        <f>ROUND(G3*10000/D3,0)</f>
        <v>73095</v>
      </c>
    </row>
    <row r="4" spans="1:19">
      <c r="A4" s="1489" t="s">
        <v>3629</v>
      </c>
      <c r="B4" s="1489" t="s">
        <v>3464</v>
      </c>
      <c r="C4" s="1489" t="s">
        <v>3630</v>
      </c>
      <c r="D4" s="1489">
        <v>153</v>
      </c>
      <c r="E4" s="1489">
        <v>4019</v>
      </c>
      <c r="F4" s="1489">
        <v>1414</v>
      </c>
      <c r="G4" s="1489">
        <v>568.35</v>
      </c>
      <c r="J4" s="1489">
        <v>6</v>
      </c>
      <c r="K4" s="1489">
        <v>156</v>
      </c>
      <c r="L4" s="1489">
        <f t="shared" ref="L4:L9" si="0">ROUND(E4/D4,0)</f>
        <v>26</v>
      </c>
      <c r="M4" s="1489">
        <f t="shared" ref="M4:M9" si="1">ROUND(G4*10000/D4,0)</f>
        <v>37147</v>
      </c>
    </row>
    <row r="5" spans="1:19" s="3444" customFormat="1">
      <c r="A5" s="3445" t="s">
        <v>3634</v>
      </c>
      <c r="B5" s="3444" t="s">
        <v>3464</v>
      </c>
      <c r="C5" s="3444" t="s">
        <v>3465</v>
      </c>
      <c r="D5" s="3444">
        <v>44</v>
      </c>
      <c r="E5" s="3444">
        <v>1429</v>
      </c>
      <c r="F5" s="3444">
        <v>6354</v>
      </c>
      <c r="G5" s="3444">
        <v>908.1</v>
      </c>
      <c r="J5" s="3444">
        <v>16</v>
      </c>
      <c r="K5" s="3444">
        <v>538</v>
      </c>
      <c r="L5" s="3444">
        <f t="shared" si="0"/>
        <v>32</v>
      </c>
      <c r="M5" s="3444">
        <f t="shared" si="1"/>
        <v>206386</v>
      </c>
      <c r="O5" s="3444">
        <v>4389</v>
      </c>
      <c r="P5" s="3444">
        <v>147</v>
      </c>
      <c r="Q5" s="3444">
        <v>4493</v>
      </c>
      <c r="R5" s="3444">
        <v>137</v>
      </c>
      <c r="S5" s="3447">
        <f>R5/P5</f>
        <v>0.93197278911564629</v>
      </c>
    </row>
    <row r="6" spans="1:19" s="3444" customFormat="1">
      <c r="A6" s="3445" t="s">
        <v>3657</v>
      </c>
      <c r="B6" s="3444" t="s">
        <v>3464</v>
      </c>
      <c r="C6" s="3444" t="s">
        <v>3465</v>
      </c>
      <c r="D6" s="3444">
        <v>36</v>
      </c>
      <c r="E6" s="3444">
        <v>1289</v>
      </c>
      <c r="F6" s="3444">
        <v>4133</v>
      </c>
      <c r="G6" s="3444">
        <v>532.66999999999996</v>
      </c>
      <c r="H6" s="3444">
        <v>278</v>
      </c>
      <c r="I6" s="3444">
        <v>9641</v>
      </c>
      <c r="J6" s="3444">
        <v>277</v>
      </c>
      <c r="K6" s="3444">
        <v>9607</v>
      </c>
      <c r="L6" s="3444">
        <f t="shared" si="0"/>
        <v>36</v>
      </c>
      <c r="M6" s="3444">
        <f t="shared" si="1"/>
        <v>147964</v>
      </c>
      <c r="O6" s="3444">
        <v>17767</v>
      </c>
      <c r="P6" s="3444">
        <v>478</v>
      </c>
      <c r="Q6" s="3444">
        <v>6818</v>
      </c>
      <c r="R6" s="3444">
        <v>184</v>
      </c>
      <c r="S6" s="3447">
        <f>R6/P6</f>
        <v>0.38493723849372385</v>
      </c>
    </row>
    <row r="7" spans="1:19">
      <c r="A7" s="3390" t="s">
        <v>3656</v>
      </c>
      <c r="B7" s="1489" t="s">
        <v>3464</v>
      </c>
      <c r="C7" s="1489" t="s">
        <v>3465</v>
      </c>
      <c r="D7" s="1489">
        <v>22</v>
      </c>
      <c r="E7" s="1489">
        <v>665</v>
      </c>
      <c r="F7" s="1489">
        <v>4161</v>
      </c>
      <c r="G7" s="1489">
        <v>276.49</v>
      </c>
      <c r="J7" s="1489">
        <v>19</v>
      </c>
      <c r="K7" s="1489">
        <v>582</v>
      </c>
      <c r="L7" s="1489">
        <f t="shared" si="0"/>
        <v>30</v>
      </c>
      <c r="M7" s="1489">
        <f t="shared" si="1"/>
        <v>125677</v>
      </c>
      <c r="N7" s="3390" t="s">
        <v>3659</v>
      </c>
      <c r="O7" s="3390">
        <v>44964</v>
      </c>
      <c r="P7" s="1489">
        <v>1515</v>
      </c>
      <c r="Q7" s="1489">
        <v>26141</v>
      </c>
      <c r="R7" s="1489">
        <v>861</v>
      </c>
      <c r="S7" s="3449">
        <f>R7/P7</f>
        <v>0.56831683168316827</v>
      </c>
    </row>
    <row r="8" spans="1:19">
      <c r="A8" s="1489" t="s">
        <v>3647</v>
      </c>
      <c r="B8" s="1489" t="s">
        <v>3464</v>
      </c>
      <c r="C8" s="1489" t="s">
        <v>3465</v>
      </c>
      <c r="D8" s="1489">
        <v>19</v>
      </c>
      <c r="E8" s="1489">
        <v>893</v>
      </c>
      <c r="F8" s="1489">
        <v>3403</v>
      </c>
      <c r="G8" s="1489">
        <v>304</v>
      </c>
      <c r="J8" s="1489">
        <v>181</v>
      </c>
      <c r="K8" s="1489">
        <v>8132</v>
      </c>
      <c r="L8" s="1489">
        <f t="shared" si="0"/>
        <v>47</v>
      </c>
      <c r="M8" s="1489">
        <f t="shared" si="1"/>
        <v>160000</v>
      </c>
      <c r="N8" s="3390" t="s">
        <v>3658</v>
      </c>
      <c r="O8" s="1489">
        <v>10174</v>
      </c>
      <c r="P8" s="1489">
        <v>226</v>
      </c>
      <c r="Q8" s="1489">
        <v>2042</v>
      </c>
      <c r="R8" s="1489">
        <v>45</v>
      </c>
      <c r="S8" s="3446">
        <f>R8/P8</f>
        <v>0.19911504424778761</v>
      </c>
    </row>
    <row r="9" spans="1:19" s="3444" customFormat="1">
      <c r="A9" s="3445" t="s">
        <v>3636</v>
      </c>
      <c r="B9" s="3444" t="s">
        <v>3464</v>
      </c>
      <c r="C9" s="3444" t="s">
        <v>3465</v>
      </c>
      <c r="D9" s="3444">
        <v>3</v>
      </c>
      <c r="E9" s="3444">
        <v>102</v>
      </c>
      <c r="F9" s="3444">
        <v>6271</v>
      </c>
      <c r="G9" s="3444">
        <v>64</v>
      </c>
      <c r="J9" s="3444">
        <v>222</v>
      </c>
      <c r="K9" s="3444">
        <v>7626</v>
      </c>
      <c r="L9" s="3444">
        <f t="shared" si="0"/>
        <v>34</v>
      </c>
      <c r="M9" s="3444">
        <f t="shared" si="1"/>
        <v>213333</v>
      </c>
      <c r="O9" s="3444">
        <v>9763</v>
      </c>
      <c r="P9" s="3444">
        <v>287</v>
      </c>
      <c r="Q9" s="3444">
        <v>2204</v>
      </c>
      <c r="R9" s="3444">
        <v>64</v>
      </c>
      <c r="S9" s="3447">
        <f>R9/P9</f>
        <v>0.22299651567944251</v>
      </c>
    </row>
    <row r="10" spans="1:19">
      <c r="A10" s="1489" t="s">
        <v>3648</v>
      </c>
      <c r="B10" s="1489" t="s">
        <v>3464</v>
      </c>
      <c r="C10" s="1489" t="s">
        <v>3465</v>
      </c>
      <c r="J10" s="1489">
        <v>43</v>
      </c>
      <c r="K10" s="1489">
        <v>1339</v>
      </c>
    </row>
  </sheetData>
  <mergeCells count="1">
    <mergeCell ref="A1:K1"/>
  </mergeCells>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9" zoomScale="90" zoomScaleNormal="60" zoomScaleSheetLayoutView="90" workbookViewId="0">
      <selection activeCell="E33" sqref="E33"/>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2" t="s">
        <v>665</v>
      </c>
      <c r="B1" s="843" t="s">
        <v>851</v>
      </c>
      <c r="C1" s="454" t="s">
        <v>732</v>
      </c>
      <c r="D1" s="782" t="s">
        <v>3332</v>
      </c>
      <c r="E1" s="456"/>
      <c r="F1" s="2117" t="s">
        <v>3396</v>
      </c>
      <c r="G1" s="1327" t="s">
        <v>733</v>
      </c>
      <c r="H1" s="456"/>
      <c r="I1" s="456"/>
      <c r="J1" s="456"/>
      <c r="K1" s="457"/>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2" t="s">
        <v>734</v>
      </c>
      <c r="B2" s="783">
        <f>ROUND(B3*D3/10000,0)</f>
        <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9" t="s">
        <v>735</v>
      </c>
      <c r="B3" s="460">
        <f>C37</f>
        <v>0</v>
      </c>
      <c r="C3" s="785" t="s">
        <v>736</v>
      </c>
      <c r="D3" s="784">
        <f>SUMIF('数据-汇总表'!$C19:$C33,D1,'数据-汇总表'!$E19:$E33)</f>
        <v>98.29</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2" t="s">
        <v>737</v>
      </c>
      <c r="B4" s="463"/>
      <c r="C4" s="3690" t="s">
        <v>738</v>
      </c>
      <c r="D4" s="3691"/>
      <c r="E4" s="3729" t="s">
        <v>739</v>
      </c>
      <c r="F4" s="3730"/>
      <c r="G4" s="3690" t="s">
        <v>740</v>
      </c>
      <c r="H4" s="3691"/>
      <c r="I4" s="3690" t="s">
        <v>741</v>
      </c>
      <c r="J4" s="3691"/>
      <c r="K4" s="464" t="s">
        <v>742</v>
      </c>
      <c r="L4" s="1740"/>
      <c r="M4" s="1741"/>
      <c r="N4" s="1741"/>
      <c r="O4" s="1741"/>
      <c r="P4" s="3692" t="s">
        <v>743</v>
      </c>
      <c r="Q4" s="3693"/>
      <c r="R4" s="3698" t="s">
        <v>739</v>
      </c>
      <c r="S4" s="3699"/>
      <c r="T4" s="3698" t="s">
        <v>740</v>
      </c>
      <c r="U4" s="3699"/>
      <c r="V4" s="3685" t="s">
        <v>741</v>
      </c>
      <c r="W4" s="3685"/>
      <c r="X4" s="1301"/>
      <c r="Y4" s="3698" t="s">
        <v>743</v>
      </c>
      <c r="Z4" s="3699"/>
      <c r="AA4" s="3687" t="s">
        <v>739</v>
      </c>
      <c r="AB4" s="3688" t="s">
        <v>740</v>
      </c>
      <c r="AC4" s="3687" t="s">
        <v>741</v>
      </c>
    </row>
    <row r="5" spans="1:29" ht="15">
      <c r="A5" s="465"/>
      <c r="B5" s="466"/>
      <c r="C5" s="3706" t="s">
        <v>2190</v>
      </c>
      <c r="D5" s="3707"/>
      <c r="E5" s="3731" t="s">
        <v>2191</v>
      </c>
      <c r="F5" s="3732"/>
      <c r="G5" s="3706" t="s">
        <v>2192</v>
      </c>
      <c r="H5" s="3707"/>
      <c r="I5" s="3706" t="s">
        <v>2193</v>
      </c>
      <c r="J5" s="3707"/>
      <c r="K5" s="464"/>
      <c r="L5" s="1740"/>
      <c r="M5" s="1741"/>
      <c r="N5" s="1741"/>
      <c r="O5" s="1741"/>
      <c r="P5" s="3694"/>
      <c r="Q5" s="3695"/>
      <c r="R5" s="3700"/>
      <c r="S5" s="3701"/>
      <c r="T5" s="3700"/>
      <c r="U5" s="3701"/>
      <c r="V5" s="3685"/>
      <c r="W5" s="3685"/>
      <c r="X5" s="1301"/>
      <c r="Y5" s="3700"/>
      <c r="Z5" s="3701"/>
      <c r="AA5" s="3688"/>
      <c r="AB5" s="3688"/>
      <c r="AC5" s="3688"/>
    </row>
    <row r="6" spans="1:29" ht="15.75" thickBot="1">
      <c r="A6" s="467"/>
      <c r="B6" s="468"/>
      <c r="C6" s="3704" t="s">
        <v>2194</v>
      </c>
      <c r="D6" s="3705"/>
      <c r="E6" s="3727" t="s">
        <v>2194</v>
      </c>
      <c r="F6" s="3728"/>
      <c r="G6" s="3704" t="s">
        <v>2194</v>
      </c>
      <c r="H6" s="3705"/>
      <c r="I6" s="3704" t="s">
        <v>2194</v>
      </c>
      <c r="J6" s="3705"/>
      <c r="K6" s="464" t="s">
        <v>477</v>
      </c>
      <c r="L6" s="1740"/>
      <c r="M6" s="1741"/>
      <c r="N6" s="1741"/>
      <c r="O6" s="1741"/>
      <c r="P6" s="3696"/>
      <c r="Q6" s="3697"/>
      <c r="R6" s="3700"/>
      <c r="S6" s="3701"/>
      <c r="T6" s="3702"/>
      <c r="U6" s="3703"/>
      <c r="V6" s="3685"/>
      <c r="W6" s="3685"/>
      <c r="X6" s="1301"/>
      <c r="Y6" s="3702"/>
      <c r="Z6" s="3703"/>
      <c r="AA6" s="3689"/>
      <c r="AB6" s="3689"/>
      <c r="AC6" s="3689"/>
    </row>
    <row r="7" spans="1:29" s="1058" customFormat="1" ht="15.75" thickBot="1">
      <c r="A7" s="2208"/>
      <c r="B7" s="2215" t="s">
        <v>478</v>
      </c>
      <c r="C7" s="469">
        <f>'数据-取费表'!B2</f>
        <v>45615</v>
      </c>
      <c r="D7" s="470">
        <v>100</v>
      </c>
      <c r="E7" s="471">
        <f>C7</f>
        <v>45615</v>
      </c>
      <c r="F7" s="472">
        <f>SUMIF(46:46,YEAR(E7)&amp;"-"&amp;MONTH(E7),47:47)</f>
        <v>100</v>
      </c>
      <c r="G7" s="473">
        <f>C7</f>
        <v>45615</v>
      </c>
      <c r="H7" s="470">
        <f>SUMIF(46:46,YEAR(G7)&amp;"-"&amp;MONTH(G7),47:47)</f>
        <v>100</v>
      </c>
      <c r="I7" s="473">
        <f>C7</f>
        <v>45615</v>
      </c>
      <c r="J7" s="470">
        <f>SUMIF(46:46,YEAR(I7)&amp;"-"&amp;MONTH(I7),47:47)</f>
        <v>100</v>
      </c>
      <c r="K7" s="87"/>
      <c r="L7" s="1742"/>
      <c r="M7" s="1639"/>
      <c r="N7" s="1639"/>
      <c r="O7" s="1639"/>
      <c r="P7" s="3714" t="s">
        <v>479</v>
      </c>
      <c r="Q7" s="3716"/>
      <c r="R7" s="1302" t="s">
        <v>5</v>
      </c>
      <c r="S7" s="1303">
        <f t="shared" ref="S7:S14" si="0">F7</f>
        <v>100</v>
      </c>
      <c r="T7" s="1302" t="s">
        <v>5</v>
      </c>
      <c r="U7" s="1303">
        <f t="shared" ref="U7:U14" si="1">H7</f>
        <v>100</v>
      </c>
      <c r="V7" s="1302" t="s">
        <v>5</v>
      </c>
      <c r="W7" s="1303">
        <f t="shared" ref="W7:W14" si="2">J7</f>
        <v>100</v>
      </c>
      <c r="X7" s="1304"/>
      <c r="Y7" s="3714" t="s">
        <v>479</v>
      </c>
      <c r="Z7" s="3715"/>
      <c r="AA7" s="995">
        <f>D7/F7</f>
        <v>1</v>
      </c>
      <c r="AB7" s="995">
        <f>D7/H7</f>
        <v>1</v>
      </c>
      <c r="AC7" s="995">
        <f>D7/J7</f>
        <v>1</v>
      </c>
    </row>
    <row r="8" spans="1:29" s="1058" customFormat="1" ht="15.75" thickBot="1">
      <c r="A8" s="2209"/>
      <c r="B8" s="2216" t="s">
        <v>480</v>
      </c>
      <c r="C8" s="474" t="s">
        <v>524</v>
      </c>
      <c r="D8" s="470">
        <v>100</v>
      </c>
      <c r="E8" s="474" t="s">
        <v>3388</v>
      </c>
      <c r="F8" s="472">
        <f>SUMIF(49:49,E8,50:50)-SUMIF(49:49,C8,50:50)+100</f>
        <v>100</v>
      </c>
      <c r="G8" s="474" t="s">
        <v>3388</v>
      </c>
      <c r="H8" s="470">
        <f>SUMIF(49:49,G8,50:50)-SUMIF(49:49,C8,50:50)+100</f>
        <v>100</v>
      </c>
      <c r="I8" s="474" t="s">
        <v>3388</v>
      </c>
      <c r="J8" s="470">
        <f>SUMIF(49:49,I8,50:50)-SUMIF(49:49,C8,50:50)+100</f>
        <v>100</v>
      </c>
      <c r="K8" s="87"/>
      <c r="L8" s="1742"/>
      <c r="M8" s="1639"/>
      <c r="N8" s="1639"/>
      <c r="O8" s="1639"/>
      <c r="P8" s="3714" t="s">
        <v>482</v>
      </c>
      <c r="Q8" s="3715"/>
      <c r="R8" s="1302" t="s">
        <v>5</v>
      </c>
      <c r="S8" s="1303">
        <f t="shared" si="0"/>
        <v>100</v>
      </c>
      <c r="T8" s="1302" t="s">
        <v>5</v>
      </c>
      <c r="U8" s="1303">
        <f t="shared" si="1"/>
        <v>100</v>
      </c>
      <c r="V8" s="1302" t="s">
        <v>5</v>
      </c>
      <c r="W8" s="1303">
        <f t="shared" si="2"/>
        <v>100</v>
      </c>
      <c r="X8" s="1304"/>
      <c r="Y8" s="3714" t="s">
        <v>482</v>
      </c>
      <c r="Z8" s="3715"/>
      <c r="AA8" s="995">
        <f t="shared" ref="AA8:AA34" si="3">D8/F8</f>
        <v>1</v>
      </c>
      <c r="AB8" s="995">
        <f t="shared" ref="AB8:AB34" si="4">D8/H8</f>
        <v>1</v>
      </c>
      <c r="AC8" s="995">
        <f t="shared" ref="AC8:AC34" si="5">D8/J8</f>
        <v>1</v>
      </c>
    </row>
    <row r="9" spans="1:29" s="1058" customFormat="1" ht="15">
      <c r="A9" s="2210"/>
      <c r="B9" s="2217" t="s">
        <v>2037</v>
      </c>
      <c r="C9" s="3426" t="s">
        <v>3432</v>
      </c>
      <c r="D9" s="153">
        <v>100</v>
      </c>
      <c r="E9" s="792" t="s">
        <v>3332</v>
      </c>
      <c r="F9" s="153">
        <f>SUMIF(51:51,E9,52:52)-SUMIF(51:51,C9,52:52)+100</f>
        <v>100</v>
      </c>
      <c r="G9" s="792" t="s">
        <v>3332</v>
      </c>
      <c r="H9" s="153">
        <f>SUMIF(51:51,G9,52:52)-SUMIF(51:51,C9,52:52)+100</f>
        <v>100</v>
      </c>
      <c r="I9" s="792" t="s">
        <v>3332</v>
      </c>
      <c r="J9" s="153">
        <f>SUMIF(51:51,I9,52:52)-SUMIF(51:51,C9,52:52)+100</f>
        <v>100</v>
      </c>
      <c r="K9" s="87"/>
      <c r="L9" s="1742"/>
      <c r="M9" s="1639"/>
      <c r="N9" s="1639"/>
      <c r="O9" s="1743"/>
      <c r="P9" s="3684" t="s">
        <v>484</v>
      </c>
      <c r="Q9" s="816" t="str">
        <f t="shared" ref="Q9:Q14" si="6">B9</f>
        <v>用途</v>
      </c>
      <c r="R9" s="1302" t="s">
        <v>5</v>
      </c>
      <c r="S9" s="1303">
        <f t="shared" si="0"/>
        <v>100</v>
      </c>
      <c r="T9" s="1302" t="s">
        <v>5</v>
      </c>
      <c r="U9" s="1303">
        <f t="shared" si="1"/>
        <v>100</v>
      </c>
      <c r="V9" s="1302" t="s">
        <v>5</v>
      </c>
      <c r="W9" s="1303">
        <f t="shared" si="2"/>
        <v>100</v>
      </c>
      <c r="X9" s="1304"/>
      <c r="Y9" s="3632" t="s">
        <v>485</v>
      </c>
      <c r="Z9" s="995" t="str">
        <f t="shared" ref="Z9:Z14" si="7">Q9</f>
        <v>用途</v>
      </c>
      <c r="AA9" s="995">
        <f t="shared" si="3"/>
        <v>1</v>
      </c>
      <c r="AB9" s="995">
        <f t="shared" si="4"/>
        <v>1</v>
      </c>
      <c r="AC9" s="995">
        <f t="shared" si="5"/>
        <v>1</v>
      </c>
    </row>
    <row r="10" spans="1:29" s="1131" customFormat="1" ht="27">
      <c r="A10" s="2211"/>
      <c r="B10" s="2216" t="s">
        <v>2038</v>
      </c>
      <c r="C10" s="3386"/>
      <c r="D10" s="234">
        <v>100</v>
      </c>
      <c r="E10" s="3386"/>
      <c r="F10" s="234">
        <f>SUMIF(53:53,E10,54:54)-SUMIF(53:53,C10,54:54)+100</f>
        <v>100</v>
      </c>
      <c r="G10" s="3387"/>
      <c r="H10" s="234">
        <f>SUMIF(53:53,G10,54:54)-SUMIF(53:53,C10,54:54)+100</f>
        <v>100</v>
      </c>
      <c r="I10" s="3386"/>
      <c r="J10" s="234">
        <f>SUMIF(53:53,I10,54:54)-SUMIF(53:53,C10,54:54)+100</f>
        <v>100</v>
      </c>
      <c r="K10" s="87"/>
      <c r="L10" s="1744"/>
      <c r="M10" s="1777"/>
      <c r="N10" s="1777"/>
      <c r="O10" s="1745"/>
      <c r="P10" s="3684"/>
      <c r="Q10" s="816" t="str">
        <f t="shared" si="6"/>
        <v>土地使用年限（年）</v>
      </c>
      <c r="R10" s="1302" t="s">
        <v>5</v>
      </c>
      <c r="S10" s="1303">
        <f t="shared" si="0"/>
        <v>100</v>
      </c>
      <c r="T10" s="1302" t="s">
        <v>5</v>
      </c>
      <c r="U10" s="1303">
        <f t="shared" si="1"/>
        <v>100</v>
      </c>
      <c r="V10" s="1302" t="s">
        <v>5</v>
      </c>
      <c r="W10" s="1303">
        <f t="shared" si="2"/>
        <v>100</v>
      </c>
      <c r="X10" s="1304"/>
      <c r="Y10" s="3632"/>
      <c r="Z10" s="995" t="str">
        <f t="shared" si="7"/>
        <v>土地使用年限（年）</v>
      </c>
      <c r="AA10" s="995">
        <f t="shared" si="3"/>
        <v>1</v>
      </c>
      <c r="AB10" s="995">
        <f t="shared" si="4"/>
        <v>1</v>
      </c>
      <c r="AC10" s="995">
        <f t="shared" si="5"/>
        <v>1</v>
      </c>
    </row>
    <row r="11" spans="1:29" ht="15">
      <c r="A11" s="2213"/>
      <c r="B11" s="2219">
        <v>111</v>
      </c>
      <c r="C11" s="477"/>
      <c r="D11" s="234">
        <v>100</v>
      </c>
      <c r="E11" s="804"/>
      <c r="F11" s="234">
        <f>SUMIF(55:55,E11,56:56)-SUMIF(55:55,C11,56:56)+100</f>
        <v>100</v>
      </c>
      <c r="G11" s="804"/>
      <c r="H11" s="234">
        <f>SUMIF(55:55,G11,56:56)-SUMIF(55:55,C11,56:56)+100</f>
        <v>100</v>
      </c>
      <c r="I11" s="804"/>
      <c r="J11" s="234">
        <f>SUMIF(55:55,I11,56:56)-SUMIF(55:55,C11,56:56)+100</f>
        <v>100</v>
      </c>
      <c r="K11" s="530"/>
      <c r="L11" s="1746"/>
      <c r="M11" s="1741"/>
      <c r="N11" s="1741"/>
      <c r="O11" s="1747"/>
      <c r="P11" s="3684"/>
      <c r="Q11" s="816">
        <f t="shared" si="6"/>
        <v>111</v>
      </c>
      <c r="R11" s="1302" t="s">
        <v>5</v>
      </c>
      <c r="S11" s="1303">
        <f t="shared" si="0"/>
        <v>100</v>
      </c>
      <c r="T11" s="1302" t="s">
        <v>5</v>
      </c>
      <c r="U11" s="1303">
        <f t="shared" si="1"/>
        <v>100</v>
      </c>
      <c r="V11" s="1302" t="s">
        <v>5</v>
      </c>
      <c r="W11" s="1303">
        <f t="shared" si="2"/>
        <v>100</v>
      </c>
      <c r="X11" s="1304"/>
      <c r="Y11" s="3632"/>
      <c r="Z11" s="995">
        <f t="shared" si="7"/>
        <v>111</v>
      </c>
      <c r="AA11" s="995">
        <f t="shared" si="3"/>
        <v>1</v>
      </c>
      <c r="AB11" s="995">
        <f t="shared" si="4"/>
        <v>1</v>
      </c>
      <c r="AC11" s="995">
        <f t="shared" si="5"/>
        <v>1</v>
      </c>
    </row>
    <row r="12" spans="1:29" s="1058" customFormat="1" ht="15">
      <c r="A12" s="2213"/>
      <c r="B12" s="2219">
        <v>111</v>
      </c>
      <c r="C12" s="477"/>
      <c r="D12" s="487">
        <v>100</v>
      </c>
      <c r="E12" s="804"/>
      <c r="F12" s="234">
        <f>SUMIF(57:57,E12,58:58)-SUMIF(57:57,C12,58:58)+100</f>
        <v>100</v>
      </c>
      <c r="G12" s="804"/>
      <c r="H12" s="234">
        <f>SUMIF(57:57,G12,58:58)-SUMIF(57:57,C12,58:58)+100</f>
        <v>100</v>
      </c>
      <c r="I12" s="804"/>
      <c r="J12" s="234">
        <f>SUMIF(57:57,I12,58:58)-SUMIF(57:57,C12,58:58)+100</f>
        <v>100</v>
      </c>
      <c r="K12" s="530"/>
      <c r="L12" s="1742"/>
      <c r="M12" s="1639"/>
      <c r="N12" s="1639"/>
      <c r="O12" s="1743"/>
      <c r="P12" s="3684"/>
      <c r="Q12" s="816">
        <f t="shared" si="6"/>
        <v>111</v>
      </c>
      <c r="R12" s="1302" t="s">
        <v>5</v>
      </c>
      <c r="S12" s="1303">
        <f t="shared" si="0"/>
        <v>100</v>
      </c>
      <c r="T12" s="1302" t="s">
        <v>5</v>
      </c>
      <c r="U12" s="1303">
        <f t="shared" si="1"/>
        <v>100</v>
      </c>
      <c r="V12" s="1302" t="s">
        <v>5</v>
      </c>
      <c r="W12" s="1303">
        <f t="shared" si="2"/>
        <v>100</v>
      </c>
      <c r="X12" s="1304"/>
      <c r="Y12" s="3632"/>
      <c r="Z12" s="995">
        <f t="shared" si="7"/>
        <v>111</v>
      </c>
      <c r="AA12" s="995">
        <f>D12/F12</f>
        <v>1</v>
      </c>
      <c r="AB12" s="995">
        <f>D12/H12</f>
        <v>1</v>
      </c>
      <c r="AC12" s="995">
        <f>D12/J12</f>
        <v>1</v>
      </c>
    </row>
    <row r="13" spans="1:29" ht="15.75" thickBot="1">
      <c r="A13" s="2214"/>
      <c r="B13" s="2220">
        <v>111</v>
      </c>
      <c r="C13" s="488"/>
      <c r="D13" s="489">
        <v>100</v>
      </c>
      <c r="E13" s="804"/>
      <c r="F13" s="234">
        <f>SUMIF(59:59,E13,60:60)-SUMIF(59:59,C13,60:60)+100</f>
        <v>100</v>
      </c>
      <c r="G13" s="804"/>
      <c r="H13" s="489">
        <f>SUMIF(59:59,G13,60:60)-SUMIF(59:59,C13,60:60)+100</f>
        <v>100</v>
      </c>
      <c r="I13" s="804"/>
      <c r="J13" s="489">
        <f>SUMIF(59:59,I13,60:60)-SUMIF(59:59,C13,60:60)+100</f>
        <v>100</v>
      </c>
      <c r="K13" s="530"/>
      <c r="L13" s="1748"/>
      <c r="M13" s="1741"/>
      <c r="N13" s="1741"/>
      <c r="O13" s="1747"/>
      <c r="P13" s="3684"/>
      <c r="Q13" s="816">
        <f t="shared" si="6"/>
        <v>111</v>
      </c>
      <c r="R13" s="1302" t="s">
        <v>5</v>
      </c>
      <c r="S13" s="1303">
        <f t="shared" si="0"/>
        <v>100</v>
      </c>
      <c r="T13" s="1302" t="s">
        <v>5</v>
      </c>
      <c r="U13" s="1303">
        <f t="shared" si="1"/>
        <v>100</v>
      </c>
      <c r="V13" s="1302" t="s">
        <v>5</v>
      </c>
      <c r="W13" s="1303">
        <f t="shared" si="2"/>
        <v>100</v>
      </c>
      <c r="X13" s="1304"/>
      <c r="Y13" s="3632"/>
      <c r="Z13" s="995">
        <f t="shared" si="7"/>
        <v>111</v>
      </c>
      <c r="AA13" s="995">
        <f t="shared" si="3"/>
        <v>1</v>
      </c>
      <c r="AB13" s="995">
        <f t="shared" si="4"/>
        <v>1</v>
      </c>
      <c r="AC13" s="995">
        <f t="shared" si="5"/>
        <v>1</v>
      </c>
    </row>
    <row r="14" spans="1:29" ht="85.5">
      <c r="A14" s="2206" t="s">
        <v>2035</v>
      </c>
      <c r="B14" s="149" t="s">
        <v>492</v>
      </c>
      <c r="C14" s="841"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0"/>
      <c r="L14" s="1748"/>
      <c r="M14" s="1741"/>
      <c r="N14" s="1741"/>
      <c r="O14" s="1747"/>
      <c r="P14" s="3717" t="s">
        <v>489</v>
      </c>
      <c r="Q14" s="1305" t="str">
        <f t="shared" si="6"/>
        <v>交通便捷度</v>
      </c>
      <c r="R14" s="1306" t="s">
        <v>5</v>
      </c>
      <c r="S14" s="1307">
        <f t="shared" si="0"/>
        <v>100</v>
      </c>
      <c r="T14" s="1306" t="s">
        <v>5</v>
      </c>
      <c r="U14" s="1307">
        <f t="shared" si="1"/>
        <v>100</v>
      </c>
      <c r="V14" s="1306" t="s">
        <v>5</v>
      </c>
      <c r="W14" s="1307">
        <f t="shared" si="2"/>
        <v>100</v>
      </c>
      <c r="X14" s="1301"/>
      <c r="Y14" s="3717" t="s">
        <v>489</v>
      </c>
      <c r="Z14" s="1308" t="str">
        <f t="shared" si="7"/>
        <v>交通便捷度</v>
      </c>
      <c r="AA14" s="1308">
        <f t="shared" si="3"/>
        <v>1</v>
      </c>
      <c r="AB14" s="1308">
        <f t="shared" si="4"/>
        <v>1</v>
      </c>
      <c r="AC14" s="1308">
        <f t="shared" si="5"/>
        <v>1</v>
      </c>
    </row>
    <row r="15" spans="1:29" ht="15">
      <c r="A15" s="481"/>
      <c r="B15" s="798"/>
      <c r="C15" s="525"/>
      <c r="D15" s="504"/>
      <c r="E15" s="525"/>
      <c r="F15" s="506"/>
      <c r="G15" s="525"/>
      <c r="H15" s="508"/>
      <c r="I15" s="525"/>
      <c r="J15" s="504"/>
      <c r="K15" s="821"/>
      <c r="L15" s="1748"/>
      <c r="M15" s="1741"/>
      <c r="N15" s="1741"/>
      <c r="O15" s="1747"/>
      <c r="P15" s="3718"/>
      <c r="Q15" s="1305"/>
      <c r="R15" s="1306"/>
      <c r="S15" s="1307"/>
      <c r="T15" s="1306"/>
      <c r="U15" s="1307"/>
      <c r="V15" s="1306"/>
      <c r="W15" s="1307"/>
      <c r="X15" s="1301"/>
      <c r="Y15" s="3718"/>
      <c r="Z15" s="1308"/>
      <c r="AA15" s="1308">
        <v>1</v>
      </c>
      <c r="AB15" s="1308">
        <v>1</v>
      </c>
      <c r="AC15" s="1308">
        <v>1</v>
      </c>
    </row>
    <row r="16" spans="1:29" ht="42.75">
      <c r="A16" s="481"/>
      <c r="B16" s="2061"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0"/>
      <c r="L16" s="1748"/>
      <c r="M16" s="1741"/>
      <c r="N16" s="1741"/>
      <c r="O16" s="1747"/>
      <c r="P16" s="3718"/>
      <c r="Q16" s="1305" t="str">
        <f>B16</f>
        <v>公共配套设施</v>
      </c>
      <c r="R16" s="1306" t="s">
        <v>5</v>
      </c>
      <c r="S16" s="1307">
        <f>F16</f>
        <v>100</v>
      </c>
      <c r="T16" s="1306" t="s">
        <v>5</v>
      </c>
      <c r="U16" s="1307">
        <f>H16</f>
        <v>100</v>
      </c>
      <c r="V16" s="1306" t="s">
        <v>5</v>
      </c>
      <c r="W16" s="1307">
        <f>J16</f>
        <v>100</v>
      </c>
      <c r="X16" s="1301"/>
      <c r="Y16" s="3718"/>
      <c r="Z16" s="1308" t="str">
        <f>Q16</f>
        <v>公共配套设施</v>
      </c>
      <c r="AA16" s="1308">
        <f t="shared" si="3"/>
        <v>1</v>
      </c>
      <c r="AB16" s="1308">
        <f t="shared" si="4"/>
        <v>1</v>
      </c>
      <c r="AC16" s="1308">
        <f t="shared" si="5"/>
        <v>1</v>
      </c>
    </row>
    <row r="17" spans="1:29" ht="15">
      <c r="A17" s="481"/>
      <c r="B17" s="515"/>
      <c r="C17" s="801"/>
      <c r="D17" s="504"/>
      <c r="E17" s="525"/>
      <c r="F17" s="506"/>
      <c r="G17" s="525"/>
      <c r="H17" s="504"/>
      <c r="I17" s="525"/>
      <c r="J17" s="504"/>
      <c r="K17" s="821"/>
      <c r="L17" s="1748"/>
      <c r="M17" s="1741"/>
      <c r="N17" s="1741"/>
      <c r="O17" s="1747"/>
      <c r="P17" s="3718"/>
      <c r="Q17" s="1305"/>
      <c r="R17" s="1306"/>
      <c r="S17" s="1307"/>
      <c r="T17" s="1306"/>
      <c r="U17" s="1307"/>
      <c r="V17" s="1306"/>
      <c r="W17" s="1307"/>
      <c r="X17" s="1301"/>
      <c r="Y17" s="3718"/>
      <c r="Z17" s="1308"/>
      <c r="AA17" s="1308">
        <v>1</v>
      </c>
      <c r="AB17" s="1308">
        <v>1</v>
      </c>
      <c r="AC17" s="1308">
        <v>1</v>
      </c>
    </row>
    <row r="18" spans="1:29" ht="28.5">
      <c r="A18" s="481"/>
      <c r="B18" s="2049"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0"/>
      <c r="L18" s="1748"/>
      <c r="M18" s="1741"/>
      <c r="N18" s="1741"/>
      <c r="O18" s="1747"/>
      <c r="P18" s="3718"/>
      <c r="Q18" s="1305" t="str">
        <f>B18</f>
        <v>基础设施水平</v>
      </c>
      <c r="R18" s="1306" t="s">
        <v>5</v>
      </c>
      <c r="S18" s="1307">
        <f>F18</f>
        <v>100</v>
      </c>
      <c r="T18" s="1306" t="s">
        <v>5</v>
      </c>
      <c r="U18" s="1307">
        <f>H18</f>
        <v>100</v>
      </c>
      <c r="V18" s="1306" t="s">
        <v>5</v>
      </c>
      <c r="W18" s="1307">
        <f>J18</f>
        <v>100</v>
      </c>
      <c r="X18" s="1301"/>
      <c r="Y18" s="3718"/>
      <c r="Z18" s="1308" t="str">
        <f>Q18</f>
        <v>基础设施水平</v>
      </c>
      <c r="AA18" s="1308">
        <f>D18/F18</f>
        <v>1</v>
      </c>
      <c r="AB18" s="1308">
        <f>D18/H18</f>
        <v>1</v>
      </c>
      <c r="AC18" s="1308">
        <f>D18/J18</f>
        <v>1</v>
      </c>
    </row>
    <row r="19" spans="1:29" ht="15">
      <c r="A19" s="481"/>
      <c r="B19" s="527"/>
      <c r="C19" s="801"/>
      <c r="D19" s="508"/>
      <c r="E19" s="801"/>
      <c r="F19" s="512"/>
      <c r="G19" s="801"/>
      <c r="H19" s="504"/>
      <c r="I19" s="525"/>
      <c r="J19" s="504"/>
      <c r="K19" s="2060"/>
      <c r="L19" s="1748"/>
      <c r="M19" s="1741"/>
      <c r="N19" s="1741"/>
      <c r="O19" s="1747"/>
      <c r="P19" s="3718"/>
      <c r="Q19" s="1305"/>
      <c r="R19" s="1306"/>
      <c r="S19" s="1307"/>
      <c r="T19" s="1306"/>
      <c r="U19" s="1307"/>
      <c r="V19" s="1306"/>
      <c r="W19" s="1307"/>
      <c r="X19" s="1301"/>
      <c r="Y19" s="3718"/>
      <c r="Z19" s="1308"/>
      <c r="AA19" s="1308">
        <v>1</v>
      </c>
      <c r="AB19" s="1308">
        <v>1</v>
      </c>
      <c r="AC19" s="1308">
        <v>1</v>
      </c>
    </row>
    <row r="20" spans="1:29" ht="57">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0"/>
      <c r="L20" s="1748"/>
      <c r="M20" s="1741"/>
      <c r="N20" s="1741"/>
      <c r="O20" s="1747"/>
      <c r="P20" s="3718"/>
      <c r="Q20" s="1305" t="str">
        <f>B20</f>
        <v>自然及人文环境</v>
      </c>
      <c r="R20" s="1306" t="s">
        <v>5</v>
      </c>
      <c r="S20" s="1307">
        <f>F20</f>
        <v>100</v>
      </c>
      <c r="T20" s="1306" t="s">
        <v>5</v>
      </c>
      <c r="U20" s="1307">
        <f>H20</f>
        <v>100</v>
      </c>
      <c r="V20" s="1306" t="s">
        <v>5</v>
      </c>
      <c r="W20" s="1307">
        <f>J20</f>
        <v>100</v>
      </c>
      <c r="X20" s="1301"/>
      <c r="Y20" s="3718"/>
      <c r="Z20" s="1308" t="str">
        <f>Q20</f>
        <v>自然及人文环境</v>
      </c>
      <c r="AA20" s="1308">
        <f t="shared" si="3"/>
        <v>1</v>
      </c>
      <c r="AB20" s="1308">
        <f t="shared" si="4"/>
        <v>1</v>
      </c>
      <c r="AC20" s="1308">
        <f t="shared" si="5"/>
        <v>1</v>
      </c>
    </row>
    <row r="21" spans="1:29" ht="15">
      <c r="A21" s="481"/>
      <c r="B21" s="543"/>
      <c r="C21" s="525"/>
      <c r="D21" s="504"/>
      <c r="E21" s="525"/>
      <c r="F21" s="506"/>
      <c r="G21" s="525"/>
      <c r="H21" s="504"/>
      <c r="I21" s="525"/>
      <c r="J21" s="504"/>
      <c r="K21" s="821"/>
      <c r="L21" s="1748"/>
      <c r="M21" s="1741"/>
      <c r="N21" s="1741"/>
      <c r="O21" s="1747"/>
      <c r="P21" s="3718"/>
      <c r="Q21" s="1305"/>
      <c r="R21" s="1306"/>
      <c r="S21" s="1307"/>
      <c r="T21" s="1306"/>
      <c r="U21" s="1307"/>
      <c r="V21" s="1306"/>
      <c r="W21" s="1307"/>
      <c r="X21" s="1301"/>
      <c r="Y21" s="3718"/>
      <c r="Z21" s="1308"/>
      <c r="AA21" s="1308">
        <v>1</v>
      </c>
      <c r="AB21" s="1308">
        <v>1</v>
      </c>
      <c r="AC21" s="1308">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718"/>
      <c r="Q22" s="1305" t="str">
        <f>B22</f>
        <v>楼层</v>
      </c>
      <c r="R22" s="1306" t="s">
        <v>5</v>
      </c>
      <c r="S22" s="1307">
        <f>F22</f>
        <v>100</v>
      </c>
      <c r="T22" s="1306" t="s">
        <v>5</v>
      </c>
      <c r="U22" s="1307">
        <f>H22</f>
        <v>100</v>
      </c>
      <c r="V22" s="1306" t="s">
        <v>5</v>
      </c>
      <c r="W22" s="1307">
        <f>J22</f>
        <v>100</v>
      </c>
      <c r="X22" s="1301"/>
      <c r="Y22" s="3718"/>
      <c r="Z22" s="1308" t="str">
        <f>Q22</f>
        <v>楼层</v>
      </c>
      <c r="AA22" s="1308">
        <f t="shared" si="3"/>
        <v>1</v>
      </c>
      <c r="AB22" s="1308">
        <f t="shared" si="4"/>
        <v>1</v>
      </c>
      <c r="AC22" s="1308">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718"/>
      <c r="Q23" s="1305">
        <f>B23</f>
        <v>111</v>
      </c>
      <c r="R23" s="1306" t="s">
        <v>5</v>
      </c>
      <c r="S23" s="1307">
        <f>F23</f>
        <v>100</v>
      </c>
      <c r="T23" s="1306" t="s">
        <v>5</v>
      </c>
      <c r="U23" s="1307">
        <f>H23</f>
        <v>100</v>
      </c>
      <c r="V23" s="1306" t="s">
        <v>5</v>
      </c>
      <c r="W23" s="1307">
        <f>J23</f>
        <v>100</v>
      </c>
      <c r="X23" s="1301"/>
      <c r="Y23" s="3718"/>
      <c r="Z23" s="1308">
        <f>Q23</f>
        <v>111</v>
      </c>
      <c r="AA23" s="1308">
        <f t="shared" si="3"/>
        <v>1</v>
      </c>
      <c r="AB23" s="1308">
        <f t="shared" si="4"/>
        <v>1</v>
      </c>
      <c r="AC23" s="1308">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718"/>
      <c r="Q24" s="1305">
        <f t="shared" ref="Q24:Q34" si="8">B24</f>
        <v>111</v>
      </c>
      <c r="R24" s="1306" t="s">
        <v>5</v>
      </c>
      <c r="S24" s="1307">
        <f>F24</f>
        <v>100</v>
      </c>
      <c r="T24" s="1306" t="s">
        <v>5</v>
      </c>
      <c r="U24" s="1307">
        <f>H24</f>
        <v>100</v>
      </c>
      <c r="V24" s="1306" t="s">
        <v>5</v>
      </c>
      <c r="W24" s="1307">
        <f>J24</f>
        <v>100</v>
      </c>
      <c r="X24" s="1301"/>
      <c r="Y24" s="3718"/>
      <c r="Z24" s="1308">
        <f>Q24</f>
        <v>111</v>
      </c>
      <c r="AA24" s="1308">
        <f t="shared" si="3"/>
        <v>1</v>
      </c>
      <c r="AB24" s="1308">
        <f t="shared" si="4"/>
        <v>1</v>
      </c>
      <c r="AC24" s="1308">
        <f t="shared" si="5"/>
        <v>1</v>
      </c>
    </row>
    <row r="25" spans="1:29" s="1058" customFormat="1" ht="15.75" thickBot="1">
      <c r="A25" s="485"/>
      <c r="B25" s="486">
        <v>111</v>
      </c>
      <c r="C25" s="859"/>
      <c r="D25" s="527">
        <v>100</v>
      </c>
      <c r="E25" s="859"/>
      <c r="F25" s="842">
        <f>SUMIF(75:75,E25,76:76)-SUMIF(75:75,C25,76:76)+100</f>
        <v>100</v>
      </c>
      <c r="G25" s="859"/>
      <c r="H25" s="527">
        <f>SUMIF(75:75,G25,76:76)-SUMIF(75:75,C25,76:76)+100</f>
        <v>100</v>
      </c>
      <c r="I25" s="859"/>
      <c r="J25" s="527">
        <f>SUMIF(75:75,I25,76:76)-SUMIF(75:75,C25,76:76)+100</f>
        <v>100</v>
      </c>
      <c r="K25" s="530"/>
      <c r="L25" s="1742"/>
      <c r="M25" s="1639"/>
      <c r="N25" s="1639"/>
      <c r="O25" s="1743"/>
      <c r="P25" s="3718"/>
      <c r="Q25" s="816">
        <f t="shared" si="8"/>
        <v>111</v>
      </c>
      <c r="R25" s="1302" t="s">
        <v>5</v>
      </c>
      <c r="S25" s="1303">
        <f>F25</f>
        <v>100</v>
      </c>
      <c r="T25" s="1302" t="s">
        <v>5</v>
      </c>
      <c r="U25" s="1303">
        <f>H25</f>
        <v>100</v>
      </c>
      <c r="V25" s="1302" t="s">
        <v>5</v>
      </c>
      <c r="W25" s="1303">
        <f>J25</f>
        <v>100</v>
      </c>
      <c r="X25" s="1304"/>
      <c r="Y25" s="3718"/>
      <c r="Z25" s="995">
        <f>Q25</f>
        <v>111</v>
      </c>
      <c r="AA25" s="1308">
        <f>D25/F25</f>
        <v>1</v>
      </c>
      <c r="AB25" s="1308">
        <f>D25/H25</f>
        <v>1</v>
      </c>
      <c r="AC25" s="1308">
        <f>D25/J25</f>
        <v>1</v>
      </c>
    </row>
    <row r="26" spans="1:29" ht="15">
      <c r="A26" s="2203" t="s">
        <v>2036</v>
      </c>
      <c r="B26" s="155" t="s">
        <v>748</v>
      </c>
      <c r="C26" s="803"/>
      <c r="D26" s="545">
        <v>100</v>
      </c>
      <c r="E26" s="803"/>
      <c r="F26" s="860">
        <f>SUMIF(77:77,E26,78:78)-SUMIF(77:77,C26,78:78)+100</f>
        <v>100</v>
      </c>
      <c r="G26" s="803"/>
      <c r="H26" s="545">
        <f>SUMIF(77:77,G26,78:78)-SUMIF(77:77,C26,78:78)+100</f>
        <v>100</v>
      </c>
      <c r="I26" s="803"/>
      <c r="J26" s="545">
        <f>SUMIF(77:77,I26,78:78)-SUMIF(77:77,C26,78:78)+100</f>
        <v>100</v>
      </c>
      <c r="K26" s="532"/>
      <c r="L26" s="1748"/>
      <c r="M26" s="1741"/>
      <c r="N26" s="1741"/>
      <c r="O26" s="1747"/>
      <c r="P26" s="3719"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20" t="s">
        <v>761</v>
      </c>
      <c r="Z26" s="1308" t="str">
        <f t="shared" ref="Z26:Z34" si="12">Q26</f>
        <v>公共部分装修</v>
      </c>
      <c r="AA26" s="1308">
        <f t="shared" si="3"/>
        <v>1</v>
      </c>
      <c r="AB26" s="1308">
        <f t="shared" si="4"/>
        <v>1</v>
      </c>
      <c r="AC26" s="1308">
        <f t="shared" si="5"/>
        <v>1</v>
      </c>
    </row>
    <row r="27" spans="1:29" s="1132" customFormat="1" ht="15">
      <c r="A27" s="551"/>
      <c r="B27" s="476" t="s">
        <v>749</v>
      </c>
      <c r="C27" s="806">
        <v>1</v>
      </c>
      <c r="D27" s="234">
        <v>100</v>
      </c>
      <c r="E27" s="807">
        <v>1</v>
      </c>
      <c r="F27" s="524">
        <f>LOOKUP(E27,80:80,81:81)-LOOKUP(C27,80:80,81:81)+100</f>
        <v>100</v>
      </c>
      <c r="G27" s="808">
        <v>1</v>
      </c>
      <c r="H27" s="489">
        <f>LOOKUP(G27,80:80,81:81)-LOOKUP(C27,80:80,81:81)+100</f>
        <v>100</v>
      </c>
      <c r="I27" s="808">
        <v>1</v>
      </c>
      <c r="J27" s="489">
        <f>LOOKUP(I27,80:80,81:81)-LOOKUP(C27,80:80,81:81)+100</f>
        <v>100</v>
      </c>
      <c r="K27" s="532"/>
      <c r="L27" s="1746"/>
      <c r="M27" s="1770"/>
      <c r="N27" s="1770"/>
      <c r="O27" s="1749"/>
      <c r="P27" s="3720"/>
      <c r="Q27" s="817" t="str">
        <f t="shared" si="8"/>
        <v>成新率</v>
      </c>
      <c r="R27" s="1309" t="s">
        <v>5</v>
      </c>
      <c r="S27" s="1310">
        <f t="shared" si="9"/>
        <v>100</v>
      </c>
      <c r="T27" s="1309" t="s">
        <v>5</v>
      </c>
      <c r="U27" s="1310">
        <f t="shared" si="10"/>
        <v>100</v>
      </c>
      <c r="V27" s="1309" t="s">
        <v>5</v>
      </c>
      <c r="W27" s="1310">
        <f t="shared" si="11"/>
        <v>100</v>
      </c>
      <c r="X27" s="1311"/>
      <c r="Y27" s="3720"/>
      <c r="Z27" s="1312" t="str">
        <f t="shared" si="12"/>
        <v>成新率</v>
      </c>
      <c r="AA27" s="1308">
        <f t="shared" si="3"/>
        <v>1</v>
      </c>
      <c r="AB27" s="1308">
        <f t="shared" si="4"/>
        <v>1</v>
      </c>
      <c r="AC27" s="1308">
        <f t="shared" si="5"/>
        <v>1</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720"/>
      <c r="Q28" s="1305" t="str">
        <f t="shared" si="8"/>
        <v>物业等级</v>
      </c>
      <c r="R28" s="1306" t="s">
        <v>5</v>
      </c>
      <c r="S28" s="1307">
        <f t="shared" si="9"/>
        <v>100</v>
      </c>
      <c r="T28" s="1306" t="s">
        <v>5</v>
      </c>
      <c r="U28" s="1307">
        <f t="shared" si="10"/>
        <v>100</v>
      </c>
      <c r="V28" s="1306" t="s">
        <v>5</v>
      </c>
      <c r="W28" s="1307">
        <f t="shared" si="11"/>
        <v>100</v>
      </c>
      <c r="X28" s="1301"/>
      <c r="Y28" s="3720"/>
      <c r="Z28" s="1308" t="str">
        <f t="shared" si="12"/>
        <v>物业等级</v>
      </c>
      <c r="AA28" s="1308">
        <f t="shared" si="3"/>
        <v>1</v>
      </c>
      <c r="AB28" s="1308">
        <f t="shared" si="4"/>
        <v>1</v>
      </c>
      <c r="AC28" s="1308">
        <f t="shared" si="5"/>
        <v>1</v>
      </c>
    </row>
    <row r="29" spans="1:29" ht="15">
      <c r="A29" s="542"/>
      <c r="B29" s="476" t="s">
        <v>762</v>
      </c>
      <c r="C29" s="851"/>
      <c r="D29" s="489">
        <v>100</v>
      </c>
      <c r="E29" s="851"/>
      <c r="F29" s="524">
        <f>SUMIF(84:84,E29,85:85)-SUMIF(84:84,C29,85:85)+100</f>
        <v>100</v>
      </c>
      <c r="G29" s="851"/>
      <c r="H29" s="489">
        <f>SUMIF(84:84,G29,85:85)-SUMIF(84:84,C29,85:85)+100</f>
        <v>100</v>
      </c>
      <c r="I29" s="851"/>
      <c r="J29" s="489">
        <f>SUMIF(84:84,I29,85:85)-SUMIF(84:84,C29,85:85)+100</f>
        <v>100</v>
      </c>
      <c r="K29" s="532"/>
      <c r="L29" s="1748"/>
      <c r="M29" s="1741"/>
      <c r="N29" s="1741"/>
      <c r="O29" s="1747"/>
      <c r="P29" s="3720"/>
      <c r="Q29" s="1305" t="str">
        <f t="shared" si="8"/>
        <v>有无电梯</v>
      </c>
      <c r="R29" s="1306" t="s">
        <v>5</v>
      </c>
      <c r="S29" s="1307">
        <f t="shared" si="9"/>
        <v>100</v>
      </c>
      <c r="T29" s="1306" t="s">
        <v>5</v>
      </c>
      <c r="U29" s="1307">
        <f t="shared" si="10"/>
        <v>100</v>
      </c>
      <c r="V29" s="1306" t="s">
        <v>5</v>
      </c>
      <c r="W29" s="1307">
        <f t="shared" si="11"/>
        <v>100</v>
      </c>
      <c r="X29" s="1301"/>
      <c r="Y29" s="3720"/>
      <c r="Z29" s="1308" t="str">
        <f t="shared" si="12"/>
        <v>有无电梯</v>
      </c>
      <c r="AA29" s="1308">
        <f t="shared" si="3"/>
        <v>1</v>
      </c>
      <c r="AB29" s="1308">
        <f t="shared" si="4"/>
        <v>1</v>
      </c>
      <c r="AC29" s="1308">
        <f t="shared" si="5"/>
        <v>1</v>
      </c>
    </row>
    <row r="30" spans="1:29" ht="15">
      <c r="A30" s="542"/>
      <c r="B30" s="476" t="s">
        <v>763</v>
      </c>
      <c r="C30" s="804"/>
      <c r="D30" s="489">
        <v>100</v>
      </c>
      <c r="E30" s="804"/>
      <c r="F30" s="524">
        <f>LOOKUP(E30,87:87,88:88)-LOOKUP(C30,87:87,88:88)+100</f>
        <v>100</v>
      </c>
      <c r="G30" s="804"/>
      <c r="H30" s="489">
        <f>LOOKUP(G30,87:87,88:88)-LOOKUP(C30,87:87,88:88)+100</f>
        <v>100</v>
      </c>
      <c r="I30" s="804"/>
      <c r="J30" s="489">
        <f>LOOKUP(I30,87:87,88:88)-LOOKUP(C30,87:87,88:88)+100</f>
        <v>100</v>
      </c>
      <c r="K30" s="530"/>
      <c r="L30" s="1748"/>
      <c r="M30" s="1741"/>
      <c r="N30" s="1741"/>
      <c r="O30" s="1747"/>
      <c r="P30" s="3720"/>
      <c r="Q30" s="1305" t="str">
        <f t="shared" si="8"/>
        <v>建筑面积</v>
      </c>
      <c r="R30" s="1306" t="s">
        <v>5</v>
      </c>
      <c r="S30" s="1307">
        <f t="shared" si="9"/>
        <v>100</v>
      </c>
      <c r="T30" s="1306" t="s">
        <v>5</v>
      </c>
      <c r="U30" s="1307">
        <f t="shared" si="10"/>
        <v>100</v>
      </c>
      <c r="V30" s="1306" t="s">
        <v>5</v>
      </c>
      <c r="W30" s="1307">
        <f t="shared" si="11"/>
        <v>100</v>
      </c>
      <c r="X30" s="1301"/>
      <c r="Y30" s="3720"/>
      <c r="Z30" s="1308" t="str">
        <f t="shared" si="12"/>
        <v>建筑面积</v>
      </c>
      <c r="AA30" s="1308">
        <f t="shared" si="3"/>
        <v>1</v>
      </c>
      <c r="AB30" s="1308">
        <f t="shared" si="4"/>
        <v>1</v>
      </c>
      <c r="AC30" s="1308">
        <f t="shared" si="5"/>
        <v>1</v>
      </c>
    </row>
    <row r="31" spans="1:29" s="1058" customFormat="1" ht="15">
      <c r="A31" s="548"/>
      <c r="B31" s="476" t="s">
        <v>764</v>
      </c>
      <c r="C31" s="851"/>
      <c r="D31" s="234">
        <v>100</v>
      </c>
      <c r="E31" s="851"/>
      <c r="F31" s="524">
        <f>SUMIF(89:89,E31,90:90)-SUMIF(89:89,C31,90:90)+100</f>
        <v>100</v>
      </c>
      <c r="G31" s="851"/>
      <c r="H31" s="489">
        <f>SUMIF(89:89,G31,90:90)-SUMIF(89:89,C31,90:90)+100</f>
        <v>100</v>
      </c>
      <c r="I31" s="851"/>
      <c r="J31" s="489">
        <f>SUMIF(89:89,I31,90:90)-SUMIF(89:89,C31,90:90)+100</f>
        <v>100</v>
      </c>
      <c r="K31" s="532"/>
      <c r="L31" s="1742"/>
      <c r="M31" s="1639"/>
      <c r="N31" s="1639"/>
      <c r="O31" s="1743"/>
      <c r="P31" s="3720"/>
      <c r="Q31" s="816" t="str">
        <f t="shared" si="8"/>
        <v>是否封闭</v>
      </c>
      <c r="R31" s="1302" t="s">
        <v>5</v>
      </c>
      <c r="S31" s="1303">
        <f t="shared" si="9"/>
        <v>100</v>
      </c>
      <c r="T31" s="1302" t="s">
        <v>5</v>
      </c>
      <c r="U31" s="1303">
        <f t="shared" si="10"/>
        <v>100</v>
      </c>
      <c r="V31" s="1302" t="s">
        <v>5</v>
      </c>
      <c r="W31" s="1303">
        <f t="shared" si="11"/>
        <v>100</v>
      </c>
      <c r="X31" s="1304"/>
      <c r="Y31" s="3720"/>
      <c r="Z31" s="995" t="str">
        <f t="shared" si="12"/>
        <v>是否封闭</v>
      </c>
      <c r="AA31" s="995">
        <f t="shared" si="3"/>
        <v>1</v>
      </c>
      <c r="AB31" s="995">
        <f t="shared" si="4"/>
        <v>1</v>
      </c>
      <c r="AC31" s="995">
        <f t="shared" si="5"/>
        <v>1</v>
      </c>
    </row>
    <row r="32" spans="1:29" ht="15">
      <c r="A32" s="542"/>
      <c r="B32" s="486">
        <v>111</v>
      </c>
      <c r="C32" s="477"/>
      <c r="D32" s="489">
        <v>100</v>
      </c>
      <c r="E32" s="804"/>
      <c r="F32" s="524">
        <f>SUMIF(91:91,E32,92:92)-SUMIF(91:91,C32,92:92)+100</f>
        <v>100</v>
      </c>
      <c r="G32" s="804"/>
      <c r="H32" s="489">
        <f>SUMIF(91:91,G32,92:92)-SUMIF(91:91,C32,92:92)+100</f>
        <v>100</v>
      </c>
      <c r="I32" s="804"/>
      <c r="J32" s="489">
        <f>SUMIF(91:91,I32,92:92)-SUMIF(91:91,C32,92:92)+100</f>
        <v>100</v>
      </c>
      <c r="K32" s="530"/>
      <c r="L32" s="1748"/>
      <c r="M32" s="1741"/>
      <c r="N32" s="1741"/>
      <c r="O32" s="1747"/>
      <c r="P32" s="3720" t="s">
        <v>499</v>
      </c>
      <c r="Q32" s="1305">
        <f t="shared" si="8"/>
        <v>111</v>
      </c>
      <c r="R32" s="1306" t="s">
        <v>5</v>
      </c>
      <c r="S32" s="1307">
        <f t="shared" si="9"/>
        <v>100</v>
      </c>
      <c r="T32" s="1306" t="s">
        <v>5</v>
      </c>
      <c r="U32" s="1307">
        <f t="shared" si="10"/>
        <v>100</v>
      </c>
      <c r="V32" s="1306" t="s">
        <v>5</v>
      </c>
      <c r="W32" s="1307">
        <f t="shared" si="11"/>
        <v>100</v>
      </c>
      <c r="X32" s="1301"/>
      <c r="Y32" s="3720" t="s">
        <v>499</v>
      </c>
      <c r="Z32" s="1308">
        <f t="shared" si="12"/>
        <v>111</v>
      </c>
      <c r="AA32" s="1308">
        <f t="shared" si="3"/>
        <v>1</v>
      </c>
      <c r="AB32" s="1308">
        <f t="shared" si="4"/>
        <v>1</v>
      </c>
      <c r="AC32" s="1308">
        <f t="shared" si="5"/>
        <v>1</v>
      </c>
    </row>
    <row r="33" spans="1:29" ht="15">
      <c r="A33" s="542"/>
      <c r="B33" s="486">
        <v>111</v>
      </c>
      <c r="C33" s="477"/>
      <c r="D33" s="489">
        <v>100</v>
      </c>
      <c r="E33" s="804"/>
      <c r="F33" s="524">
        <f>SUMIF(93:93,E33,94:94)-SUMIF(93:93,C33,94:94)+100</f>
        <v>100</v>
      </c>
      <c r="G33" s="804"/>
      <c r="H33" s="489">
        <f>SUMIF(93:93,G33,94:94)-SUMIF(93:93,C33,94:94)+100</f>
        <v>100</v>
      </c>
      <c r="I33" s="804"/>
      <c r="J33" s="489">
        <f>SUMIF(93:93,I33,94:94)-SUMIF(93:93,C33,94:94)+100</f>
        <v>100</v>
      </c>
      <c r="K33" s="530"/>
      <c r="L33" s="1748"/>
      <c r="M33" s="1741"/>
      <c r="N33" s="1741"/>
      <c r="O33" s="1747"/>
      <c r="P33" s="3720"/>
      <c r="Q33" s="1305">
        <f t="shared" si="8"/>
        <v>111</v>
      </c>
      <c r="R33" s="1306" t="s">
        <v>5</v>
      </c>
      <c r="S33" s="1307">
        <f t="shared" si="9"/>
        <v>100</v>
      </c>
      <c r="T33" s="1306" t="s">
        <v>5</v>
      </c>
      <c r="U33" s="1307">
        <f t="shared" si="10"/>
        <v>100</v>
      </c>
      <c r="V33" s="1306" t="s">
        <v>5</v>
      </c>
      <c r="W33" s="1307">
        <f t="shared" si="11"/>
        <v>100</v>
      </c>
      <c r="X33" s="1301"/>
      <c r="Y33" s="3720"/>
      <c r="Z33" s="1308">
        <f t="shared" si="12"/>
        <v>111</v>
      </c>
      <c r="AA33" s="1308">
        <f t="shared" si="3"/>
        <v>1</v>
      </c>
      <c r="AB33" s="1308">
        <f t="shared" si="4"/>
        <v>1</v>
      </c>
      <c r="AC33" s="1308">
        <f t="shared" si="5"/>
        <v>1</v>
      </c>
    </row>
    <row r="34" spans="1:29" ht="15.75" thickBot="1">
      <c r="A34" s="809"/>
      <c r="B34" s="493">
        <v>111</v>
      </c>
      <c r="C34" s="494"/>
      <c r="D34" s="495">
        <v>100</v>
      </c>
      <c r="E34" s="861"/>
      <c r="F34" s="795">
        <f>SUMIF(95:95,E34,96:96)-SUMIF(95:95,C34,96:96)+100</f>
        <v>100</v>
      </c>
      <c r="G34" s="861"/>
      <c r="H34" s="495">
        <f>SUMIF(95:95,G34,96:96)-SUMIF(95:95,C34,96:96)+100</f>
        <v>100</v>
      </c>
      <c r="I34" s="861"/>
      <c r="J34" s="495">
        <f>SUMIF(95:95,I34,96:96)-SUMIF(95:95,C34,96:96)+100</f>
        <v>100</v>
      </c>
      <c r="K34" s="530"/>
      <c r="L34" s="1748"/>
      <c r="M34" s="1741"/>
      <c r="N34" s="1741"/>
      <c r="O34" s="1747"/>
      <c r="P34" s="3720"/>
      <c r="Q34" s="1305">
        <f t="shared" si="8"/>
        <v>111</v>
      </c>
      <c r="R34" s="1306" t="s">
        <v>5</v>
      </c>
      <c r="S34" s="1307">
        <f t="shared" si="9"/>
        <v>100</v>
      </c>
      <c r="T34" s="1306" t="s">
        <v>5</v>
      </c>
      <c r="U34" s="1307">
        <f t="shared" si="10"/>
        <v>100</v>
      </c>
      <c r="V34" s="1306" t="s">
        <v>5</v>
      </c>
      <c r="W34" s="1307">
        <f t="shared" si="11"/>
        <v>100</v>
      </c>
      <c r="X34" s="1301"/>
      <c r="Y34" s="3720"/>
      <c r="Z34" s="1308">
        <f t="shared" si="12"/>
        <v>111</v>
      </c>
      <c r="AA34" s="1308">
        <f t="shared" si="3"/>
        <v>1</v>
      </c>
      <c r="AB34" s="1308">
        <f t="shared" si="4"/>
        <v>1</v>
      </c>
      <c r="AC34" s="1308">
        <f t="shared" si="5"/>
        <v>1</v>
      </c>
    </row>
    <row r="35" spans="1:29" ht="15">
      <c r="A35" s="555" t="s">
        <v>683</v>
      </c>
      <c r="B35" s="810"/>
      <c r="C35" s="2080" t="s">
        <v>0</v>
      </c>
      <c r="D35" s="558"/>
      <c r="E35" s="559"/>
      <c r="F35" s="560"/>
      <c r="G35" s="561"/>
      <c r="H35" s="562"/>
      <c r="I35" s="559"/>
      <c r="J35" s="562"/>
      <c r="K35" s="1334"/>
      <c r="L35" s="1750"/>
      <c r="M35" s="1741"/>
      <c r="N35" s="1741"/>
      <c r="O35" s="1741"/>
      <c r="P35" s="3684" t="str">
        <f>A35</f>
        <v>成交单价（元/平方米）</v>
      </c>
      <c r="Q35" s="3684"/>
      <c r="R35" s="3685">
        <f>E35</f>
        <v>0</v>
      </c>
      <c r="S35" s="3685"/>
      <c r="T35" s="3685">
        <f>G35</f>
        <v>0</v>
      </c>
      <c r="U35" s="3685"/>
      <c r="V35" s="3685">
        <f>I35</f>
        <v>0</v>
      </c>
      <c r="W35" s="3685"/>
      <c r="X35" s="798"/>
      <c r="Y35" s="1313"/>
      <c r="Z35" s="798"/>
      <c r="AA35" s="798"/>
      <c r="AB35" s="798"/>
      <c r="AC35" s="798"/>
    </row>
    <row r="36" spans="1:29" ht="15.75" thickBot="1">
      <c r="A36" s="563" t="s">
        <v>2041</v>
      </c>
      <c r="B36" s="811"/>
      <c r="C36" s="2081">
        <f>R37</f>
        <v>0</v>
      </c>
      <c r="D36" s="2549" t="s">
        <v>2260</v>
      </c>
      <c r="E36" s="2082">
        <f>R36</f>
        <v>0</v>
      </c>
      <c r="F36" s="2550"/>
      <c r="G36" s="2081">
        <f>T36</f>
        <v>0</v>
      </c>
      <c r="H36" s="2550"/>
      <c r="I36" s="2082">
        <f>V36</f>
        <v>0</v>
      </c>
      <c r="J36" s="2550"/>
      <c r="K36" s="2557">
        <f>F36+H36+J36</f>
        <v>0</v>
      </c>
      <c r="L36" s="1750"/>
      <c r="M36" s="1741"/>
      <c r="N36" s="1741"/>
      <c r="O36" s="1741"/>
      <c r="P36" s="3684" t="str">
        <f>A36</f>
        <v>比较价格（元/平方米）</v>
      </c>
      <c r="Q36" s="3684"/>
      <c r="R36" s="3685">
        <f>IF(F1="售价",ROUND(PRODUCT(R35,AA7:AA34),0),ROUND(PRODUCT(R35,AA7:AA34),1))</f>
        <v>0</v>
      </c>
      <c r="S36" s="3685"/>
      <c r="T36" s="3685">
        <f>IF(F1="售价",ROUND(PRODUCT(T35,AB7:AB34),0),ROUND(PRODUCT(T35,AB7:AB34),1))</f>
        <v>0</v>
      </c>
      <c r="U36" s="3685"/>
      <c r="V36" s="3685">
        <f>IF(F1="售价",ROUND(PRODUCT(V35,AC7:AC34),0),ROUND(PRODUCT(V35,AC7:AC34),1))</f>
        <v>0</v>
      </c>
      <c r="W36" s="3685"/>
      <c r="X36" s="798"/>
      <c r="Y36" s="798"/>
      <c r="Z36" s="798"/>
      <c r="AA36" s="798"/>
      <c r="AB36" s="798"/>
      <c r="AC36" s="798"/>
    </row>
    <row r="37" spans="1:29" ht="15.75" thickBot="1">
      <c r="A37" s="567" t="s">
        <v>2196</v>
      </c>
      <c r="B37" s="568"/>
      <c r="C37" s="468">
        <f>R37</f>
        <v>0</v>
      </c>
      <c r="D37" s="468"/>
      <c r="E37" s="468"/>
      <c r="F37" s="468"/>
      <c r="G37" s="468"/>
      <c r="H37" s="468"/>
      <c r="I37" s="468"/>
      <c r="J37" s="468"/>
      <c r="K37" s="1335"/>
      <c r="L37" s="1750"/>
      <c r="M37" s="1741"/>
      <c r="N37" s="1741"/>
      <c r="O37" s="1741"/>
      <c r="P37" s="3721" t="str">
        <f>A37</f>
        <v>估价对象XX用房的比较价格（楼面单价，元/平方米）</v>
      </c>
      <c r="Q37" s="3722"/>
      <c r="R37" s="3804">
        <f>IF(F1="售价",ROUND(IF(D36="简单平均",AVERAGE(R36:W36),R36*F36+T36*H36+V36*J36),0),ROUND(IF(D36="简单平均",AVERAGE(R36:V36),R36*F36+T36*H36+V36*J36),1))</f>
        <v>0</v>
      </c>
      <c r="S37" s="3804"/>
      <c r="T37" s="3804"/>
      <c r="U37" s="3804"/>
      <c r="V37" s="3804"/>
      <c r="W37" s="3804"/>
      <c r="X37" s="798"/>
      <c r="Y37" s="798"/>
      <c r="Z37" s="798"/>
      <c r="AA37" s="798"/>
      <c r="AB37" s="798"/>
      <c r="AC37" s="798"/>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8"/>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1" t="s">
        <v>478</v>
      </c>
      <c r="B46" s="592"/>
      <c r="C46" s="2112" t="str">
        <f>YEAR(C7)&amp;"-"&amp;MONTH(C7)</f>
        <v>2024-11</v>
      </c>
      <c r="D46" s="2114">
        <f>EDATE(C46,-1)</f>
        <v>45566</v>
      </c>
      <c r="E46" s="2114">
        <f t="shared" ref="E46:O46" si="13">EDATE(D46,-1)</f>
        <v>45536</v>
      </c>
      <c r="F46" s="2114">
        <f t="shared" si="13"/>
        <v>45505</v>
      </c>
      <c r="G46" s="2114">
        <f t="shared" si="13"/>
        <v>45474</v>
      </c>
      <c r="H46" s="2114">
        <f t="shared" si="13"/>
        <v>45444</v>
      </c>
      <c r="I46" s="2114">
        <f t="shared" si="13"/>
        <v>45413</v>
      </c>
      <c r="J46" s="2114">
        <f t="shared" si="13"/>
        <v>45383</v>
      </c>
      <c r="K46" s="2114">
        <f t="shared" si="13"/>
        <v>45352</v>
      </c>
      <c r="L46" s="2114">
        <f t="shared" si="13"/>
        <v>45323</v>
      </c>
      <c r="M46" s="2114">
        <f t="shared" si="13"/>
        <v>45292</v>
      </c>
      <c r="N46" s="2114">
        <f t="shared" si="13"/>
        <v>45261</v>
      </c>
      <c r="O46" s="2114">
        <f t="shared" si="13"/>
        <v>45231</v>
      </c>
      <c r="P46" s="1764"/>
      <c r="Q46" s="1764"/>
      <c r="R46" s="1764"/>
      <c r="S46" s="1764"/>
      <c r="T46" s="1764"/>
      <c r="U46" s="1764"/>
      <c r="V46" s="1764"/>
      <c r="W46" s="1764"/>
      <c r="X46" s="1764"/>
      <c r="Y46" s="1764"/>
      <c r="Z46" s="1764"/>
      <c r="AA46" s="1764"/>
      <c r="AB46" s="1764"/>
      <c r="AC46" s="1764"/>
    </row>
    <row r="47" spans="1:29" s="1058"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8"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8" customFormat="1" ht="15">
      <c r="A49" s="602" t="s">
        <v>480</v>
      </c>
      <c r="B49" s="593"/>
      <c r="C49" s="603" t="s">
        <v>524</v>
      </c>
      <c r="D49" s="79"/>
      <c r="E49" s="79"/>
      <c r="F49" s="79"/>
      <c r="G49" s="79"/>
      <c r="H49" s="79"/>
      <c r="I49" s="79"/>
      <c r="J49" s="79"/>
      <c r="K49" s="79"/>
      <c r="L49" s="604"/>
      <c r="M49" s="605"/>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t="str">
        <f>C9</f>
        <v>地下仓储</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t="s">
        <v>3400</v>
      </c>
      <c r="D53" s="657" t="s">
        <v>3401</v>
      </c>
      <c r="E53" s="657" t="s">
        <v>3402</v>
      </c>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v>100</v>
      </c>
      <c r="D54" s="612">
        <f>C54-2</f>
        <v>98</v>
      </c>
      <c r="E54" s="612">
        <f>D54-2</f>
        <v>96</v>
      </c>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4">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4"/>
      <c r="I66" s="854"/>
      <c r="J66" s="854"/>
      <c r="K66" s="854"/>
      <c r="L66" s="854"/>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5"/>
      <c r="B71" s="614">
        <f>B23</f>
        <v>111</v>
      </c>
      <c r="C71" s="490"/>
      <c r="D71" s="490"/>
      <c r="E71" s="490"/>
      <c r="F71" s="490"/>
      <c r="G71" s="629"/>
      <c r="H71" s="629"/>
      <c r="I71" s="629"/>
      <c r="J71" s="629"/>
      <c r="K71" s="629"/>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5"/>
      <c r="B73" s="614">
        <f>B24</f>
        <v>111</v>
      </c>
      <c r="C73" s="490"/>
      <c r="D73" s="490"/>
      <c r="E73" s="490"/>
      <c r="F73" s="490"/>
      <c r="G73" s="629"/>
      <c r="H73" s="629"/>
      <c r="I73" s="629"/>
      <c r="J73" s="629"/>
      <c r="K73" s="629"/>
      <c r="L73" s="629"/>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0(含)-20</v>
      </c>
      <c r="D86" s="648" t="str">
        <f t="shared" si="18"/>
        <v>20(含)-40</v>
      </c>
      <c r="E86" s="648" t="str">
        <f t="shared" si="18"/>
        <v>40(含)-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8">
        <v>0</v>
      </c>
      <c r="D87" s="78">
        <v>20</v>
      </c>
      <c r="E87" s="78">
        <v>40</v>
      </c>
      <c r="F87" s="78"/>
      <c r="G87" s="78"/>
      <c r="H87" s="78"/>
      <c r="I87" s="78"/>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v>100</v>
      </c>
      <c r="D88" s="612">
        <v>99</v>
      </c>
      <c r="E88" s="612">
        <v>98</v>
      </c>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2" customFormat="1" ht="15" thickTop="1">
      <c r="A89" s="551"/>
      <c r="B89" s="614" t="s">
        <v>767</v>
      </c>
      <c r="C89" s="629"/>
      <c r="D89" s="629"/>
      <c r="E89" s="629"/>
      <c r="F89" s="629"/>
      <c r="G89" s="629"/>
      <c r="H89" s="629"/>
      <c r="I89" s="629"/>
      <c r="J89" s="629"/>
      <c r="K89" s="629"/>
      <c r="L89" s="629"/>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7">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6"/>
    <col min="36" max="16384" width="9" style="1043"/>
  </cols>
  <sheetData>
    <row r="1" spans="1:45" s="236" customFormat="1" ht="14.25" customHeight="1" thickBot="1">
      <c r="A1" s="338"/>
      <c r="B1" s="1827" t="s">
        <v>1660</v>
      </c>
      <c r="C1" s="3826" t="s">
        <v>1661</v>
      </c>
      <c r="D1" s="3827"/>
      <c r="E1" s="3827"/>
      <c r="F1" s="3827"/>
      <c r="G1" s="3827"/>
      <c r="H1" s="3827"/>
      <c r="I1" s="3827"/>
      <c r="J1" s="3827"/>
      <c r="K1" s="3827"/>
      <c r="L1" s="3827"/>
      <c r="M1" s="3827"/>
      <c r="N1" s="3827"/>
      <c r="O1" s="3827"/>
      <c r="P1" s="3827"/>
      <c r="Q1" s="3827"/>
      <c r="R1" s="3827"/>
      <c r="S1" s="3828"/>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3"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2" customFormat="1">
      <c r="A5" s="1844"/>
      <c r="B5" s="2344" t="s">
        <v>2189</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2"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2" customFormat="1">
      <c r="A7" s="1844"/>
      <c r="B7" s="2346" t="s">
        <v>2188</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2"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2" customFormat="1">
      <c r="A9" s="1844"/>
      <c r="B9" s="2346" t="s">
        <v>2187</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2"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2" customFormat="1">
      <c r="A11" s="1844"/>
      <c r="B11" s="2344" t="s">
        <v>2200</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2"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2" customFormat="1">
      <c r="A13" s="1844"/>
      <c r="B13" s="2344" t="s">
        <v>2186</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2"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2" customFormat="1">
      <c r="A15" s="1844"/>
      <c r="B15" s="2344" t="s">
        <v>2185</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2"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8">
        <f>SUM(B24:B10000)</f>
        <v>0</v>
      </c>
      <c r="C22" s="3823" t="s">
        <v>14</v>
      </c>
      <c r="D22" s="3824"/>
      <c r="E22" s="3824"/>
      <c r="F22" s="3824"/>
      <c r="G22" s="3824"/>
      <c r="H22" s="3824"/>
      <c r="I22" s="3824"/>
      <c r="J22" s="3824"/>
      <c r="K22" s="3824"/>
      <c r="L22" s="3824"/>
      <c r="M22" s="3824"/>
      <c r="N22" s="3824"/>
      <c r="O22" s="3824"/>
      <c r="P22" s="3824"/>
      <c r="Q22" s="3825"/>
      <c r="R22" s="48" t="e">
        <f>ROUND(S22*10000/B22,0)</f>
        <v>#DIV/0!</v>
      </c>
      <c r="S22" s="48">
        <f>SUM(S24:S10000)</f>
        <v>0</v>
      </c>
    </row>
    <row r="23" spans="1:45" s="1336" customFormat="1" ht="24">
      <c r="A23" s="14" t="s">
        <v>770</v>
      </c>
      <c r="B23" s="2418" t="s">
        <v>2208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5"/>
      <c r="C25" s="48">
        <f>IF(B25="",1,(LOOKUP(B25,$3:$3,$4:$4)-LOOKUP($B$24,$3:$3,$4:$4)+100)/100)</f>
        <v>1</v>
      </c>
      <c r="D25" s="877"/>
      <c r="E25" s="48">
        <f>(SUMIF($5:$5,D25,$6:$6)-SUMIF($5:$5,$D$24,$6:$6)+100)/100</f>
        <v>1</v>
      </c>
      <c r="F25" s="877"/>
      <c r="G25" s="48">
        <f>(SUMIF($7:$7,F25,$8:$8)-SUMIF($7:$7,$F$24,$8:$8)+100)/100</f>
        <v>1</v>
      </c>
      <c r="H25" s="877"/>
      <c r="I25" s="48">
        <f>(SUMIF($9:$9,H25,$10:$10)-SUMIF($9:$9,$H$24,$10:$10)+100)/100</f>
        <v>1</v>
      </c>
      <c r="J25" s="877"/>
      <c r="K25" s="48">
        <f>(SUMIF($11:$11,J25,$12:$12)-SUMIF($11:$11,$J$24,$12:$12)+100)/100</f>
        <v>1</v>
      </c>
      <c r="L25" s="877"/>
      <c r="M25" s="48">
        <f>(SUMIF($13:$13,L25,$14:$14)-SUMIF($13:$13,$L$24,$14:$14)+100)/100</f>
        <v>1</v>
      </c>
      <c r="N25" s="877"/>
      <c r="O25" s="48">
        <f>(SUMIF($15:$15,N25,$16:$16)-SUMIF($15:$15,$N$24,$16:$16)+100)/100</f>
        <v>1</v>
      </c>
      <c r="P25" s="877"/>
      <c r="Q25" s="48">
        <f>(SUMIF($17:$17,P25,$18:$18)-SUMIF($17:$17,$P$24,$18:$18)+100)/100</f>
        <v>1</v>
      </c>
      <c r="R25" s="48">
        <f>IF(B25="",0,ROUND($R$24*C25*E25*G25*I25*K25*M25*O25*Q25,0))</f>
        <v>0</v>
      </c>
      <c r="S25" s="733">
        <f t="shared" si="6"/>
        <v>0</v>
      </c>
    </row>
    <row r="26" spans="1:45">
      <c r="A26" s="878"/>
      <c r="B26" s="125"/>
      <c r="C26" s="48">
        <f t="shared" ref="C26:C89" si="7">IF(B26="",1,(LOOKUP(B26,$3:$3,$4:$4)-LOOKUP($B$24,$3:$3,$4:$4)+100)/100)</f>
        <v>1</v>
      </c>
      <c r="D26" s="877"/>
      <c r="E26" s="48">
        <f t="shared" ref="E26:E89" si="8">(SUMIF($5:$5,D26,$6:$6)-SUMIF($5:$5,$D$24,$6:$6)+100)/100</f>
        <v>1</v>
      </c>
      <c r="F26" s="877"/>
      <c r="G26" s="48">
        <f t="shared" ref="G26:G89" si="9">(SUMIF($7:$7,F26,$8:$8)-SUMIF($7:$7,$F$24,$8:$8)+100)/100</f>
        <v>1</v>
      </c>
      <c r="H26" s="877"/>
      <c r="I26" s="48">
        <f t="shared" ref="I26:I89" si="10">(SUMIF($9:$9,H26,$10:$10)-SUMIF($9:$9,$H$24,$10:$10)+100)/100</f>
        <v>1</v>
      </c>
      <c r="J26" s="877"/>
      <c r="K26" s="48">
        <f t="shared" ref="K26:K89" si="11">(SUMIF($11:$11,J26,$12:$12)-SUMIF($11:$11,$J$24,$12:$12)+100)/100</f>
        <v>1</v>
      </c>
      <c r="L26" s="877"/>
      <c r="M26" s="48">
        <f t="shared" ref="M26:M89" si="12">(SUMIF($13:$13,L26,$14:$14)-SUMIF($13:$13,$L$24,$14:$14)+100)/100</f>
        <v>1</v>
      </c>
      <c r="N26" s="877"/>
      <c r="O26" s="48">
        <f t="shared" ref="O26:O89" si="13">(SUMIF($15:$15,N26,$16:$16)-SUMIF($15:$15,$N$24,$16:$16)+100)/100</f>
        <v>1</v>
      </c>
      <c r="P26" s="877"/>
      <c r="Q26" s="48">
        <f t="shared" ref="Q26:Q89" si="14">(SUMIF($17:$17,P26,$18:$18)-SUMIF($17:$17,$P$24,$18:$18)+100)/100</f>
        <v>1</v>
      </c>
      <c r="R26" s="48">
        <f t="shared" ref="R26:R89" si="15">IF(B26="",0,ROUND($R$24*C26*E26*G26*I26*K26*M26*O26*Q26,0))</f>
        <v>0</v>
      </c>
      <c r="S26" s="733">
        <f t="shared" si="6"/>
        <v>0</v>
      </c>
    </row>
    <row r="27" spans="1:45">
      <c r="A27" s="878"/>
      <c r="B27" s="125"/>
      <c r="C27" s="48">
        <f t="shared" si="7"/>
        <v>1</v>
      </c>
      <c r="D27" s="877"/>
      <c r="E27" s="48">
        <f t="shared" si="8"/>
        <v>1</v>
      </c>
      <c r="F27" s="877"/>
      <c r="G27" s="48">
        <f t="shared" si="9"/>
        <v>1</v>
      </c>
      <c r="H27" s="877"/>
      <c r="I27" s="48">
        <f t="shared" si="10"/>
        <v>1</v>
      </c>
      <c r="J27" s="877"/>
      <c r="K27" s="48">
        <f t="shared" si="11"/>
        <v>1</v>
      </c>
      <c r="L27" s="877"/>
      <c r="M27" s="48">
        <f t="shared" si="12"/>
        <v>1</v>
      </c>
      <c r="N27" s="877"/>
      <c r="O27" s="48">
        <f t="shared" si="13"/>
        <v>1</v>
      </c>
      <c r="P27" s="877"/>
      <c r="Q27" s="48">
        <f t="shared" si="14"/>
        <v>1</v>
      </c>
      <c r="R27" s="48">
        <f t="shared" si="15"/>
        <v>0</v>
      </c>
      <c r="S27" s="733">
        <f t="shared" si="6"/>
        <v>0</v>
      </c>
    </row>
    <row r="28" spans="1:45">
      <c r="A28" s="878"/>
      <c r="B28" s="125"/>
      <c r="C28" s="48">
        <f t="shared" si="7"/>
        <v>1</v>
      </c>
      <c r="D28" s="877"/>
      <c r="E28" s="48">
        <f t="shared" si="8"/>
        <v>1</v>
      </c>
      <c r="F28" s="877"/>
      <c r="G28" s="48">
        <f t="shared" si="9"/>
        <v>1</v>
      </c>
      <c r="H28" s="877"/>
      <c r="I28" s="48">
        <f t="shared" si="10"/>
        <v>1</v>
      </c>
      <c r="J28" s="877"/>
      <c r="K28" s="48">
        <f t="shared" si="11"/>
        <v>1</v>
      </c>
      <c r="L28" s="877"/>
      <c r="M28" s="48">
        <f t="shared" si="12"/>
        <v>1</v>
      </c>
      <c r="N28" s="877"/>
      <c r="O28" s="48">
        <f t="shared" si="13"/>
        <v>1</v>
      </c>
      <c r="P28" s="877"/>
      <c r="Q28" s="48">
        <f t="shared" si="14"/>
        <v>1</v>
      </c>
      <c r="R28" s="48">
        <f t="shared" si="15"/>
        <v>0</v>
      </c>
      <c r="S28" s="733">
        <f t="shared" si="6"/>
        <v>0</v>
      </c>
    </row>
    <row r="29" spans="1:45">
      <c r="A29" s="878"/>
      <c r="B29" s="125"/>
      <c r="C29" s="48">
        <f t="shared" si="7"/>
        <v>1</v>
      </c>
      <c r="D29" s="877"/>
      <c r="E29" s="48">
        <f t="shared" si="8"/>
        <v>1</v>
      </c>
      <c r="F29" s="877"/>
      <c r="G29" s="48">
        <f t="shared" si="9"/>
        <v>1</v>
      </c>
      <c r="H29" s="877"/>
      <c r="I29" s="48">
        <f t="shared" si="10"/>
        <v>1</v>
      </c>
      <c r="J29" s="877"/>
      <c r="K29" s="48">
        <f t="shared" si="11"/>
        <v>1</v>
      </c>
      <c r="L29" s="877"/>
      <c r="M29" s="48">
        <f t="shared" si="12"/>
        <v>1</v>
      </c>
      <c r="N29" s="877"/>
      <c r="O29" s="48">
        <f t="shared" si="13"/>
        <v>1</v>
      </c>
      <c r="P29" s="877"/>
      <c r="Q29" s="48">
        <f t="shared" si="14"/>
        <v>1</v>
      </c>
      <c r="R29" s="48">
        <f t="shared" si="15"/>
        <v>0</v>
      </c>
      <c r="S29" s="733">
        <f t="shared" si="6"/>
        <v>0</v>
      </c>
    </row>
    <row r="30" spans="1:45">
      <c r="A30" s="878"/>
      <c r="B30" s="125"/>
      <c r="C30" s="48">
        <f t="shared" si="7"/>
        <v>1</v>
      </c>
      <c r="D30" s="877"/>
      <c r="E30" s="48">
        <f t="shared" si="8"/>
        <v>1</v>
      </c>
      <c r="F30" s="877"/>
      <c r="G30" s="48">
        <f t="shared" si="9"/>
        <v>1</v>
      </c>
      <c r="H30" s="877"/>
      <c r="I30" s="48">
        <f t="shared" si="10"/>
        <v>1</v>
      </c>
      <c r="J30" s="877"/>
      <c r="K30" s="48">
        <f t="shared" si="11"/>
        <v>1</v>
      </c>
      <c r="L30" s="877"/>
      <c r="M30" s="48">
        <f t="shared" si="12"/>
        <v>1</v>
      </c>
      <c r="N30" s="877"/>
      <c r="O30" s="48">
        <f t="shared" si="13"/>
        <v>1</v>
      </c>
      <c r="P30" s="877"/>
      <c r="Q30" s="48">
        <f t="shared" si="14"/>
        <v>1</v>
      </c>
      <c r="R30" s="48">
        <f t="shared" si="15"/>
        <v>0</v>
      </c>
      <c r="S30" s="733">
        <f t="shared" si="6"/>
        <v>0</v>
      </c>
    </row>
    <row r="31" spans="1:45">
      <c r="A31" s="878"/>
      <c r="B31" s="125"/>
      <c r="C31" s="48">
        <f t="shared" si="7"/>
        <v>1</v>
      </c>
      <c r="D31" s="877"/>
      <c r="E31" s="48">
        <f t="shared" si="8"/>
        <v>1</v>
      </c>
      <c r="F31" s="877"/>
      <c r="G31" s="48">
        <f t="shared" si="9"/>
        <v>1</v>
      </c>
      <c r="H31" s="877"/>
      <c r="I31" s="48">
        <f t="shared" si="10"/>
        <v>1</v>
      </c>
      <c r="J31" s="877"/>
      <c r="K31" s="48">
        <f t="shared" si="11"/>
        <v>1</v>
      </c>
      <c r="L31" s="877"/>
      <c r="M31" s="48">
        <f t="shared" si="12"/>
        <v>1</v>
      </c>
      <c r="N31" s="877"/>
      <c r="O31" s="48">
        <f t="shared" si="13"/>
        <v>1</v>
      </c>
      <c r="P31" s="877"/>
      <c r="Q31" s="48">
        <f t="shared" si="14"/>
        <v>1</v>
      </c>
      <c r="R31" s="48">
        <f t="shared" si="15"/>
        <v>0</v>
      </c>
      <c r="S31" s="733">
        <f t="shared" si="6"/>
        <v>0</v>
      </c>
    </row>
    <row r="32" spans="1:45">
      <c r="A32" s="878"/>
      <c r="B32" s="125"/>
      <c r="C32" s="48">
        <f t="shared" si="7"/>
        <v>1</v>
      </c>
      <c r="D32" s="877"/>
      <c r="E32" s="48">
        <f t="shared" si="8"/>
        <v>1</v>
      </c>
      <c r="F32" s="877"/>
      <c r="G32" s="48">
        <f t="shared" si="9"/>
        <v>1</v>
      </c>
      <c r="H32" s="877"/>
      <c r="I32" s="48">
        <f t="shared" si="10"/>
        <v>1</v>
      </c>
      <c r="J32" s="877"/>
      <c r="K32" s="48">
        <f t="shared" si="11"/>
        <v>1</v>
      </c>
      <c r="L32" s="877"/>
      <c r="M32" s="48">
        <f t="shared" si="12"/>
        <v>1</v>
      </c>
      <c r="N32" s="877"/>
      <c r="O32" s="48">
        <f t="shared" si="13"/>
        <v>1</v>
      </c>
      <c r="P32" s="877"/>
      <c r="Q32" s="48">
        <f t="shared" si="14"/>
        <v>1</v>
      </c>
      <c r="R32" s="48">
        <f t="shared" si="15"/>
        <v>0</v>
      </c>
      <c r="S32" s="733">
        <f t="shared" si="6"/>
        <v>0</v>
      </c>
    </row>
    <row r="33" spans="1:19">
      <c r="A33" s="878"/>
      <c r="B33" s="125"/>
      <c r="C33" s="48">
        <f t="shared" si="7"/>
        <v>1</v>
      </c>
      <c r="D33" s="877"/>
      <c r="E33" s="48">
        <f t="shared" si="8"/>
        <v>1</v>
      </c>
      <c r="F33" s="877"/>
      <c r="G33" s="48">
        <f t="shared" si="9"/>
        <v>1</v>
      </c>
      <c r="H33" s="877"/>
      <c r="I33" s="48">
        <f t="shared" si="10"/>
        <v>1</v>
      </c>
      <c r="J33" s="877"/>
      <c r="K33" s="48">
        <f t="shared" si="11"/>
        <v>1</v>
      </c>
      <c r="L33" s="877"/>
      <c r="M33" s="48">
        <f t="shared" si="12"/>
        <v>1</v>
      </c>
      <c r="N33" s="877"/>
      <c r="O33" s="48">
        <f t="shared" si="13"/>
        <v>1</v>
      </c>
      <c r="P33" s="877"/>
      <c r="Q33" s="48">
        <f t="shared" si="14"/>
        <v>1</v>
      </c>
      <c r="R33" s="48">
        <f t="shared" si="15"/>
        <v>0</v>
      </c>
      <c r="S33" s="733">
        <f t="shared" si="6"/>
        <v>0</v>
      </c>
    </row>
    <row r="34" spans="1:19">
      <c r="A34" s="878"/>
      <c r="B34" s="125"/>
      <c r="C34" s="48">
        <f t="shared" si="7"/>
        <v>1</v>
      </c>
      <c r="D34" s="877"/>
      <c r="E34" s="48">
        <f t="shared" si="8"/>
        <v>1</v>
      </c>
      <c r="F34" s="877"/>
      <c r="G34" s="48">
        <f t="shared" si="9"/>
        <v>1</v>
      </c>
      <c r="H34" s="877"/>
      <c r="I34" s="48">
        <f t="shared" si="10"/>
        <v>1</v>
      </c>
      <c r="J34" s="877"/>
      <c r="K34" s="48">
        <f t="shared" si="11"/>
        <v>1</v>
      </c>
      <c r="L34" s="877"/>
      <c r="M34" s="48">
        <f t="shared" si="12"/>
        <v>1</v>
      </c>
      <c r="N34" s="877"/>
      <c r="O34" s="48">
        <f t="shared" si="13"/>
        <v>1</v>
      </c>
      <c r="P34" s="877"/>
      <c r="Q34" s="48">
        <f t="shared" si="14"/>
        <v>1</v>
      </c>
      <c r="R34" s="48">
        <f t="shared" si="15"/>
        <v>0</v>
      </c>
      <c r="S34" s="733">
        <f t="shared" si="6"/>
        <v>0</v>
      </c>
    </row>
    <row r="35" spans="1:19">
      <c r="A35" s="878"/>
      <c r="B35" s="125"/>
      <c r="C35" s="48">
        <f t="shared" si="7"/>
        <v>1</v>
      </c>
      <c r="D35" s="877"/>
      <c r="E35" s="48">
        <f t="shared" si="8"/>
        <v>1</v>
      </c>
      <c r="F35" s="877"/>
      <c r="G35" s="48">
        <f t="shared" si="9"/>
        <v>1</v>
      </c>
      <c r="H35" s="877"/>
      <c r="I35" s="48">
        <f t="shared" si="10"/>
        <v>1</v>
      </c>
      <c r="J35" s="877"/>
      <c r="K35" s="48">
        <f t="shared" si="11"/>
        <v>1</v>
      </c>
      <c r="L35" s="877"/>
      <c r="M35" s="48">
        <f t="shared" si="12"/>
        <v>1</v>
      </c>
      <c r="N35" s="877"/>
      <c r="O35" s="48">
        <f t="shared" si="13"/>
        <v>1</v>
      </c>
      <c r="P35" s="877"/>
      <c r="Q35" s="48">
        <f t="shared" si="14"/>
        <v>1</v>
      </c>
      <c r="R35" s="48">
        <f t="shared" si="15"/>
        <v>0</v>
      </c>
      <c r="S35" s="733">
        <f t="shared" si="6"/>
        <v>0</v>
      </c>
    </row>
    <row r="36" spans="1:19">
      <c r="A36" s="878"/>
      <c r="B36" s="125"/>
      <c r="C36" s="48">
        <f t="shared" si="7"/>
        <v>1</v>
      </c>
      <c r="D36" s="877"/>
      <c r="E36" s="48">
        <f t="shared" si="8"/>
        <v>1</v>
      </c>
      <c r="F36" s="877"/>
      <c r="G36" s="48">
        <f t="shared" si="9"/>
        <v>1</v>
      </c>
      <c r="H36" s="877"/>
      <c r="I36" s="48">
        <f t="shared" si="10"/>
        <v>1</v>
      </c>
      <c r="J36" s="877"/>
      <c r="K36" s="48">
        <f t="shared" si="11"/>
        <v>1</v>
      </c>
      <c r="L36" s="877"/>
      <c r="M36" s="48">
        <f t="shared" si="12"/>
        <v>1</v>
      </c>
      <c r="N36" s="877"/>
      <c r="O36" s="48">
        <f t="shared" si="13"/>
        <v>1</v>
      </c>
      <c r="P36" s="877"/>
      <c r="Q36" s="48">
        <f t="shared" si="14"/>
        <v>1</v>
      </c>
      <c r="R36" s="48">
        <f t="shared" si="15"/>
        <v>0</v>
      </c>
      <c r="S36" s="733">
        <f t="shared" si="6"/>
        <v>0</v>
      </c>
    </row>
    <row r="37" spans="1:19">
      <c r="A37" s="878"/>
      <c r="B37" s="125"/>
      <c r="C37" s="48">
        <f t="shared" si="7"/>
        <v>1</v>
      </c>
      <c r="D37" s="877"/>
      <c r="E37" s="48">
        <f t="shared" si="8"/>
        <v>1</v>
      </c>
      <c r="F37" s="877"/>
      <c r="G37" s="48">
        <f t="shared" si="9"/>
        <v>1</v>
      </c>
      <c r="H37" s="877"/>
      <c r="I37" s="48">
        <f t="shared" si="10"/>
        <v>1</v>
      </c>
      <c r="J37" s="877"/>
      <c r="K37" s="48">
        <f t="shared" si="11"/>
        <v>1</v>
      </c>
      <c r="L37" s="877"/>
      <c r="M37" s="48">
        <f t="shared" si="12"/>
        <v>1</v>
      </c>
      <c r="N37" s="877"/>
      <c r="O37" s="48">
        <f t="shared" si="13"/>
        <v>1</v>
      </c>
      <c r="P37" s="877"/>
      <c r="Q37" s="48">
        <f t="shared" si="14"/>
        <v>1</v>
      </c>
      <c r="R37" s="48">
        <f t="shared" si="15"/>
        <v>0</v>
      </c>
      <c r="S37" s="733">
        <f t="shared" si="6"/>
        <v>0</v>
      </c>
    </row>
    <row r="38" spans="1:19">
      <c r="A38" s="878"/>
      <c r="B38" s="125"/>
      <c r="C38" s="48">
        <f t="shared" si="7"/>
        <v>1</v>
      </c>
      <c r="D38" s="877"/>
      <c r="E38" s="48">
        <f t="shared" si="8"/>
        <v>1</v>
      </c>
      <c r="F38" s="877"/>
      <c r="G38" s="48">
        <f t="shared" si="9"/>
        <v>1</v>
      </c>
      <c r="H38" s="877"/>
      <c r="I38" s="48">
        <f t="shared" si="10"/>
        <v>1</v>
      </c>
      <c r="J38" s="877"/>
      <c r="K38" s="48">
        <f t="shared" si="11"/>
        <v>1</v>
      </c>
      <c r="L38" s="877"/>
      <c r="M38" s="48">
        <f t="shared" si="12"/>
        <v>1</v>
      </c>
      <c r="N38" s="877"/>
      <c r="O38" s="48">
        <f t="shared" si="13"/>
        <v>1</v>
      </c>
      <c r="P38" s="877"/>
      <c r="Q38" s="48">
        <f t="shared" si="14"/>
        <v>1</v>
      </c>
      <c r="R38" s="48">
        <f t="shared" si="15"/>
        <v>0</v>
      </c>
      <c r="S38" s="733">
        <f t="shared" si="6"/>
        <v>0</v>
      </c>
    </row>
    <row r="39" spans="1:19">
      <c r="A39" s="878"/>
      <c r="B39" s="125"/>
      <c r="C39" s="48">
        <f t="shared" si="7"/>
        <v>1</v>
      </c>
      <c r="D39" s="877"/>
      <c r="E39" s="48">
        <f t="shared" si="8"/>
        <v>1</v>
      </c>
      <c r="F39" s="877"/>
      <c r="G39" s="48">
        <f t="shared" si="9"/>
        <v>1</v>
      </c>
      <c r="H39" s="877"/>
      <c r="I39" s="48">
        <f t="shared" si="10"/>
        <v>1</v>
      </c>
      <c r="J39" s="877"/>
      <c r="K39" s="48">
        <f t="shared" si="11"/>
        <v>1</v>
      </c>
      <c r="L39" s="877"/>
      <c r="M39" s="48">
        <f t="shared" si="12"/>
        <v>1</v>
      </c>
      <c r="N39" s="877"/>
      <c r="O39" s="48">
        <f t="shared" si="13"/>
        <v>1</v>
      </c>
      <c r="P39" s="877"/>
      <c r="Q39" s="48">
        <f t="shared" si="14"/>
        <v>1</v>
      </c>
      <c r="R39" s="48">
        <f t="shared" si="15"/>
        <v>0</v>
      </c>
      <c r="S39" s="733">
        <f t="shared" si="6"/>
        <v>0</v>
      </c>
    </row>
    <row r="40" spans="1:19">
      <c r="A40" s="878"/>
      <c r="B40" s="125"/>
      <c r="C40" s="48">
        <f t="shared" si="7"/>
        <v>1</v>
      </c>
      <c r="D40" s="877"/>
      <c r="E40" s="48">
        <f t="shared" si="8"/>
        <v>1</v>
      </c>
      <c r="F40" s="877"/>
      <c r="G40" s="48">
        <f t="shared" si="9"/>
        <v>1</v>
      </c>
      <c r="H40" s="877"/>
      <c r="I40" s="48">
        <f t="shared" si="10"/>
        <v>1</v>
      </c>
      <c r="J40" s="877"/>
      <c r="K40" s="48">
        <f t="shared" si="11"/>
        <v>1</v>
      </c>
      <c r="L40" s="877"/>
      <c r="M40" s="48">
        <f t="shared" si="12"/>
        <v>1</v>
      </c>
      <c r="N40" s="877"/>
      <c r="O40" s="48">
        <f t="shared" si="13"/>
        <v>1</v>
      </c>
      <c r="P40" s="877"/>
      <c r="Q40" s="48">
        <f t="shared" si="14"/>
        <v>1</v>
      </c>
      <c r="R40" s="48">
        <f t="shared" si="15"/>
        <v>0</v>
      </c>
      <c r="S40" s="733">
        <f t="shared" si="6"/>
        <v>0</v>
      </c>
    </row>
    <row r="41" spans="1:19">
      <c r="A41" s="878"/>
      <c r="B41" s="125"/>
      <c r="C41" s="48">
        <f t="shared" si="7"/>
        <v>1</v>
      </c>
      <c r="D41" s="877"/>
      <c r="E41" s="48">
        <f t="shared" si="8"/>
        <v>1</v>
      </c>
      <c r="F41" s="877"/>
      <c r="G41" s="48">
        <f t="shared" si="9"/>
        <v>1</v>
      </c>
      <c r="H41" s="877"/>
      <c r="I41" s="48">
        <f t="shared" si="10"/>
        <v>1</v>
      </c>
      <c r="J41" s="877"/>
      <c r="K41" s="48">
        <f t="shared" si="11"/>
        <v>1</v>
      </c>
      <c r="L41" s="877"/>
      <c r="M41" s="48">
        <f t="shared" si="12"/>
        <v>1</v>
      </c>
      <c r="N41" s="877"/>
      <c r="O41" s="48">
        <f t="shared" si="13"/>
        <v>1</v>
      </c>
      <c r="P41" s="877"/>
      <c r="Q41" s="48">
        <f t="shared" si="14"/>
        <v>1</v>
      </c>
      <c r="R41" s="48">
        <f t="shared" si="15"/>
        <v>0</v>
      </c>
      <c r="S41" s="733">
        <f t="shared" si="6"/>
        <v>0</v>
      </c>
    </row>
    <row r="42" spans="1:19">
      <c r="A42" s="878"/>
      <c r="B42" s="125"/>
      <c r="C42" s="48">
        <f t="shared" si="7"/>
        <v>1</v>
      </c>
      <c r="D42" s="877"/>
      <c r="E42" s="48">
        <f t="shared" si="8"/>
        <v>1</v>
      </c>
      <c r="F42" s="877"/>
      <c r="G42" s="48">
        <f t="shared" si="9"/>
        <v>1</v>
      </c>
      <c r="H42" s="877"/>
      <c r="I42" s="48">
        <f t="shared" si="10"/>
        <v>1</v>
      </c>
      <c r="J42" s="877"/>
      <c r="K42" s="48">
        <f t="shared" si="11"/>
        <v>1</v>
      </c>
      <c r="L42" s="877"/>
      <c r="M42" s="48">
        <f t="shared" si="12"/>
        <v>1</v>
      </c>
      <c r="N42" s="877"/>
      <c r="O42" s="48">
        <f t="shared" si="13"/>
        <v>1</v>
      </c>
      <c r="P42" s="877"/>
      <c r="Q42" s="48">
        <f t="shared" si="14"/>
        <v>1</v>
      </c>
      <c r="R42" s="48">
        <f t="shared" si="15"/>
        <v>0</v>
      </c>
      <c r="S42" s="733">
        <f t="shared" si="6"/>
        <v>0</v>
      </c>
    </row>
    <row r="43" spans="1:19">
      <c r="A43" s="878"/>
      <c r="B43" s="125"/>
      <c r="C43" s="48">
        <f t="shared" si="7"/>
        <v>1</v>
      </c>
      <c r="D43" s="877"/>
      <c r="E43" s="48">
        <f t="shared" si="8"/>
        <v>1</v>
      </c>
      <c r="F43" s="877"/>
      <c r="G43" s="48">
        <f t="shared" si="9"/>
        <v>1</v>
      </c>
      <c r="H43" s="877"/>
      <c r="I43" s="48">
        <f t="shared" si="10"/>
        <v>1</v>
      </c>
      <c r="J43" s="877"/>
      <c r="K43" s="48">
        <f t="shared" si="11"/>
        <v>1</v>
      </c>
      <c r="L43" s="877"/>
      <c r="M43" s="48">
        <f t="shared" si="12"/>
        <v>1</v>
      </c>
      <c r="N43" s="877"/>
      <c r="O43" s="48">
        <f t="shared" si="13"/>
        <v>1</v>
      </c>
      <c r="P43" s="877"/>
      <c r="Q43" s="48">
        <f t="shared" si="14"/>
        <v>1</v>
      </c>
      <c r="R43" s="48">
        <f t="shared" si="15"/>
        <v>0</v>
      </c>
      <c r="S43" s="733">
        <f t="shared" si="6"/>
        <v>0</v>
      </c>
    </row>
    <row r="44" spans="1:19">
      <c r="A44" s="878"/>
      <c r="B44" s="125"/>
      <c r="C44" s="48">
        <f t="shared" si="7"/>
        <v>1</v>
      </c>
      <c r="D44" s="877"/>
      <c r="E44" s="48">
        <f t="shared" si="8"/>
        <v>1</v>
      </c>
      <c r="F44" s="877"/>
      <c r="G44" s="48">
        <f t="shared" si="9"/>
        <v>1</v>
      </c>
      <c r="H44" s="877"/>
      <c r="I44" s="48">
        <f t="shared" si="10"/>
        <v>1</v>
      </c>
      <c r="J44" s="877"/>
      <c r="K44" s="48">
        <f t="shared" si="11"/>
        <v>1</v>
      </c>
      <c r="L44" s="877"/>
      <c r="M44" s="48">
        <f t="shared" si="12"/>
        <v>1</v>
      </c>
      <c r="N44" s="877"/>
      <c r="O44" s="48">
        <f t="shared" si="13"/>
        <v>1</v>
      </c>
      <c r="P44" s="877"/>
      <c r="Q44" s="48">
        <f t="shared" si="14"/>
        <v>1</v>
      </c>
      <c r="R44" s="48">
        <f t="shared" si="15"/>
        <v>0</v>
      </c>
      <c r="S44" s="733">
        <f t="shared" si="6"/>
        <v>0</v>
      </c>
    </row>
    <row r="45" spans="1:19">
      <c r="A45" s="878"/>
      <c r="B45" s="125"/>
      <c r="C45" s="48">
        <f t="shared" si="7"/>
        <v>1</v>
      </c>
      <c r="D45" s="877"/>
      <c r="E45" s="48">
        <f t="shared" si="8"/>
        <v>1</v>
      </c>
      <c r="F45" s="877"/>
      <c r="G45" s="48">
        <f t="shared" si="9"/>
        <v>1</v>
      </c>
      <c r="H45" s="877"/>
      <c r="I45" s="48">
        <f t="shared" si="10"/>
        <v>1</v>
      </c>
      <c r="J45" s="877"/>
      <c r="K45" s="48">
        <f t="shared" si="11"/>
        <v>1</v>
      </c>
      <c r="L45" s="877"/>
      <c r="M45" s="48">
        <f t="shared" si="12"/>
        <v>1</v>
      </c>
      <c r="N45" s="877"/>
      <c r="O45" s="48">
        <f t="shared" si="13"/>
        <v>1</v>
      </c>
      <c r="P45" s="877"/>
      <c r="Q45" s="48">
        <f t="shared" si="14"/>
        <v>1</v>
      </c>
      <c r="R45" s="48">
        <f t="shared" si="15"/>
        <v>0</v>
      </c>
      <c r="S45" s="733">
        <f t="shared" si="6"/>
        <v>0</v>
      </c>
    </row>
    <row r="46" spans="1:19">
      <c r="A46" s="878"/>
      <c r="B46" s="125"/>
      <c r="C46" s="48">
        <f t="shared" si="7"/>
        <v>1</v>
      </c>
      <c r="D46" s="877"/>
      <c r="E46" s="48">
        <f t="shared" si="8"/>
        <v>1</v>
      </c>
      <c r="F46" s="877"/>
      <c r="G46" s="48">
        <f t="shared" si="9"/>
        <v>1</v>
      </c>
      <c r="H46" s="877"/>
      <c r="I46" s="48">
        <f t="shared" si="10"/>
        <v>1</v>
      </c>
      <c r="J46" s="877"/>
      <c r="K46" s="48">
        <f t="shared" si="11"/>
        <v>1</v>
      </c>
      <c r="L46" s="877"/>
      <c r="M46" s="48">
        <f t="shared" si="12"/>
        <v>1</v>
      </c>
      <c r="N46" s="877"/>
      <c r="O46" s="48">
        <f t="shared" si="13"/>
        <v>1</v>
      </c>
      <c r="P46" s="877"/>
      <c r="Q46" s="48">
        <f t="shared" si="14"/>
        <v>1</v>
      </c>
      <c r="R46" s="48">
        <f t="shared" si="15"/>
        <v>0</v>
      </c>
      <c r="S46" s="733">
        <f t="shared" si="6"/>
        <v>0</v>
      </c>
    </row>
    <row r="47" spans="1:19">
      <c r="A47" s="878"/>
      <c r="B47" s="125"/>
      <c r="C47" s="48">
        <f t="shared" si="7"/>
        <v>1</v>
      </c>
      <c r="D47" s="877"/>
      <c r="E47" s="48">
        <f t="shared" si="8"/>
        <v>1</v>
      </c>
      <c r="F47" s="877"/>
      <c r="G47" s="48">
        <f t="shared" si="9"/>
        <v>1</v>
      </c>
      <c r="H47" s="877"/>
      <c r="I47" s="48">
        <f t="shared" si="10"/>
        <v>1</v>
      </c>
      <c r="J47" s="877"/>
      <c r="K47" s="48">
        <f t="shared" si="11"/>
        <v>1</v>
      </c>
      <c r="L47" s="877"/>
      <c r="M47" s="48">
        <f t="shared" si="12"/>
        <v>1</v>
      </c>
      <c r="N47" s="877"/>
      <c r="O47" s="48">
        <f t="shared" si="13"/>
        <v>1</v>
      </c>
      <c r="P47" s="877"/>
      <c r="Q47" s="48">
        <f t="shared" si="14"/>
        <v>1</v>
      </c>
      <c r="R47" s="48">
        <f t="shared" si="15"/>
        <v>0</v>
      </c>
      <c r="S47" s="733">
        <f t="shared" si="6"/>
        <v>0</v>
      </c>
    </row>
    <row r="48" spans="1:19">
      <c r="A48" s="878"/>
      <c r="B48" s="125"/>
      <c r="C48" s="48">
        <f t="shared" si="7"/>
        <v>1</v>
      </c>
      <c r="D48" s="877"/>
      <c r="E48" s="48">
        <f t="shared" si="8"/>
        <v>1</v>
      </c>
      <c r="F48" s="877"/>
      <c r="G48" s="48">
        <f t="shared" si="9"/>
        <v>1</v>
      </c>
      <c r="H48" s="877"/>
      <c r="I48" s="48">
        <f t="shared" si="10"/>
        <v>1</v>
      </c>
      <c r="J48" s="877"/>
      <c r="K48" s="48">
        <f t="shared" si="11"/>
        <v>1</v>
      </c>
      <c r="L48" s="877"/>
      <c r="M48" s="48">
        <f t="shared" si="12"/>
        <v>1</v>
      </c>
      <c r="N48" s="877"/>
      <c r="O48" s="48">
        <f t="shared" si="13"/>
        <v>1</v>
      </c>
      <c r="P48" s="877"/>
      <c r="Q48" s="48">
        <f t="shared" si="14"/>
        <v>1</v>
      </c>
      <c r="R48" s="48">
        <f t="shared" si="15"/>
        <v>0</v>
      </c>
      <c r="S48" s="733">
        <f t="shared" si="6"/>
        <v>0</v>
      </c>
    </row>
    <row r="49" spans="1:19">
      <c r="A49" s="878"/>
      <c r="B49" s="125"/>
      <c r="C49" s="48">
        <f t="shared" si="7"/>
        <v>1</v>
      </c>
      <c r="D49" s="877"/>
      <c r="E49" s="48">
        <f t="shared" si="8"/>
        <v>1</v>
      </c>
      <c r="F49" s="877"/>
      <c r="G49" s="48">
        <f t="shared" si="9"/>
        <v>1</v>
      </c>
      <c r="H49" s="877"/>
      <c r="I49" s="48">
        <f t="shared" si="10"/>
        <v>1</v>
      </c>
      <c r="J49" s="877"/>
      <c r="K49" s="48">
        <f t="shared" si="11"/>
        <v>1</v>
      </c>
      <c r="L49" s="877"/>
      <c r="M49" s="48">
        <f t="shared" si="12"/>
        <v>1</v>
      </c>
      <c r="N49" s="877"/>
      <c r="O49" s="48">
        <f t="shared" si="13"/>
        <v>1</v>
      </c>
      <c r="P49" s="877"/>
      <c r="Q49" s="48">
        <f t="shared" si="14"/>
        <v>1</v>
      </c>
      <c r="R49" s="48">
        <f t="shared" si="15"/>
        <v>0</v>
      </c>
      <c r="S49" s="733">
        <f t="shared" si="6"/>
        <v>0</v>
      </c>
    </row>
    <row r="50" spans="1:19">
      <c r="A50" s="878"/>
      <c r="B50" s="125"/>
      <c r="C50" s="48">
        <f t="shared" si="7"/>
        <v>1</v>
      </c>
      <c r="D50" s="877"/>
      <c r="E50" s="48">
        <f t="shared" si="8"/>
        <v>1</v>
      </c>
      <c r="F50" s="877"/>
      <c r="G50" s="48">
        <f t="shared" si="9"/>
        <v>1</v>
      </c>
      <c r="H50" s="877"/>
      <c r="I50" s="48">
        <f t="shared" si="10"/>
        <v>1</v>
      </c>
      <c r="J50" s="877"/>
      <c r="K50" s="48">
        <f t="shared" si="11"/>
        <v>1</v>
      </c>
      <c r="L50" s="877"/>
      <c r="M50" s="48">
        <f t="shared" si="12"/>
        <v>1</v>
      </c>
      <c r="N50" s="877"/>
      <c r="O50" s="48">
        <f t="shared" si="13"/>
        <v>1</v>
      </c>
      <c r="P50" s="877"/>
      <c r="Q50" s="48">
        <f t="shared" si="14"/>
        <v>1</v>
      </c>
      <c r="R50" s="48">
        <f t="shared" si="15"/>
        <v>0</v>
      </c>
      <c r="S50" s="733">
        <f t="shared" si="6"/>
        <v>0</v>
      </c>
    </row>
    <row r="51" spans="1:19">
      <c r="A51" s="878"/>
      <c r="B51" s="125"/>
      <c r="C51" s="48">
        <f t="shared" si="7"/>
        <v>1</v>
      </c>
      <c r="D51" s="877"/>
      <c r="E51" s="48">
        <f t="shared" si="8"/>
        <v>1</v>
      </c>
      <c r="F51" s="877"/>
      <c r="G51" s="48">
        <f t="shared" si="9"/>
        <v>1</v>
      </c>
      <c r="H51" s="877"/>
      <c r="I51" s="48">
        <f t="shared" si="10"/>
        <v>1</v>
      </c>
      <c r="J51" s="877"/>
      <c r="K51" s="48">
        <f t="shared" si="11"/>
        <v>1</v>
      </c>
      <c r="L51" s="877"/>
      <c r="M51" s="48">
        <f t="shared" si="12"/>
        <v>1</v>
      </c>
      <c r="N51" s="877"/>
      <c r="O51" s="48">
        <f t="shared" si="13"/>
        <v>1</v>
      </c>
      <c r="P51" s="877"/>
      <c r="Q51" s="48">
        <f t="shared" si="14"/>
        <v>1</v>
      </c>
      <c r="R51" s="48">
        <f t="shared" si="15"/>
        <v>0</v>
      </c>
      <c r="S51" s="733">
        <f t="shared" si="6"/>
        <v>0</v>
      </c>
    </row>
    <row r="52" spans="1:19">
      <c r="A52" s="878"/>
      <c r="B52" s="125"/>
      <c r="C52" s="48">
        <f t="shared" si="7"/>
        <v>1</v>
      </c>
      <c r="D52" s="877"/>
      <c r="E52" s="48">
        <f t="shared" si="8"/>
        <v>1</v>
      </c>
      <c r="F52" s="877"/>
      <c r="G52" s="48">
        <f t="shared" si="9"/>
        <v>1</v>
      </c>
      <c r="H52" s="877"/>
      <c r="I52" s="48">
        <f t="shared" si="10"/>
        <v>1</v>
      </c>
      <c r="J52" s="877"/>
      <c r="K52" s="48">
        <f t="shared" si="11"/>
        <v>1</v>
      </c>
      <c r="L52" s="877"/>
      <c r="M52" s="48">
        <f t="shared" si="12"/>
        <v>1</v>
      </c>
      <c r="N52" s="877"/>
      <c r="O52" s="48">
        <f t="shared" si="13"/>
        <v>1</v>
      </c>
      <c r="P52" s="877"/>
      <c r="Q52" s="48">
        <f t="shared" si="14"/>
        <v>1</v>
      </c>
      <c r="R52" s="48">
        <f t="shared" si="15"/>
        <v>0</v>
      </c>
      <c r="S52" s="733">
        <f t="shared" si="6"/>
        <v>0</v>
      </c>
    </row>
    <row r="53" spans="1:19">
      <c r="A53" s="878"/>
      <c r="B53" s="125"/>
      <c r="C53" s="48">
        <f t="shared" si="7"/>
        <v>1</v>
      </c>
      <c r="D53" s="877"/>
      <c r="E53" s="48">
        <f t="shared" si="8"/>
        <v>1</v>
      </c>
      <c r="F53" s="877"/>
      <c r="G53" s="48">
        <f t="shared" si="9"/>
        <v>1</v>
      </c>
      <c r="H53" s="877"/>
      <c r="I53" s="48">
        <f t="shared" si="10"/>
        <v>1</v>
      </c>
      <c r="J53" s="877"/>
      <c r="K53" s="48">
        <f t="shared" si="11"/>
        <v>1</v>
      </c>
      <c r="L53" s="877"/>
      <c r="M53" s="48">
        <f t="shared" si="12"/>
        <v>1</v>
      </c>
      <c r="N53" s="877"/>
      <c r="O53" s="48">
        <f t="shared" si="13"/>
        <v>1</v>
      </c>
      <c r="P53" s="877"/>
      <c r="Q53" s="48">
        <f t="shared" si="14"/>
        <v>1</v>
      </c>
      <c r="R53" s="48">
        <f t="shared" si="15"/>
        <v>0</v>
      </c>
      <c r="S53" s="733">
        <f t="shared" si="6"/>
        <v>0</v>
      </c>
    </row>
    <row r="54" spans="1:19">
      <c r="A54" s="878"/>
      <c r="B54" s="125"/>
      <c r="C54" s="48">
        <f t="shared" si="7"/>
        <v>1</v>
      </c>
      <c r="D54" s="877"/>
      <c r="E54" s="48">
        <f t="shared" si="8"/>
        <v>1</v>
      </c>
      <c r="F54" s="877"/>
      <c r="G54" s="48">
        <f t="shared" si="9"/>
        <v>1</v>
      </c>
      <c r="H54" s="877"/>
      <c r="I54" s="48">
        <f t="shared" si="10"/>
        <v>1</v>
      </c>
      <c r="J54" s="877"/>
      <c r="K54" s="48">
        <f t="shared" si="11"/>
        <v>1</v>
      </c>
      <c r="L54" s="877"/>
      <c r="M54" s="48">
        <f t="shared" si="12"/>
        <v>1</v>
      </c>
      <c r="N54" s="877"/>
      <c r="O54" s="48">
        <f t="shared" si="13"/>
        <v>1</v>
      </c>
      <c r="P54" s="877"/>
      <c r="Q54" s="48">
        <f t="shared" si="14"/>
        <v>1</v>
      </c>
      <c r="R54" s="48">
        <f t="shared" si="15"/>
        <v>0</v>
      </c>
      <c r="S54" s="733">
        <f t="shared" si="6"/>
        <v>0</v>
      </c>
    </row>
    <row r="55" spans="1:19">
      <c r="A55" s="878"/>
      <c r="B55" s="125"/>
      <c r="C55" s="48">
        <f t="shared" si="7"/>
        <v>1</v>
      </c>
      <c r="D55" s="877"/>
      <c r="E55" s="48">
        <f t="shared" si="8"/>
        <v>1</v>
      </c>
      <c r="F55" s="877"/>
      <c r="G55" s="48">
        <f t="shared" si="9"/>
        <v>1</v>
      </c>
      <c r="H55" s="877"/>
      <c r="I55" s="48">
        <f t="shared" si="10"/>
        <v>1</v>
      </c>
      <c r="J55" s="877"/>
      <c r="K55" s="48">
        <f t="shared" si="11"/>
        <v>1</v>
      </c>
      <c r="L55" s="877"/>
      <c r="M55" s="48">
        <f t="shared" si="12"/>
        <v>1</v>
      </c>
      <c r="N55" s="877"/>
      <c r="O55" s="48">
        <f t="shared" si="13"/>
        <v>1</v>
      </c>
      <c r="P55" s="877"/>
      <c r="Q55" s="48">
        <f t="shared" si="14"/>
        <v>1</v>
      </c>
      <c r="R55" s="48">
        <f t="shared" si="15"/>
        <v>0</v>
      </c>
      <c r="S55" s="733">
        <f t="shared" ref="S55:S77" si="16">ROUND(R55*B55/10000,0)</f>
        <v>0</v>
      </c>
    </row>
    <row r="56" spans="1:19">
      <c r="A56" s="878"/>
      <c r="B56" s="125"/>
      <c r="C56" s="48">
        <f t="shared" si="7"/>
        <v>1</v>
      </c>
      <c r="D56" s="877"/>
      <c r="E56" s="48">
        <f t="shared" si="8"/>
        <v>1</v>
      </c>
      <c r="F56" s="877"/>
      <c r="G56" s="48">
        <f t="shared" si="9"/>
        <v>1</v>
      </c>
      <c r="H56" s="877"/>
      <c r="I56" s="48">
        <f t="shared" si="10"/>
        <v>1</v>
      </c>
      <c r="J56" s="877"/>
      <c r="K56" s="48">
        <f t="shared" si="11"/>
        <v>1</v>
      </c>
      <c r="L56" s="877"/>
      <c r="M56" s="48">
        <f t="shared" si="12"/>
        <v>1</v>
      </c>
      <c r="N56" s="877"/>
      <c r="O56" s="48">
        <f t="shared" si="13"/>
        <v>1</v>
      </c>
      <c r="P56" s="877"/>
      <c r="Q56" s="48">
        <f t="shared" si="14"/>
        <v>1</v>
      </c>
      <c r="R56" s="48">
        <f t="shared" si="15"/>
        <v>0</v>
      </c>
      <c r="S56" s="733">
        <f t="shared" si="16"/>
        <v>0</v>
      </c>
    </row>
    <row r="57" spans="1:19">
      <c r="A57" s="878"/>
      <c r="B57" s="125"/>
      <c r="C57" s="48">
        <f t="shared" si="7"/>
        <v>1</v>
      </c>
      <c r="D57" s="877"/>
      <c r="E57" s="48">
        <f t="shared" si="8"/>
        <v>1</v>
      </c>
      <c r="F57" s="877"/>
      <c r="G57" s="48">
        <f t="shared" si="9"/>
        <v>1</v>
      </c>
      <c r="H57" s="877"/>
      <c r="I57" s="48">
        <f t="shared" si="10"/>
        <v>1</v>
      </c>
      <c r="J57" s="877"/>
      <c r="K57" s="48">
        <f t="shared" si="11"/>
        <v>1</v>
      </c>
      <c r="L57" s="877"/>
      <c r="M57" s="48">
        <f t="shared" si="12"/>
        <v>1</v>
      </c>
      <c r="N57" s="877"/>
      <c r="O57" s="48">
        <f t="shared" si="13"/>
        <v>1</v>
      </c>
      <c r="P57" s="877"/>
      <c r="Q57" s="48">
        <f t="shared" si="14"/>
        <v>1</v>
      </c>
      <c r="R57" s="48">
        <f t="shared" si="15"/>
        <v>0</v>
      </c>
      <c r="S57" s="733">
        <f t="shared" si="16"/>
        <v>0</v>
      </c>
    </row>
    <row r="58" spans="1:19">
      <c r="A58" s="878"/>
      <c r="B58" s="125"/>
      <c r="C58" s="48">
        <f t="shared" si="7"/>
        <v>1</v>
      </c>
      <c r="D58" s="877"/>
      <c r="E58" s="48">
        <f t="shared" si="8"/>
        <v>1</v>
      </c>
      <c r="F58" s="877"/>
      <c r="G58" s="48">
        <f t="shared" si="9"/>
        <v>1</v>
      </c>
      <c r="H58" s="877"/>
      <c r="I58" s="48">
        <f t="shared" si="10"/>
        <v>1</v>
      </c>
      <c r="J58" s="877"/>
      <c r="K58" s="48">
        <f t="shared" si="11"/>
        <v>1</v>
      </c>
      <c r="L58" s="877"/>
      <c r="M58" s="48">
        <f t="shared" si="12"/>
        <v>1</v>
      </c>
      <c r="N58" s="877"/>
      <c r="O58" s="48">
        <f t="shared" si="13"/>
        <v>1</v>
      </c>
      <c r="P58" s="877"/>
      <c r="Q58" s="48">
        <f t="shared" si="14"/>
        <v>1</v>
      </c>
      <c r="R58" s="48">
        <f t="shared" si="15"/>
        <v>0</v>
      </c>
      <c r="S58" s="733">
        <f t="shared" si="16"/>
        <v>0</v>
      </c>
    </row>
    <row r="59" spans="1:19">
      <c r="A59" s="878"/>
      <c r="B59" s="125"/>
      <c r="C59" s="48">
        <f t="shared" si="7"/>
        <v>1</v>
      </c>
      <c r="D59" s="877"/>
      <c r="E59" s="48">
        <f t="shared" si="8"/>
        <v>1</v>
      </c>
      <c r="F59" s="877"/>
      <c r="G59" s="48">
        <f t="shared" si="9"/>
        <v>1</v>
      </c>
      <c r="H59" s="877"/>
      <c r="I59" s="48">
        <f t="shared" si="10"/>
        <v>1</v>
      </c>
      <c r="J59" s="877"/>
      <c r="K59" s="48">
        <f t="shared" si="11"/>
        <v>1</v>
      </c>
      <c r="L59" s="877"/>
      <c r="M59" s="48">
        <f t="shared" si="12"/>
        <v>1</v>
      </c>
      <c r="N59" s="877"/>
      <c r="O59" s="48">
        <f t="shared" si="13"/>
        <v>1</v>
      </c>
      <c r="P59" s="877"/>
      <c r="Q59" s="48">
        <f t="shared" si="14"/>
        <v>1</v>
      </c>
      <c r="R59" s="48">
        <f t="shared" si="15"/>
        <v>0</v>
      </c>
      <c r="S59" s="733">
        <f t="shared" si="16"/>
        <v>0</v>
      </c>
    </row>
    <row r="60" spans="1:19">
      <c r="A60" s="878"/>
      <c r="B60" s="125"/>
      <c r="C60" s="48">
        <f t="shared" si="7"/>
        <v>1</v>
      </c>
      <c r="D60" s="877"/>
      <c r="E60" s="48">
        <f t="shared" si="8"/>
        <v>1</v>
      </c>
      <c r="F60" s="877"/>
      <c r="G60" s="48">
        <f t="shared" si="9"/>
        <v>1</v>
      </c>
      <c r="H60" s="877"/>
      <c r="I60" s="48">
        <f t="shared" si="10"/>
        <v>1</v>
      </c>
      <c r="J60" s="877"/>
      <c r="K60" s="48">
        <f t="shared" si="11"/>
        <v>1</v>
      </c>
      <c r="L60" s="877"/>
      <c r="M60" s="48">
        <f t="shared" si="12"/>
        <v>1</v>
      </c>
      <c r="N60" s="877"/>
      <c r="O60" s="48">
        <f t="shared" si="13"/>
        <v>1</v>
      </c>
      <c r="P60" s="877"/>
      <c r="Q60" s="48">
        <f t="shared" si="14"/>
        <v>1</v>
      </c>
      <c r="R60" s="48">
        <f t="shared" si="15"/>
        <v>0</v>
      </c>
      <c r="S60" s="733">
        <f t="shared" si="16"/>
        <v>0</v>
      </c>
    </row>
    <row r="61" spans="1:19">
      <c r="A61" s="878"/>
      <c r="B61" s="125"/>
      <c r="C61" s="48">
        <f t="shared" si="7"/>
        <v>1</v>
      </c>
      <c r="D61" s="877"/>
      <c r="E61" s="48">
        <f t="shared" si="8"/>
        <v>1</v>
      </c>
      <c r="F61" s="877"/>
      <c r="G61" s="48">
        <f t="shared" si="9"/>
        <v>1</v>
      </c>
      <c r="H61" s="877"/>
      <c r="I61" s="48">
        <f t="shared" si="10"/>
        <v>1</v>
      </c>
      <c r="J61" s="877"/>
      <c r="K61" s="48">
        <f t="shared" si="11"/>
        <v>1</v>
      </c>
      <c r="L61" s="877"/>
      <c r="M61" s="48">
        <f t="shared" si="12"/>
        <v>1</v>
      </c>
      <c r="N61" s="877"/>
      <c r="O61" s="48">
        <f t="shared" si="13"/>
        <v>1</v>
      </c>
      <c r="P61" s="877"/>
      <c r="Q61" s="48">
        <f t="shared" si="14"/>
        <v>1</v>
      </c>
      <c r="R61" s="48">
        <f t="shared" si="15"/>
        <v>0</v>
      </c>
      <c r="S61" s="733">
        <f t="shared" si="16"/>
        <v>0</v>
      </c>
    </row>
    <row r="62" spans="1:19">
      <c r="A62" s="878"/>
      <c r="B62" s="125"/>
      <c r="C62" s="48">
        <f t="shared" si="7"/>
        <v>1</v>
      </c>
      <c r="D62" s="877"/>
      <c r="E62" s="48">
        <f t="shared" si="8"/>
        <v>1</v>
      </c>
      <c r="F62" s="877"/>
      <c r="G62" s="48">
        <f t="shared" si="9"/>
        <v>1</v>
      </c>
      <c r="H62" s="877"/>
      <c r="I62" s="48">
        <f t="shared" si="10"/>
        <v>1</v>
      </c>
      <c r="J62" s="877"/>
      <c r="K62" s="48">
        <f t="shared" si="11"/>
        <v>1</v>
      </c>
      <c r="L62" s="877"/>
      <c r="M62" s="48">
        <f t="shared" si="12"/>
        <v>1</v>
      </c>
      <c r="N62" s="877"/>
      <c r="O62" s="48">
        <f t="shared" si="13"/>
        <v>1</v>
      </c>
      <c r="P62" s="877"/>
      <c r="Q62" s="48">
        <f t="shared" si="14"/>
        <v>1</v>
      </c>
      <c r="R62" s="48">
        <f t="shared" si="15"/>
        <v>0</v>
      </c>
      <c r="S62" s="733">
        <f t="shared" si="16"/>
        <v>0</v>
      </c>
    </row>
    <row r="63" spans="1:19">
      <c r="A63" s="878"/>
      <c r="B63" s="125"/>
      <c r="C63" s="48">
        <f t="shared" si="7"/>
        <v>1</v>
      </c>
      <c r="D63" s="877"/>
      <c r="E63" s="48">
        <f t="shared" si="8"/>
        <v>1</v>
      </c>
      <c r="F63" s="877"/>
      <c r="G63" s="48">
        <f t="shared" si="9"/>
        <v>1</v>
      </c>
      <c r="H63" s="877"/>
      <c r="I63" s="48">
        <f t="shared" si="10"/>
        <v>1</v>
      </c>
      <c r="J63" s="877"/>
      <c r="K63" s="48">
        <f t="shared" si="11"/>
        <v>1</v>
      </c>
      <c r="L63" s="877"/>
      <c r="M63" s="48">
        <f t="shared" si="12"/>
        <v>1</v>
      </c>
      <c r="N63" s="877"/>
      <c r="O63" s="48">
        <f t="shared" si="13"/>
        <v>1</v>
      </c>
      <c r="P63" s="877"/>
      <c r="Q63" s="48">
        <f t="shared" si="14"/>
        <v>1</v>
      </c>
      <c r="R63" s="48">
        <f t="shared" si="15"/>
        <v>0</v>
      </c>
      <c r="S63" s="733">
        <f t="shared" si="16"/>
        <v>0</v>
      </c>
    </row>
    <row r="64" spans="1:19">
      <c r="A64" s="878"/>
      <c r="B64" s="125"/>
      <c r="C64" s="48">
        <f t="shared" si="7"/>
        <v>1</v>
      </c>
      <c r="D64" s="877"/>
      <c r="E64" s="48">
        <f t="shared" si="8"/>
        <v>1</v>
      </c>
      <c r="F64" s="877"/>
      <c r="G64" s="48">
        <f t="shared" si="9"/>
        <v>1</v>
      </c>
      <c r="H64" s="877"/>
      <c r="I64" s="48">
        <f t="shared" si="10"/>
        <v>1</v>
      </c>
      <c r="J64" s="877"/>
      <c r="K64" s="48">
        <f t="shared" si="11"/>
        <v>1</v>
      </c>
      <c r="L64" s="877"/>
      <c r="M64" s="48">
        <f t="shared" si="12"/>
        <v>1</v>
      </c>
      <c r="N64" s="877"/>
      <c r="O64" s="48">
        <f t="shared" si="13"/>
        <v>1</v>
      </c>
      <c r="P64" s="877"/>
      <c r="Q64" s="48">
        <f t="shared" si="14"/>
        <v>1</v>
      </c>
      <c r="R64" s="48">
        <f t="shared" si="15"/>
        <v>0</v>
      </c>
      <c r="S64" s="733">
        <f t="shared" si="16"/>
        <v>0</v>
      </c>
    </row>
    <row r="65" spans="1:19">
      <c r="A65" s="878"/>
      <c r="B65" s="125"/>
      <c r="C65" s="48">
        <f t="shared" si="7"/>
        <v>1</v>
      </c>
      <c r="D65" s="877"/>
      <c r="E65" s="48">
        <f t="shared" si="8"/>
        <v>1</v>
      </c>
      <c r="F65" s="877"/>
      <c r="G65" s="48">
        <f t="shared" si="9"/>
        <v>1</v>
      </c>
      <c r="H65" s="877"/>
      <c r="I65" s="48">
        <f t="shared" si="10"/>
        <v>1</v>
      </c>
      <c r="J65" s="877"/>
      <c r="K65" s="48">
        <f t="shared" si="11"/>
        <v>1</v>
      </c>
      <c r="L65" s="877"/>
      <c r="M65" s="48">
        <f t="shared" si="12"/>
        <v>1</v>
      </c>
      <c r="N65" s="877"/>
      <c r="O65" s="48">
        <f t="shared" si="13"/>
        <v>1</v>
      </c>
      <c r="P65" s="877"/>
      <c r="Q65" s="48">
        <f t="shared" si="14"/>
        <v>1</v>
      </c>
      <c r="R65" s="48">
        <f t="shared" si="15"/>
        <v>0</v>
      </c>
      <c r="S65" s="733">
        <f t="shared" si="16"/>
        <v>0</v>
      </c>
    </row>
    <row r="66" spans="1:19">
      <c r="A66" s="878"/>
      <c r="B66" s="125"/>
      <c r="C66" s="48">
        <f t="shared" si="7"/>
        <v>1</v>
      </c>
      <c r="D66" s="877"/>
      <c r="E66" s="48">
        <f t="shared" si="8"/>
        <v>1</v>
      </c>
      <c r="F66" s="877"/>
      <c r="G66" s="48">
        <f t="shared" si="9"/>
        <v>1</v>
      </c>
      <c r="H66" s="877"/>
      <c r="I66" s="48">
        <f t="shared" si="10"/>
        <v>1</v>
      </c>
      <c r="J66" s="877"/>
      <c r="K66" s="48">
        <f t="shared" si="11"/>
        <v>1</v>
      </c>
      <c r="L66" s="877"/>
      <c r="M66" s="48">
        <f t="shared" si="12"/>
        <v>1</v>
      </c>
      <c r="N66" s="877"/>
      <c r="O66" s="48">
        <f t="shared" si="13"/>
        <v>1</v>
      </c>
      <c r="P66" s="877"/>
      <c r="Q66" s="48">
        <f t="shared" si="14"/>
        <v>1</v>
      </c>
      <c r="R66" s="48">
        <f t="shared" si="15"/>
        <v>0</v>
      </c>
      <c r="S66" s="733">
        <f t="shared" si="16"/>
        <v>0</v>
      </c>
    </row>
    <row r="67" spans="1:19">
      <c r="A67" s="878"/>
      <c r="B67" s="125"/>
      <c r="C67" s="48">
        <f t="shared" si="7"/>
        <v>1</v>
      </c>
      <c r="D67" s="877"/>
      <c r="E67" s="48">
        <f t="shared" si="8"/>
        <v>1</v>
      </c>
      <c r="F67" s="877"/>
      <c r="G67" s="48">
        <f t="shared" si="9"/>
        <v>1</v>
      </c>
      <c r="H67" s="877"/>
      <c r="I67" s="48">
        <f t="shared" si="10"/>
        <v>1</v>
      </c>
      <c r="J67" s="877"/>
      <c r="K67" s="48">
        <f t="shared" si="11"/>
        <v>1</v>
      </c>
      <c r="L67" s="877"/>
      <c r="M67" s="48">
        <f t="shared" si="12"/>
        <v>1</v>
      </c>
      <c r="N67" s="877"/>
      <c r="O67" s="48">
        <f t="shared" si="13"/>
        <v>1</v>
      </c>
      <c r="P67" s="877"/>
      <c r="Q67" s="48">
        <f t="shared" si="14"/>
        <v>1</v>
      </c>
      <c r="R67" s="48">
        <f t="shared" si="15"/>
        <v>0</v>
      </c>
      <c r="S67" s="733">
        <f t="shared" si="16"/>
        <v>0</v>
      </c>
    </row>
    <row r="68" spans="1:19">
      <c r="A68" s="878"/>
      <c r="B68" s="125"/>
      <c r="C68" s="48">
        <f t="shared" si="7"/>
        <v>1</v>
      </c>
      <c r="D68" s="877"/>
      <c r="E68" s="48">
        <f t="shared" si="8"/>
        <v>1</v>
      </c>
      <c r="F68" s="877"/>
      <c r="G68" s="48">
        <f t="shared" si="9"/>
        <v>1</v>
      </c>
      <c r="H68" s="877"/>
      <c r="I68" s="48">
        <f t="shared" si="10"/>
        <v>1</v>
      </c>
      <c r="J68" s="877"/>
      <c r="K68" s="48">
        <f t="shared" si="11"/>
        <v>1</v>
      </c>
      <c r="L68" s="877"/>
      <c r="M68" s="48">
        <f t="shared" si="12"/>
        <v>1</v>
      </c>
      <c r="N68" s="877"/>
      <c r="O68" s="48">
        <f t="shared" si="13"/>
        <v>1</v>
      </c>
      <c r="P68" s="877"/>
      <c r="Q68" s="48">
        <f t="shared" si="14"/>
        <v>1</v>
      </c>
      <c r="R68" s="48">
        <f t="shared" si="15"/>
        <v>0</v>
      </c>
      <c r="S68" s="733">
        <f t="shared" si="16"/>
        <v>0</v>
      </c>
    </row>
    <row r="69" spans="1:19">
      <c r="A69" s="878"/>
      <c r="B69" s="125"/>
      <c r="C69" s="48">
        <f t="shared" si="7"/>
        <v>1</v>
      </c>
      <c r="D69" s="877"/>
      <c r="E69" s="48">
        <f t="shared" si="8"/>
        <v>1</v>
      </c>
      <c r="F69" s="877"/>
      <c r="G69" s="48">
        <f t="shared" si="9"/>
        <v>1</v>
      </c>
      <c r="H69" s="877"/>
      <c r="I69" s="48">
        <f t="shared" si="10"/>
        <v>1</v>
      </c>
      <c r="J69" s="877"/>
      <c r="K69" s="48">
        <f t="shared" si="11"/>
        <v>1</v>
      </c>
      <c r="L69" s="877"/>
      <c r="M69" s="48">
        <f t="shared" si="12"/>
        <v>1</v>
      </c>
      <c r="N69" s="877"/>
      <c r="O69" s="48">
        <f t="shared" si="13"/>
        <v>1</v>
      </c>
      <c r="P69" s="877"/>
      <c r="Q69" s="48">
        <f t="shared" si="14"/>
        <v>1</v>
      </c>
      <c r="R69" s="48">
        <f t="shared" si="15"/>
        <v>0</v>
      </c>
      <c r="S69" s="733">
        <f t="shared" si="16"/>
        <v>0</v>
      </c>
    </row>
    <row r="70" spans="1:19">
      <c r="A70" s="878"/>
      <c r="B70" s="125"/>
      <c r="C70" s="48">
        <f t="shared" si="7"/>
        <v>1</v>
      </c>
      <c r="D70" s="877"/>
      <c r="E70" s="48">
        <f t="shared" si="8"/>
        <v>1</v>
      </c>
      <c r="F70" s="877"/>
      <c r="G70" s="48">
        <f t="shared" si="9"/>
        <v>1</v>
      </c>
      <c r="H70" s="877"/>
      <c r="I70" s="48">
        <f t="shared" si="10"/>
        <v>1</v>
      </c>
      <c r="J70" s="877"/>
      <c r="K70" s="48">
        <f t="shared" si="11"/>
        <v>1</v>
      </c>
      <c r="L70" s="877"/>
      <c r="M70" s="48">
        <f t="shared" si="12"/>
        <v>1</v>
      </c>
      <c r="N70" s="877"/>
      <c r="O70" s="48">
        <f t="shared" si="13"/>
        <v>1</v>
      </c>
      <c r="P70" s="877"/>
      <c r="Q70" s="48">
        <f t="shared" si="14"/>
        <v>1</v>
      </c>
      <c r="R70" s="48">
        <f t="shared" si="15"/>
        <v>0</v>
      </c>
      <c r="S70" s="733">
        <f t="shared" si="16"/>
        <v>0</v>
      </c>
    </row>
    <row r="71" spans="1:19">
      <c r="A71" s="878"/>
      <c r="B71" s="125"/>
      <c r="C71" s="48">
        <f t="shared" si="7"/>
        <v>1</v>
      </c>
      <c r="D71" s="877"/>
      <c r="E71" s="48">
        <f t="shared" si="8"/>
        <v>1</v>
      </c>
      <c r="F71" s="877"/>
      <c r="G71" s="48">
        <f t="shared" si="9"/>
        <v>1</v>
      </c>
      <c r="H71" s="877"/>
      <c r="I71" s="48">
        <f t="shared" si="10"/>
        <v>1</v>
      </c>
      <c r="J71" s="877"/>
      <c r="K71" s="48">
        <f t="shared" si="11"/>
        <v>1</v>
      </c>
      <c r="L71" s="877"/>
      <c r="M71" s="48">
        <f t="shared" si="12"/>
        <v>1</v>
      </c>
      <c r="N71" s="877"/>
      <c r="O71" s="48">
        <f t="shared" si="13"/>
        <v>1</v>
      </c>
      <c r="P71" s="877"/>
      <c r="Q71" s="48">
        <f t="shared" si="14"/>
        <v>1</v>
      </c>
      <c r="R71" s="48">
        <f t="shared" si="15"/>
        <v>0</v>
      </c>
      <c r="S71" s="733">
        <f t="shared" si="16"/>
        <v>0</v>
      </c>
    </row>
    <row r="72" spans="1:19">
      <c r="A72" s="878"/>
      <c r="B72" s="125"/>
      <c r="C72" s="48">
        <f t="shared" si="7"/>
        <v>1</v>
      </c>
      <c r="D72" s="877"/>
      <c r="E72" s="48">
        <f t="shared" si="8"/>
        <v>1</v>
      </c>
      <c r="F72" s="877"/>
      <c r="G72" s="48">
        <f t="shared" si="9"/>
        <v>1</v>
      </c>
      <c r="H72" s="877"/>
      <c r="I72" s="48">
        <f t="shared" si="10"/>
        <v>1</v>
      </c>
      <c r="J72" s="877"/>
      <c r="K72" s="48">
        <f t="shared" si="11"/>
        <v>1</v>
      </c>
      <c r="L72" s="877"/>
      <c r="M72" s="48">
        <f t="shared" si="12"/>
        <v>1</v>
      </c>
      <c r="N72" s="877"/>
      <c r="O72" s="48">
        <f t="shared" si="13"/>
        <v>1</v>
      </c>
      <c r="P72" s="877"/>
      <c r="Q72" s="48">
        <f t="shared" si="14"/>
        <v>1</v>
      </c>
      <c r="R72" s="48">
        <f t="shared" si="15"/>
        <v>0</v>
      </c>
      <c r="S72" s="733">
        <f t="shared" si="16"/>
        <v>0</v>
      </c>
    </row>
    <row r="73" spans="1:19">
      <c r="A73" s="878"/>
      <c r="B73" s="125"/>
      <c r="C73" s="48">
        <f t="shared" si="7"/>
        <v>1</v>
      </c>
      <c r="D73" s="877"/>
      <c r="E73" s="48">
        <f t="shared" si="8"/>
        <v>1</v>
      </c>
      <c r="F73" s="877"/>
      <c r="G73" s="48">
        <f t="shared" si="9"/>
        <v>1</v>
      </c>
      <c r="H73" s="877"/>
      <c r="I73" s="48">
        <f t="shared" si="10"/>
        <v>1</v>
      </c>
      <c r="J73" s="877"/>
      <c r="K73" s="48">
        <f t="shared" si="11"/>
        <v>1</v>
      </c>
      <c r="L73" s="877"/>
      <c r="M73" s="48">
        <f t="shared" si="12"/>
        <v>1</v>
      </c>
      <c r="N73" s="877"/>
      <c r="O73" s="48">
        <f t="shared" si="13"/>
        <v>1</v>
      </c>
      <c r="P73" s="877"/>
      <c r="Q73" s="48">
        <f t="shared" si="14"/>
        <v>1</v>
      </c>
      <c r="R73" s="48">
        <f t="shared" si="15"/>
        <v>0</v>
      </c>
      <c r="S73" s="733">
        <f t="shared" si="16"/>
        <v>0</v>
      </c>
    </row>
    <row r="74" spans="1:19">
      <c r="A74" s="878"/>
      <c r="B74" s="125"/>
      <c r="C74" s="48">
        <f t="shared" si="7"/>
        <v>1</v>
      </c>
      <c r="D74" s="877"/>
      <c r="E74" s="48">
        <f t="shared" si="8"/>
        <v>1</v>
      </c>
      <c r="F74" s="877"/>
      <c r="G74" s="48">
        <f t="shared" si="9"/>
        <v>1</v>
      </c>
      <c r="H74" s="877"/>
      <c r="I74" s="48">
        <f t="shared" si="10"/>
        <v>1</v>
      </c>
      <c r="J74" s="877"/>
      <c r="K74" s="48">
        <f t="shared" si="11"/>
        <v>1</v>
      </c>
      <c r="L74" s="877"/>
      <c r="M74" s="48">
        <f t="shared" si="12"/>
        <v>1</v>
      </c>
      <c r="N74" s="877"/>
      <c r="O74" s="48">
        <f t="shared" si="13"/>
        <v>1</v>
      </c>
      <c r="P74" s="877"/>
      <c r="Q74" s="48">
        <f t="shared" si="14"/>
        <v>1</v>
      </c>
      <c r="R74" s="48">
        <f t="shared" si="15"/>
        <v>0</v>
      </c>
      <c r="S74" s="733">
        <f t="shared" si="16"/>
        <v>0</v>
      </c>
    </row>
    <row r="75" spans="1:19">
      <c r="A75" s="878"/>
      <c r="B75" s="125"/>
      <c r="C75" s="48">
        <f t="shared" si="7"/>
        <v>1</v>
      </c>
      <c r="D75" s="877"/>
      <c r="E75" s="48">
        <f t="shared" si="8"/>
        <v>1</v>
      </c>
      <c r="F75" s="877"/>
      <c r="G75" s="48">
        <f t="shared" si="9"/>
        <v>1</v>
      </c>
      <c r="H75" s="877"/>
      <c r="I75" s="48">
        <f t="shared" si="10"/>
        <v>1</v>
      </c>
      <c r="J75" s="877"/>
      <c r="K75" s="48">
        <f t="shared" si="11"/>
        <v>1</v>
      </c>
      <c r="L75" s="877"/>
      <c r="M75" s="48">
        <f t="shared" si="12"/>
        <v>1</v>
      </c>
      <c r="N75" s="877"/>
      <c r="O75" s="48">
        <f t="shared" si="13"/>
        <v>1</v>
      </c>
      <c r="P75" s="877"/>
      <c r="Q75" s="48">
        <f t="shared" si="14"/>
        <v>1</v>
      </c>
      <c r="R75" s="48">
        <f t="shared" si="15"/>
        <v>0</v>
      </c>
      <c r="S75" s="733">
        <f t="shared" si="16"/>
        <v>0</v>
      </c>
    </row>
    <row r="76" spans="1:19">
      <c r="A76" s="878"/>
      <c r="B76" s="125"/>
      <c r="C76" s="48">
        <f t="shared" si="7"/>
        <v>1</v>
      </c>
      <c r="D76" s="877"/>
      <c r="E76" s="48">
        <f t="shared" si="8"/>
        <v>1</v>
      </c>
      <c r="F76" s="877"/>
      <c r="G76" s="48">
        <f t="shared" si="9"/>
        <v>1</v>
      </c>
      <c r="H76" s="877"/>
      <c r="I76" s="48">
        <f t="shared" si="10"/>
        <v>1</v>
      </c>
      <c r="J76" s="877"/>
      <c r="K76" s="48">
        <f t="shared" si="11"/>
        <v>1</v>
      </c>
      <c r="L76" s="877"/>
      <c r="M76" s="48">
        <f t="shared" si="12"/>
        <v>1</v>
      </c>
      <c r="N76" s="877"/>
      <c r="O76" s="48">
        <f t="shared" si="13"/>
        <v>1</v>
      </c>
      <c r="P76" s="877"/>
      <c r="Q76" s="48">
        <f t="shared" si="14"/>
        <v>1</v>
      </c>
      <c r="R76" s="48">
        <f t="shared" si="15"/>
        <v>0</v>
      </c>
      <c r="S76" s="733">
        <f t="shared" si="16"/>
        <v>0</v>
      </c>
    </row>
    <row r="77" spans="1:19">
      <c r="A77" s="878"/>
      <c r="B77" s="125"/>
      <c r="C77" s="48">
        <f t="shared" si="7"/>
        <v>1</v>
      </c>
      <c r="D77" s="877"/>
      <c r="E77" s="48">
        <f t="shared" si="8"/>
        <v>1</v>
      </c>
      <c r="F77" s="877"/>
      <c r="G77" s="48">
        <f t="shared" si="9"/>
        <v>1</v>
      </c>
      <c r="H77" s="877"/>
      <c r="I77" s="48">
        <f t="shared" si="10"/>
        <v>1</v>
      </c>
      <c r="J77" s="877"/>
      <c r="K77" s="48">
        <f t="shared" si="11"/>
        <v>1</v>
      </c>
      <c r="L77" s="877"/>
      <c r="M77" s="48">
        <f t="shared" si="12"/>
        <v>1</v>
      </c>
      <c r="N77" s="877"/>
      <c r="O77" s="48">
        <f t="shared" si="13"/>
        <v>1</v>
      </c>
      <c r="P77" s="877"/>
      <c r="Q77" s="48">
        <f t="shared" si="14"/>
        <v>1</v>
      </c>
      <c r="R77" s="48">
        <f t="shared" si="15"/>
        <v>0</v>
      </c>
      <c r="S77" s="733">
        <f t="shared" si="16"/>
        <v>0</v>
      </c>
    </row>
    <row r="78" spans="1:19">
      <c r="A78" s="878"/>
      <c r="B78" s="125"/>
      <c r="C78" s="48">
        <f t="shared" si="7"/>
        <v>1</v>
      </c>
      <c r="D78" s="877"/>
      <c r="E78" s="48">
        <f t="shared" si="8"/>
        <v>1</v>
      </c>
      <c r="F78" s="877"/>
      <c r="G78" s="48">
        <f t="shared" si="9"/>
        <v>1</v>
      </c>
      <c r="H78" s="877"/>
      <c r="I78" s="48">
        <f t="shared" si="10"/>
        <v>1</v>
      </c>
      <c r="J78" s="877"/>
      <c r="K78" s="48">
        <f t="shared" si="11"/>
        <v>1</v>
      </c>
      <c r="L78" s="877"/>
      <c r="M78" s="48">
        <f t="shared" si="12"/>
        <v>1</v>
      </c>
      <c r="N78" s="877"/>
      <c r="O78" s="48">
        <f t="shared" si="13"/>
        <v>1</v>
      </c>
      <c r="P78" s="877"/>
      <c r="Q78" s="48">
        <f t="shared" si="14"/>
        <v>1</v>
      </c>
      <c r="R78" s="48">
        <f t="shared" si="15"/>
        <v>0</v>
      </c>
      <c r="S78" s="733">
        <f t="shared" ref="S78:S122" si="17">ROUND(R78*B78/10000,0)</f>
        <v>0</v>
      </c>
    </row>
    <row r="79" spans="1:19">
      <c r="A79" s="878"/>
      <c r="B79" s="125"/>
      <c r="C79" s="48">
        <f t="shared" si="7"/>
        <v>1</v>
      </c>
      <c r="D79" s="877"/>
      <c r="E79" s="48">
        <f t="shared" si="8"/>
        <v>1</v>
      </c>
      <c r="F79" s="877"/>
      <c r="G79" s="48">
        <f t="shared" si="9"/>
        <v>1</v>
      </c>
      <c r="H79" s="877"/>
      <c r="I79" s="48">
        <f t="shared" si="10"/>
        <v>1</v>
      </c>
      <c r="J79" s="877"/>
      <c r="K79" s="48">
        <f t="shared" si="11"/>
        <v>1</v>
      </c>
      <c r="L79" s="877"/>
      <c r="M79" s="48">
        <f t="shared" si="12"/>
        <v>1</v>
      </c>
      <c r="N79" s="877"/>
      <c r="O79" s="48">
        <f t="shared" si="13"/>
        <v>1</v>
      </c>
      <c r="P79" s="877"/>
      <c r="Q79" s="48">
        <f t="shared" si="14"/>
        <v>1</v>
      </c>
      <c r="R79" s="48">
        <f t="shared" si="15"/>
        <v>0</v>
      </c>
      <c r="S79" s="733">
        <f t="shared" si="17"/>
        <v>0</v>
      </c>
    </row>
    <row r="80" spans="1:19">
      <c r="A80" s="878"/>
      <c r="B80" s="125"/>
      <c r="C80" s="48">
        <f t="shared" si="7"/>
        <v>1</v>
      </c>
      <c r="D80" s="877"/>
      <c r="E80" s="48">
        <f t="shared" si="8"/>
        <v>1</v>
      </c>
      <c r="F80" s="877"/>
      <c r="G80" s="48">
        <f t="shared" si="9"/>
        <v>1</v>
      </c>
      <c r="H80" s="877"/>
      <c r="I80" s="48">
        <f t="shared" si="10"/>
        <v>1</v>
      </c>
      <c r="J80" s="877"/>
      <c r="K80" s="48">
        <f t="shared" si="11"/>
        <v>1</v>
      </c>
      <c r="L80" s="877"/>
      <c r="M80" s="48">
        <f t="shared" si="12"/>
        <v>1</v>
      </c>
      <c r="N80" s="877"/>
      <c r="O80" s="48">
        <f t="shared" si="13"/>
        <v>1</v>
      </c>
      <c r="P80" s="877"/>
      <c r="Q80" s="48">
        <f t="shared" si="14"/>
        <v>1</v>
      </c>
      <c r="R80" s="48">
        <f t="shared" si="15"/>
        <v>0</v>
      </c>
      <c r="S80" s="733">
        <f t="shared" si="17"/>
        <v>0</v>
      </c>
    </row>
    <row r="81" spans="1:19">
      <c r="A81" s="878"/>
      <c r="B81" s="125"/>
      <c r="C81" s="48">
        <f t="shared" si="7"/>
        <v>1</v>
      </c>
      <c r="D81" s="877"/>
      <c r="E81" s="48">
        <f t="shared" si="8"/>
        <v>1</v>
      </c>
      <c r="F81" s="877"/>
      <c r="G81" s="48">
        <f t="shared" si="9"/>
        <v>1</v>
      </c>
      <c r="H81" s="877"/>
      <c r="I81" s="48">
        <f t="shared" si="10"/>
        <v>1</v>
      </c>
      <c r="J81" s="877"/>
      <c r="K81" s="48">
        <f t="shared" si="11"/>
        <v>1</v>
      </c>
      <c r="L81" s="877"/>
      <c r="M81" s="48">
        <f t="shared" si="12"/>
        <v>1</v>
      </c>
      <c r="N81" s="877"/>
      <c r="O81" s="48">
        <f t="shared" si="13"/>
        <v>1</v>
      </c>
      <c r="P81" s="877"/>
      <c r="Q81" s="48">
        <f t="shared" si="14"/>
        <v>1</v>
      </c>
      <c r="R81" s="48">
        <f t="shared" si="15"/>
        <v>0</v>
      </c>
      <c r="S81" s="733">
        <f t="shared" si="17"/>
        <v>0</v>
      </c>
    </row>
    <row r="82" spans="1:19">
      <c r="A82" s="878"/>
      <c r="B82" s="125"/>
      <c r="C82" s="48">
        <f t="shared" si="7"/>
        <v>1</v>
      </c>
      <c r="D82" s="877"/>
      <c r="E82" s="48">
        <f t="shared" si="8"/>
        <v>1</v>
      </c>
      <c r="F82" s="877"/>
      <c r="G82" s="48">
        <f t="shared" si="9"/>
        <v>1</v>
      </c>
      <c r="H82" s="877"/>
      <c r="I82" s="48">
        <f t="shared" si="10"/>
        <v>1</v>
      </c>
      <c r="J82" s="877"/>
      <c r="K82" s="48">
        <f t="shared" si="11"/>
        <v>1</v>
      </c>
      <c r="L82" s="877"/>
      <c r="M82" s="48">
        <f t="shared" si="12"/>
        <v>1</v>
      </c>
      <c r="N82" s="877"/>
      <c r="O82" s="48">
        <f t="shared" si="13"/>
        <v>1</v>
      </c>
      <c r="P82" s="877"/>
      <c r="Q82" s="48">
        <f t="shared" si="14"/>
        <v>1</v>
      </c>
      <c r="R82" s="48">
        <f t="shared" si="15"/>
        <v>0</v>
      </c>
      <c r="S82" s="733">
        <f t="shared" si="17"/>
        <v>0</v>
      </c>
    </row>
    <row r="83" spans="1:19">
      <c r="A83" s="878"/>
      <c r="B83" s="125"/>
      <c r="C83" s="48">
        <f t="shared" si="7"/>
        <v>1</v>
      </c>
      <c r="D83" s="877"/>
      <c r="E83" s="48">
        <f t="shared" si="8"/>
        <v>1</v>
      </c>
      <c r="F83" s="877"/>
      <c r="G83" s="48">
        <f t="shared" si="9"/>
        <v>1</v>
      </c>
      <c r="H83" s="877"/>
      <c r="I83" s="48">
        <f t="shared" si="10"/>
        <v>1</v>
      </c>
      <c r="J83" s="877"/>
      <c r="K83" s="48">
        <f t="shared" si="11"/>
        <v>1</v>
      </c>
      <c r="L83" s="877"/>
      <c r="M83" s="48">
        <f t="shared" si="12"/>
        <v>1</v>
      </c>
      <c r="N83" s="877"/>
      <c r="O83" s="48">
        <f t="shared" si="13"/>
        <v>1</v>
      </c>
      <c r="P83" s="877"/>
      <c r="Q83" s="48">
        <f t="shared" si="14"/>
        <v>1</v>
      </c>
      <c r="R83" s="48">
        <f t="shared" si="15"/>
        <v>0</v>
      </c>
      <c r="S83" s="733">
        <f t="shared" si="17"/>
        <v>0</v>
      </c>
    </row>
    <row r="84" spans="1:19">
      <c r="A84" s="878"/>
      <c r="B84" s="125"/>
      <c r="C84" s="48">
        <f t="shared" si="7"/>
        <v>1</v>
      </c>
      <c r="D84" s="877"/>
      <c r="E84" s="48">
        <f t="shared" si="8"/>
        <v>1</v>
      </c>
      <c r="F84" s="877"/>
      <c r="G84" s="48">
        <f t="shared" si="9"/>
        <v>1</v>
      </c>
      <c r="H84" s="877"/>
      <c r="I84" s="48">
        <f t="shared" si="10"/>
        <v>1</v>
      </c>
      <c r="J84" s="877"/>
      <c r="K84" s="48">
        <f t="shared" si="11"/>
        <v>1</v>
      </c>
      <c r="L84" s="877"/>
      <c r="M84" s="48">
        <f t="shared" si="12"/>
        <v>1</v>
      </c>
      <c r="N84" s="877"/>
      <c r="O84" s="48">
        <f t="shared" si="13"/>
        <v>1</v>
      </c>
      <c r="P84" s="877"/>
      <c r="Q84" s="48">
        <f t="shared" si="14"/>
        <v>1</v>
      </c>
      <c r="R84" s="48">
        <f t="shared" si="15"/>
        <v>0</v>
      </c>
      <c r="S84" s="733">
        <f t="shared" si="17"/>
        <v>0</v>
      </c>
    </row>
    <row r="85" spans="1:19">
      <c r="A85" s="878"/>
      <c r="B85" s="125"/>
      <c r="C85" s="48">
        <f t="shared" si="7"/>
        <v>1</v>
      </c>
      <c r="D85" s="877"/>
      <c r="E85" s="48">
        <f t="shared" si="8"/>
        <v>1</v>
      </c>
      <c r="F85" s="877"/>
      <c r="G85" s="48">
        <f t="shared" si="9"/>
        <v>1</v>
      </c>
      <c r="H85" s="877"/>
      <c r="I85" s="48">
        <f t="shared" si="10"/>
        <v>1</v>
      </c>
      <c r="J85" s="877"/>
      <c r="K85" s="48">
        <f t="shared" si="11"/>
        <v>1</v>
      </c>
      <c r="L85" s="877"/>
      <c r="M85" s="48">
        <f t="shared" si="12"/>
        <v>1</v>
      </c>
      <c r="N85" s="877"/>
      <c r="O85" s="48">
        <f t="shared" si="13"/>
        <v>1</v>
      </c>
      <c r="P85" s="877"/>
      <c r="Q85" s="48">
        <f t="shared" si="14"/>
        <v>1</v>
      </c>
      <c r="R85" s="48">
        <f t="shared" si="15"/>
        <v>0</v>
      </c>
      <c r="S85" s="733">
        <f t="shared" si="17"/>
        <v>0</v>
      </c>
    </row>
    <row r="86" spans="1:19">
      <c r="A86" s="878"/>
      <c r="B86" s="125"/>
      <c r="C86" s="48">
        <f t="shared" si="7"/>
        <v>1</v>
      </c>
      <c r="D86" s="877"/>
      <c r="E86" s="48">
        <f t="shared" si="8"/>
        <v>1</v>
      </c>
      <c r="F86" s="877"/>
      <c r="G86" s="48">
        <f t="shared" si="9"/>
        <v>1</v>
      </c>
      <c r="H86" s="877"/>
      <c r="I86" s="48">
        <f t="shared" si="10"/>
        <v>1</v>
      </c>
      <c r="J86" s="877"/>
      <c r="K86" s="48">
        <f t="shared" si="11"/>
        <v>1</v>
      </c>
      <c r="L86" s="877"/>
      <c r="M86" s="48">
        <f t="shared" si="12"/>
        <v>1</v>
      </c>
      <c r="N86" s="877"/>
      <c r="O86" s="48">
        <f t="shared" si="13"/>
        <v>1</v>
      </c>
      <c r="P86" s="877"/>
      <c r="Q86" s="48">
        <f t="shared" si="14"/>
        <v>1</v>
      </c>
      <c r="R86" s="48">
        <f t="shared" si="15"/>
        <v>0</v>
      </c>
      <c r="S86" s="733">
        <f t="shared" si="17"/>
        <v>0</v>
      </c>
    </row>
    <row r="87" spans="1:19">
      <c r="A87" s="878"/>
      <c r="B87" s="125"/>
      <c r="C87" s="48">
        <f t="shared" si="7"/>
        <v>1</v>
      </c>
      <c r="D87" s="877"/>
      <c r="E87" s="48">
        <f t="shared" si="8"/>
        <v>1</v>
      </c>
      <c r="F87" s="877"/>
      <c r="G87" s="48">
        <f t="shared" si="9"/>
        <v>1</v>
      </c>
      <c r="H87" s="877"/>
      <c r="I87" s="48">
        <f t="shared" si="10"/>
        <v>1</v>
      </c>
      <c r="J87" s="877"/>
      <c r="K87" s="48">
        <f t="shared" si="11"/>
        <v>1</v>
      </c>
      <c r="L87" s="877"/>
      <c r="M87" s="48">
        <f t="shared" si="12"/>
        <v>1</v>
      </c>
      <c r="N87" s="877"/>
      <c r="O87" s="48">
        <f t="shared" si="13"/>
        <v>1</v>
      </c>
      <c r="P87" s="877"/>
      <c r="Q87" s="48">
        <f t="shared" si="14"/>
        <v>1</v>
      </c>
      <c r="R87" s="48">
        <f t="shared" si="15"/>
        <v>0</v>
      </c>
      <c r="S87" s="733">
        <f t="shared" si="17"/>
        <v>0</v>
      </c>
    </row>
    <row r="88" spans="1:19">
      <c r="A88" s="878"/>
      <c r="B88" s="125"/>
      <c r="C88" s="48">
        <f t="shared" si="7"/>
        <v>1</v>
      </c>
      <c r="D88" s="877"/>
      <c r="E88" s="48">
        <f t="shared" si="8"/>
        <v>1</v>
      </c>
      <c r="F88" s="877"/>
      <c r="G88" s="48">
        <f t="shared" si="9"/>
        <v>1</v>
      </c>
      <c r="H88" s="877"/>
      <c r="I88" s="48">
        <f t="shared" si="10"/>
        <v>1</v>
      </c>
      <c r="J88" s="877"/>
      <c r="K88" s="48">
        <f t="shared" si="11"/>
        <v>1</v>
      </c>
      <c r="L88" s="877"/>
      <c r="M88" s="48">
        <f t="shared" si="12"/>
        <v>1</v>
      </c>
      <c r="N88" s="877"/>
      <c r="O88" s="48">
        <f t="shared" si="13"/>
        <v>1</v>
      </c>
      <c r="P88" s="877"/>
      <c r="Q88" s="48">
        <f t="shared" si="14"/>
        <v>1</v>
      </c>
      <c r="R88" s="48">
        <f t="shared" si="15"/>
        <v>0</v>
      </c>
      <c r="S88" s="733">
        <f t="shared" si="17"/>
        <v>0</v>
      </c>
    </row>
    <row r="89" spans="1:19">
      <c r="A89" s="878"/>
      <c r="B89" s="125"/>
      <c r="C89" s="48">
        <f t="shared" si="7"/>
        <v>1</v>
      </c>
      <c r="D89" s="877"/>
      <c r="E89" s="48">
        <f t="shared" si="8"/>
        <v>1</v>
      </c>
      <c r="F89" s="877"/>
      <c r="G89" s="48">
        <f t="shared" si="9"/>
        <v>1</v>
      </c>
      <c r="H89" s="877"/>
      <c r="I89" s="48">
        <f t="shared" si="10"/>
        <v>1</v>
      </c>
      <c r="J89" s="877"/>
      <c r="K89" s="48">
        <f t="shared" si="11"/>
        <v>1</v>
      </c>
      <c r="L89" s="877"/>
      <c r="M89" s="48">
        <f t="shared" si="12"/>
        <v>1</v>
      </c>
      <c r="N89" s="877"/>
      <c r="O89" s="48">
        <f t="shared" si="13"/>
        <v>1</v>
      </c>
      <c r="P89" s="877"/>
      <c r="Q89" s="48">
        <f t="shared" si="14"/>
        <v>1</v>
      </c>
      <c r="R89" s="48">
        <f t="shared" si="15"/>
        <v>0</v>
      </c>
      <c r="S89" s="733">
        <f t="shared" si="17"/>
        <v>0</v>
      </c>
    </row>
    <row r="90" spans="1:19">
      <c r="A90" s="878"/>
      <c r="B90" s="125"/>
      <c r="C90" s="48">
        <f t="shared" ref="C90:C153" si="18">IF(B90="",1,(LOOKUP(B90,$3:$3,$4:$4)-LOOKUP($B$24,$3:$3,$4:$4)+100)/100)</f>
        <v>1</v>
      </c>
      <c r="D90" s="877"/>
      <c r="E90" s="48">
        <f t="shared" ref="E90:E153" si="19">(SUMIF($5:$5,D90,$6:$6)-SUMIF($5:$5,$D$24,$6:$6)+100)/100</f>
        <v>1</v>
      </c>
      <c r="F90" s="877"/>
      <c r="G90" s="48">
        <f t="shared" ref="G90:G153" si="20">(SUMIF($7:$7,F90,$8:$8)-SUMIF($7:$7,$F$24,$8:$8)+100)/100</f>
        <v>1</v>
      </c>
      <c r="H90" s="877"/>
      <c r="I90" s="48">
        <f t="shared" ref="I90:I153" si="21">(SUMIF($9:$9,H90,$10:$10)-SUMIF($9:$9,$H$24,$10:$10)+100)/100</f>
        <v>1</v>
      </c>
      <c r="J90" s="877"/>
      <c r="K90" s="48">
        <f t="shared" ref="K90:K153" si="22">(SUMIF($11:$11,J90,$12:$12)-SUMIF($11:$11,$J$24,$12:$12)+100)/100</f>
        <v>1</v>
      </c>
      <c r="L90" s="877"/>
      <c r="M90" s="48">
        <f t="shared" ref="M90:M153" si="23">(SUMIF($13:$13,L90,$14:$14)-SUMIF($13:$13,$L$24,$14:$14)+100)/100</f>
        <v>1</v>
      </c>
      <c r="N90" s="877"/>
      <c r="O90" s="48">
        <f t="shared" ref="O90:O153" si="24">(SUMIF($15:$15,N90,$16:$16)-SUMIF($15:$15,$N$24,$16:$16)+100)/100</f>
        <v>1</v>
      </c>
      <c r="P90" s="877"/>
      <c r="Q90" s="48">
        <f t="shared" ref="Q90:Q153" si="25">(SUMIF($17:$17,P90,$18:$18)-SUMIF($17:$17,$P$24,$18:$18)+100)/100</f>
        <v>1</v>
      </c>
      <c r="R90" s="48">
        <f t="shared" ref="R90:R153" si="26">IF(B90="",0,ROUND($R$24*C90*E90*G90*I90*K90*M90*O90*Q90,0))</f>
        <v>0</v>
      </c>
      <c r="S90" s="733">
        <f t="shared" si="17"/>
        <v>0</v>
      </c>
    </row>
    <row r="91" spans="1:19">
      <c r="A91" s="878"/>
      <c r="B91" s="125"/>
      <c r="C91" s="48">
        <f t="shared" si="18"/>
        <v>1</v>
      </c>
      <c r="D91" s="877"/>
      <c r="E91" s="48">
        <f t="shared" si="19"/>
        <v>1</v>
      </c>
      <c r="F91" s="877"/>
      <c r="G91" s="48">
        <f t="shared" si="20"/>
        <v>1</v>
      </c>
      <c r="H91" s="877"/>
      <c r="I91" s="48">
        <f t="shared" si="21"/>
        <v>1</v>
      </c>
      <c r="J91" s="877"/>
      <c r="K91" s="48">
        <f t="shared" si="22"/>
        <v>1</v>
      </c>
      <c r="L91" s="877"/>
      <c r="M91" s="48">
        <f t="shared" si="23"/>
        <v>1</v>
      </c>
      <c r="N91" s="877"/>
      <c r="O91" s="48">
        <f t="shared" si="24"/>
        <v>1</v>
      </c>
      <c r="P91" s="877"/>
      <c r="Q91" s="48">
        <f t="shared" si="25"/>
        <v>1</v>
      </c>
      <c r="R91" s="48">
        <f t="shared" si="26"/>
        <v>0</v>
      </c>
      <c r="S91" s="733">
        <f t="shared" si="17"/>
        <v>0</v>
      </c>
    </row>
    <row r="92" spans="1:19">
      <c r="A92" s="878"/>
      <c r="B92" s="125"/>
      <c r="C92" s="48">
        <f t="shared" si="18"/>
        <v>1</v>
      </c>
      <c r="D92" s="877"/>
      <c r="E92" s="48">
        <f t="shared" si="19"/>
        <v>1</v>
      </c>
      <c r="F92" s="877"/>
      <c r="G92" s="48">
        <f t="shared" si="20"/>
        <v>1</v>
      </c>
      <c r="H92" s="877"/>
      <c r="I92" s="48">
        <f t="shared" si="21"/>
        <v>1</v>
      </c>
      <c r="J92" s="877"/>
      <c r="K92" s="48">
        <f t="shared" si="22"/>
        <v>1</v>
      </c>
      <c r="L92" s="877"/>
      <c r="M92" s="48">
        <f t="shared" si="23"/>
        <v>1</v>
      </c>
      <c r="N92" s="877"/>
      <c r="O92" s="48">
        <f t="shared" si="24"/>
        <v>1</v>
      </c>
      <c r="P92" s="877"/>
      <c r="Q92" s="48">
        <f t="shared" si="25"/>
        <v>1</v>
      </c>
      <c r="R92" s="48">
        <f t="shared" si="26"/>
        <v>0</v>
      </c>
      <c r="S92" s="733">
        <f t="shared" si="17"/>
        <v>0</v>
      </c>
    </row>
    <row r="93" spans="1:19">
      <c r="A93" s="878"/>
      <c r="B93" s="125"/>
      <c r="C93" s="48">
        <f t="shared" si="18"/>
        <v>1</v>
      </c>
      <c r="D93" s="877"/>
      <c r="E93" s="48">
        <f t="shared" si="19"/>
        <v>1</v>
      </c>
      <c r="F93" s="877"/>
      <c r="G93" s="48">
        <f t="shared" si="20"/>
        <v>1</v>
      </c>
      <c r="H93" s="877"/>
      <c r="I93" s="48">
        <f t="shared" si="21"/>
        <v>1</v>
      </c>
      <c r="J93" s="877"/>
      <c r="K93" s="48">
        <f t="shared" si="22"/>
        <v>1</v>
      </c>
      <c r="L93" s="877"/>
      <c r="M93" s="48">
        <f t="shared" si="23"/>
        <v>1</v>
      </c>
      <c r="N93" s="877"/>
      <c r="O93" s="48">
        <f t="shared" si="24"/>
        <v>1</v>
      </c>
      <c r="P93" s="877"/>
      <c r="Q93" s="48">
        <f t="shared" si="25"/>
        <v>1</v>
      </c>
      <c r="R93" s="48">
        <f t="shared" si="26"/>
        <v>0</v>
      </c>
      <c r="S93" s="733">
        <f t="shared" si="17"/>
        <v>0</v>
      </c>
    </row>
    <row r="94" spans="1:19">
      <c r="A94" s="878"/>
      <c r="B94" s="125"/>
      <c r="C94" s="48">
        <f t="shared" si="18"/>
        <v>1</v>
      </c>
      <c r="D94" s="877"/>
      <c r="E94" s="48">
        <f t="shared" si="19"/>
        <v>1</v>
      </c>
      <c r="F94" s="877"/>
      <c r="G94" s="48">
        <f t="shared" si="20"/>
        <v>1</v>
      </c>
      <c r="H94" s="877"/>
      <c r="I94" s="48">
        <f t="shared" si="21"/>
        <v>1</v>
      </c>
      <c r="J94" s="877"/>
      <c r="K94" s="48">
        <f t="shared" si="22"/>
        <v>1</v>
      </c>
      <c r="L94" s="877"/>
      <c r="M94" s="48">
        <f t="shared" si="23"/>
        <v>1</v>
      </c>
      <c r="N94" s="877"/>
      <c r="O94" s="48">
        <f t="shared" si="24"/>
        <v>1</v>
      </c>
      <c r="P94" s="877"/>
      <c r="Q94" s="48">
        <f t="shared" si="25"/>
        <v>1</v>
      </c>
      <c r="R94" s="48">
        <f t="shared" si="26"/>
        <v>0</v>
      </c>
      <c r="S94" s="733">
        <f t="shared" si="17"/>
        <v>0</v>
      </c>
    </row>
    <row r="95" spans="1:19">
      <c r="A95" s="878"/>
      <c r="B95" s="125"/>
      <c r="C95" s="48">
        <f t="shared" si="18"/>
        <v>1</v>
      </c>
      <c r="D95" s="877"/>
      <c r="E95" s="48">
        <f t="shared" si="19"/>
        <v>1</v>
      </c>
      <c r="F95" s="877"/>
      <c r="G95" s="48">
        <f t="shared" si="20"/>
        <v>1</v>
      </c>
      <c r="H95" s="877"/>
      <c r="I95" s="48">
        <f t="shared" si="21"/>
        <v>1</v>
      </c>
      <c r="J95" s="877"/>
      <c r="K95" s="48">
        <f t="shared" si="22"/>
        <v>1</v>
      </c>
      <c r="L95" s="877"/>
      <c r="M95" s="48">
        <f t="shared" si="23"/>
        <v>1</v>
      </c>
      <c r="N95" s="877"/>
      <c r="O95" s="48">
        <f t="shared" si="24"/>
        <v>1</v>
      </c>
      <c r="P95" s="877"/>
      <c r="Q95" s="48">
        <f t="shared" si="25"/>
        <v>1</v>
      </c>
      <c r="R95" s="48">
        <f t="shared" si="26"/>
        <v>0</v>
      </c>
      <c r="S95" s="733">
        <f t="shared" si="17"/>
        <v>0</v>
      </c>
    </row>
    <row r="96" spans="1:19">
      <c r="A96" s="878"/>
      <c r="B96" s="125"/>
      <c r="C96" s="48">
        <f t="shared" si="18"/>
        <v>1</v>
      </c>
      <c r="D96" s="877"/>
      <c r="E96" s="48">
        <f t="shared" si="19"/>
        <v>1</v>
      </c>
      <c r="F96" s="877"/>
      <c r="G96" s="48">
        <f t="shared" si="20"/>
        <v>1</v>
      </c>
      <c r="H96" s="877"/>
      <c r="I96" s="48">
        <f t="shared" si="21"/>
        <v>1</v>
      </c>
      <c r="J96" s="877"/>
      <c r="K96" s="48">
        <f t="shared" si="22"/>
        <v>1</v>
      </c>
      <c r="L96" s="877"/>
      <c r="M96" s="48">
        <f t="shared" si="23"/>
        <v>1</v>
      </c>
      <c r="N96" s="877"/>
      <c r="O96" s="48">
        <f t="shared" si="24"/>
        <v>1</v>
      </c>
      <c r="P96" s="877"/>
      <c r="Q96" s="48">
        <f t="shared" si="25"/>
        <v>1</v>
      </c>
      <c r="R96" s="48">
        <f t="shared" si="26"/>
        <v>0</v>
      </c>
      <c r="S96" s="733">
        <f t="shared" si="17"/>
        <v>0</v>
      </c>
    </row>
    <row r="97" spans="1:19">
      <c r="A97" s="878"/>
      <c r="B97" s="125"/>
      <c r="C97" s="48">
        <f t="shared" si="18"/>
        <v>1</v>
      </c>
      <c r="D97" s="877"/>
      <c r="E97" s="48">
        <f t="shared" si="19"/>
        <v>1</v>
      </c>
      <c r="F97" s="877"/>
      <c r="G97" s="48">
        <f t="shared" si="20"/>
        <v>1</v>
      </c>
      <c r="H97" s="877"/>
      <c r="I97" s="48">
        <f t="shared" si="21"/>
        <v>1</v>
      </c>
      <c r="J97" s="877"/>
      <c r="K97" s="48">
        <f t="shared" si="22"/>
        <v>1</v>
      </c>
      <c r="L97" s="877"/>
      <c r="M97" s="48">
        <f t="shared" si="23"/>
        <v>1</v>
      </c>
      <c r="N97" s="877"/>
      <c r="O97" s="48">
        <f t="shared" si="24"/>
        <v>1</v>
      </c>
      <c r="P97" s="877"/>
      <c r="Q97" s="48">
        <f t="shared" si="25"/>
        <v>1</v>
      </c>
      <c r="R97" s="48">
        <f t="shared" si="26"/>
        <v>0</v>
      </c>
      <c r="S97" s="733">
        <f t="shared" si="17"/>
        <v>0</v>
      </c>
    </row>
    <row r="98" spans="1:19">
      <c r="A98" s="878"/>
      <c r="B98" s="125"/>
      <c r="C98" s="48">
        <f t="shared" si="18"/>
        <v>1</v>
      </c>
      <c r="D98" s="877"/>
      <c r="E98" s="48">
        <f t="shared" si="19"/>
        <v>1</v>
      </c>
      <c r="F98" s="877"/>
      <c r="G98" s="48">
        <f t="shared" si="20"/>
        <v>1</v>
      </c>
      <c r="H98" s="877"/>
      <c r="I98" s="48">
        <f t="shared" si="21"/>
        <v>1</v>
      </c>
      <c r="J98" s="877"/>
      <c r="K98" s="48">
        <f t="shared" si="22"/>
        <v>1</v>
      </c>
      <c r="L98" s="877"/>
      <c r="M98" s="48">
        <f t="shared" si="23"/>
        <v>1</v>
      </c>
      <c r="N98" s="877"/>
      <c r="O98" s="48">
        <f t="shared" si="24"/>
        <v>1</v>
      </c>
      <c r="P98" s="877"/>
      <c r="Q98" s="48">
        <f t="shared" si="25"/>
        <v>1</v>
      </c>
      <c r="R98" s="48">
        <f t="shared" si="26"/>
        <v>0</v>
      </c>
      <c r="S98" s="733">
        <f t="shared" si="17"/>
        <v>0</v>
      </c>
    </row>
    <row r="99" spans="1:19">
      <c r="A99" s="878"/>
      <c r="B99" s="125"/>
      <c r="C99" s="48">
        <f t="shared" si="18"/>
        <v>1</v>
      </c>
      <c r="D99" s="877"/>
      <c r="E99" s="48">
        <f t="shared" si="19"/>
        <v>1</v>
      </c>
      <c r="F99" s="877"/>
      <c r="G99" s="48">
        <f t="shared" si="20"/>
        <v>1</v>
      </c>
      <c r="H99" s="877"/>
      <c r="I99" s="48">
        <f t="shared" si="21"/>
        <v>1</v>
      </c>
      <c r="J99" s="877"/>
      <c r="K99" s="48">
        <f t="shared" si="22"/>
        <v>1</v>
      </c>
      <c r="L99" s="877"/>
      <c r="M99" s="48">
        <f t="shared" si="23"/>
        <v>1</v>
      </c>
      <c r="N99" s="877"/>
      <c r="O99" s="48">
        <f t="shared" si="24"/>
        <v>1</v>
      </c>
      <c r="P99" s="877"/>
      <c r="Q99" s="48">
        <f t="shared" si="25"/>
        <v>1</v>
      </c>
      <c r="R99" s="48">
        <f t="shared" si="26"/>
        <v>0</v>
      </c>
      <c r="S99" s="733">
        <f t="shared" si="17"/>
        <v>0</v>
      </c>
    </row>
    <row r="100" spans="1:19">
      <c r="A100" s="878"/>
      <c r="B100" s="125"/>
      <c r="C100" s="48">
        <f t="shared" si="18"/>
        <v>1</v>
      </c>
      <c r="D100" s="877"/>
      <c r="E100" s="48">
        <f t="shared" si="19"/>
        <v>1</v>
      </c>
      <c r="F100" s="877"/>
      <c r="G100" s="48">
        <f t="shared" si="20"/>
        <v>1</v>
      </c>
      <c r="H100" s="877"/>
      <c r="I100" s="48">
        <f t="shared" si="21"/>
        <v>1</v>
      </c>
      <c r="J100" s="877"/>
      <c r="K100" s="48">
        <f t="shared" si="22"/>
        <v>1</v>
      </c>
      <c r="L100" s="877"/>
      <c r="M100" s="48">
        <f t="shared" si="23"/>
        <v>1</v>
      </c>
      <c r="N100" s="877"/>
      <c r="O100" s="48">
        <f t="shared" si="24"/>
        <v>1</v>
      </c>
      <c r="P100" s="877"/>
      <c r="Q100" s="48">
        <f t="shared" si="25"/>
        <v>1</v>
      </c>
      <c r="R100" s="48">
        <f t="shared" si="26"/>
        <v>0</v>
      </c>
      <c r="S100" s="733">
        <f t="shared" si="17"/>
        <v>0</v>
      </c>
    </row>
    <row r="101" spans="1:19">
      <c r="A101" s="878"/>
      <c r="B101" s="125"/>
      <c r="C101" s="48">
        <f t="shared" si="18"/>
        <v>1</v>
      </c>
      <c r="D101" s="877"/>
      <c r="E101" s="48">
        <f t="shared" si="19"/>
        <v>1</v>
      </c>
      <c r="F101" s="877"/>
      <c r="G101" s="48">
        <f t="shared" si="20"/>
        <v>1</v>
      </c>
      <c r="H101" s="877"/>
      <c r="I101" s="48">
        <f t="shared" si="21"/>
        <v>1</v>
      </c>
      <c r="J101" s="877"/>
      <c r="K101" s="48">
        <f t="shared" si="22"/>
        <v>1</v>
      </c>
      <c r="L101" s="877"/>
      <c r="M101" s="48">
        <f t="shared" si="23"/>
        <v>1</v>
      </c>
      <c r="N101" s="877"/>
      <c r="O101" s="48">
        <f t="shared" si="24"/>
        <v>1</v>
      </c>
      <c r="P101" s="877"/>
      <c r="Q101" s="48">
        <f t="shared" si="25"/>
        <v>1</v>
      </c>
      <c r="R101" s="48">
        <f t="shared" si="26"/>
        <v>0</v>
      </c>
      <c r="S101" s="733">
        <f t="shared" si="17"/>
        <v>0</v>
      </c>
    </row>
    <row r="102" spans="1:19">
      <c r="A102" s="878"/>
      <c r="B102" s="125"/>
      <c r="C102" s="48">
        <f t="shared" si="18"/>
        <v>1</v>
      </c>
      <c r="D102" s="877"/>
      <c r="E102" s="48">
        <f t="shared" si="19"/>
        <v>1</v>
      </c>
      <c r="F102" s="877"/>
      <c r="G102" s="48">
        <f t="shared" si="20"/>
        <v>1</v>
      </c>
      <c r="H102" s="877"/>
      <c r="I102" s="48">
        <f t="shared" si="21"/>
        <v>1</v>
      </c>
      <c r="J102" s="877"/>
      <c r="K102" s="48">
        <f t="shared" si="22"/>
        <v>1</v>
      </c>
      <c r="L102" s="877"/>
      <c r="M102" s="48">
        <f t="shared" si="23"/>
        <v>1</v>
      </c>
      <c r="N102" s="877"/>
      <c r="O102" s="48">
        <f t="shared" si="24"/>
        <v>1</v>
      </c>
      <c r="P102" s="877"/>
      <c r="Q102" s="48">
        <f t="shared" si="25"/>
        <v>1</v>
      </c>
      <c r="R102" s="48">
        <f t="shared" si="26"/>
        <v>0</v>
      </c>
      <c r="S102" s="733">
        <f t="shared" si="17"/>
        <v>0</v>
      </c>
    </row>
    <row r="103" spans="1:19">
      <c r="A103" s="878"/>
      <c r="B103" s="125"/>
      <c r="C103" s="48">
        <f t="shared" si="18"/>
        <v>1</v>
      </c>
      <c r="D103" s="877"/>
      <c r="E103" s="48">
        <f t="shared" si="19"/>
        <v>1</v>
      </c>
      <c r="F103" s="877"/>
      <c r="G103" s="48">
        <f t="shared" si="20"/>
        <v>1</v>
      </c>
      <c r="H103" s="877"/>
      <c r="I103" s="48">
        <f t="shared" si="21"/>
        <v>1</v>
      </c>
      <c r="J103" s="877"/>
      <c r="K103" s="48">
        <f t="shared" si="22"/>
        <v>1</v>
      </c>
      <c r="L103" s="877"/>
      <c r="M103" s="48">
        <f t="shared" si="23"/>
        <v>1</v>
      </c>
      <c r="N103" s="877"/>
      <c r="O103" s="48">
        <f t="shared" si="24"/>
        <v>1</v>
      </c>
      <c r="P103" s="877"/>
      <c r="Q103" s="48">
        <f t="shared" si="25"/>
        <v>1</v>
      </c>
      <c r="R103" s="48">
        <f t="shared" si="26"/>
        <v>0</v>
      </c>
      <c r="S103" s="733">
        <f t="shared" si="17"/>
        <v>0</v>
      </c>
    </row>
    <row r="104" spans="1:19">
      <c r="A104" s="878"/>
      <c r="B104" s="125"/>
      <c r="C104" s="48">
        <f t="shared" si="18"/>
        <v>1</v>
      </c>
      <c r="D104" s="877"/>
      <c r="E104" s="48">
        <f t="shared" si="19"/>
        <v>1</v>
      </c>
      <c r="F104" s="877"/>
      <c r="G104" s="48">
        <f t="shared" si="20"/>
        <v>1</v>
      </c>
      <c r="H104" s="877"/>
      <c r="I104" s="48">
        <f t="shared" si="21"/>
        <v>1</v>
      </c>
      <c r="J104" s="877"/>
      <c r="K104" s="48">
        <f t="shared" si="22"/>
        <v>1</v>
      </c>
      <c r="L104" s="877"/>
      <c r="M104" s="48">
        <f t="shared" si="23"/>
        <v>1</v>
      </c>
      <c r="N104" s="877"/>
      <c r="O104" s="48">
        <f t="shared" si="24"/>
        <v>1</v>
      </c>
      <c r="P104" s="877"/>
      <c r="Q104" s="48">
        <f t="shared" si="25"/>
        <v>1</v>
      </c>
      <c r="R104" s="48">
        <f t="shared" si="26"/>
        <v>0</v>
      </c>
      <c r="S104" s="733">
        <f t="shared" si="17"/>
        <v>0</v>
      </c>
    </row>
    <row r="105" spans="1:19">
      <c r="A105" s="878"/>
      <c r="B105" s="125"/>
      <c r="C105" s="48">
        <f t="shared" si="18"/>
        <v>1</v>
      </c>
      <c r="D105" s="877"/>
      <c r="E105" s="48">
        <f t="shared" si="19"/>
        <v>1</v>
      </c>
      <c r="F105" s="877"/>
      <c r="G105" s="48">
        <f t="shared" si="20"/>
        <v>1</v>
      </c>
      <c r="H105" s="877"/>
      <c r="I105" s="48">
        <f t="shared" si="21"/>
        <v>1</v>
      </c>
      <c r="J105" s="877"/>
      <c r="K105" s="48">
        <f t="shared" si="22"/>
        <v>1</v>
      </c>
      <c r="L105" s="877"/>
      <c r="M105" s="48">
        <f t="shared" si="23"/>
        <v>1</v>
      </c>
      <c r="N105" s="877"/>
      <c r="O105" s="48">
        <f t="shared" si="24"/>
        <v>1</v>
      </c>
      <c r="P105" s="877"/>
      <c r="Q105" s="48">
        <f t="shared" si="25"/>
        <v>1</v>
      </c>
      <c r="R105" s="48">
        <f t="shared" si="26"/>
        <v>0</v>
      </c>
      <c r="S105" s="733">
        <f t="shared" si="17"/>
        <v>0</v>
      </c>
    </row>
    <row r="106" spans="1:19">
      <c r="A106" s="878"/>
      <c r="B106" s="125"/>
      <c r="C106" s="48">
        <f t="shared" si="18"/>
        <v>1</v>
      </c>
      <c r="D106" s="877"/>
      <c r="E106" s="48">
        <f t="shared" si="19"/>
        <v>1</v>
      </c>
      <c r="F106" s="877"/>
      <c r="G106" s="48">
        <f t="shared" si="20"/>
        <v>1</v>
      </c>
      <c r="H106" s="877"/>
      <c r="I106" s="48">
        <f t="shared" si="21"/>
        <v>1</v>
      </c>
      <c r="J106" s="877"/>
      <c r="K106" s="48">
        <f t="shared" si="22"/>
        <v>1</v>
      </c>
      <c r="L106" s="877"/>
      <c r="M106" s="48">
        <f t="shared" si="23"/>
        <v>1</v>
      </c>
      <c r="N106" s="877"/>
      <c r="O106" s="48">
        <f t="shared" si="24"/>
        <v>1</v>
      </c>
      <c r="P106" s="877"/>
      <c r="Q106" s="48">
        <f t="shared" si="25"/>
        <v>1</v>
      </c>
      <c r="R106" s="48">
        <f t="shared" si="26"/>
        <v>0</v>
      </c>
      <c r="S106" s="733">
        <f t="shared" si="17"/>
        <v>0</v>
      </c>
    </row>
    <row r="107" spans="1:19">
      <c r="A107" s="878"/>
      <c r="B107" s="125"/>
      <c r="C107" s="48">
        <f t="shared" si="18"/>
        <v>1</v>
      </c>
      <c r="D107" s="877"/>
      <c r="E107" s="48">
        <f t="shared" si="19"/>
        <v>1</v>
      </c>
      <c r="F107" s="877"/>
      <c r="G107" s="48">
        <f t="shared" si="20"/>
        <v>1</v>
      </c>
      <c r="H107" s="877"/>
      <c r="I107" s="48">
        <f t="shared" si="21"/>
        <v>1</v>
      </c>
      <c r="J107" s="877"/>
      <c r="K107" s="48">
        <f t="shared" si="22"/>
        <v>1</v>
      </c>
      <c r="L107" s="877"/>
      <c r="M107" s="48">
        <f t="shared" si="23"/>
        <v>1</v>
      </c>
      <c r="N107" s="877"/>
      <c r="O107" s="48">
        <f t="shared" si="24"/>
        <v>1</v>
      </c>
      <c r="P107" s="877"/>
      <c r="Q107" s="48">
        <f t="shared" si="25"/>
        <v>1</v>
      </c>
      <c r="R107" s="48">
        <f t="shared" si="26"/>
        <v>0</v>
      </c>
      <c r="S107" s="733">
        <f t="shared" si="17"/>
        <v>0</v>
      </c>
    </row>
    <row r="108" spans="1:19">
      <c r="A108" s="878"/>
      <c r="B108" s="125"/>
      <c r="C108" s="48">
        <f t="shared" si="18"/>
        <v>1</v>
      </c>
      <c r="D108" s="877"/>
      <c r="E108" s="48">
        <f t="shared" si="19"/>
        <v>1</v>
      </c>
      <c r="F108" s="877"/>
      <c r="G108" s="48">
        <f t="shared" si="20"/>
        <v>1</v>
      </c>
      <c r="H108" s="877"/>
      <c r="I108" s="48">
        <f t="shared" si="21"/>
        <v>1</v>
      </c>
      <c r="J108" s="877"/>
      <c r="K108" s="48">
        <f t="shared" si="22"/>
        <v>1</v>
      </c>
      <c r="L108" s="877"/>
      <c r="M108" s="48">
        <f t="shared" si="23"/>
        <v>1</v>
      </c>
      <c r="N108" s="877"/>
      <c r="O108" s="48">
        <f t="shared" si="24"/>
        <v>1</v>
      </c>
      <c r="P108" s="877"/>
      <c r="Q108" s="48">
        <f t="shared" si="25"/>
        <v>1</v>
      </c>
      <c r="R108" s="48">
        <f t="shared" si="26"/>
        <v>0</v>
      </c>
      <c r="S108" s="733">
        <f t="shared" si="17"/>
        <v>0</v>
      </c>
    </row>
    <row r="109" spans="1:19">
      <c r="A109" s="878"/>
      <c r="B109" s="125"/>
      <c r="C109" s="48">
        <f t="shared" si="18"/>
        <v>1</v>
      </c>
      <c r="D109" s="877"/>
      <c r="E109" s="48">
        <f t="shared" si="19"/>
        <v>1</v>
      </c>
      <c r="F109" s="877"/>
      <c r="G109" s="48">
        <f t="shared" si="20"/>
        <v>1</v>
      </c>
      <c r="H109" s="877"/>
      <c r="I109" s="48">
        <f t="shared" si="21"/>
        <v>1</v>
      </c>
      <c r="J109" s="877"/>
      <c r="K109" s="48">
        <f t="shared" si="22"/>
        <v>1</v>
      </c>
      <c r="L109" s="877"/>
      <c r="M109" s="48">
        <f t="shared" si="23"/>
        <v>1</v>
      </c>
      <c r="N109" s="877"/>
      <c r="O109" s="48">
        <f t="shared" si="24"/>
        <v>1</v>
      </c>
      <c r="P109" s="877"/>
      <c r="Q109" s="48">
        <f t="shared" si="25"/>
        <v>1</v>
      </c>
      <c r="R109" s="48">
        <f t="shared" si="26"/>
        <v>0</v>
      </c>
      <c r="S109" s="733">
        <f t="shared" si="17"/>
        <v>0</v>
      </c>
    </row>
    <row r="110" spans="1:19">
      <c r="A110" s="878"/>
      <c r="B110" s="125"/>
      <c r="C110" s="48">
        <f t="shared" si="18"/>
        <v>1</v>
      </c>
      <c r="D110" s="877"/>
      <c r="E110" s="48">
        <f t="shared" si="19"/>
        <v>1</v>
      </c>
      <c r="F110" s="877"/>
      <c r="G110" s="48">
        <f t="shared" si="20"/>
        <v>1</v>
      </c>
      <c r="H110" s="877"/>
      <c r="I110" s="48">
        <f t="shared" si="21"/>
        <v>1</v>
      </c>
      <c r="J110" s="877"/>
      <c r="K110" s="48">
        <f t="shared" si="22"/>
        <v>1</v>
      </c>
      <c r="L110" s="877"/>
      <c r="M110" s="48">
        <f t="shared" si="23"/>
        <v>1</v>
      </c>
      <c r="N110" s="877"/>
      <c r="O110" s="48">
        <f t="shared" si="24"/>
        <v>1</v>
      </c>
      <c r="P110" s="877"/>
      <c r="Q110" s="48">
        <f t="shared" si="25"/>
        <v>1</v>
      </c>
      <c r="R110" s="48">
        <f t="shared" si="26"/>
        <v>0</v>
      </c>
      <c r="S110" s="733">
        <f t="shared" si="17"/>
        <v>0</v>
      </c>
    </row>
    <row r="111" spans="1:19">
      <c r="A111" s="878"/>
      <c r="B111" s="125"/>
      <c r="C111" s="48">
        <f t="shared" si="18"/>
        <v>1</v>
      </c>
      <c r="D111" s="877"/>
      <c r="E111" s="48">
        <f t="shared" si="19"/>
        <v>1</v>
      </c>
      <c r="F111" s="877"/>
      <c r="G111" s="48">
        <f t="shared" si="20"/>
        <v>1</v>
      </c>
      <c r="H111" s="877"/>
      <c r="I111" s="48">
        <f t="shared" si="21"/>
        <v>1</v>
      </c>
      <c r="J111" s="877"/>
      <c r="K111" s="48">
        <f t="shared" si="22"/>
        <v>1</v>
      </c>
      <c r="L111" s="877"/>
      <c r="M111" s="48">
        <f t="shared" si="23"/>
        <v>1</v>
      </c>
      <c r="N111" s="877"/>
      <c r="O111" s="48">
        <f t="shared" si="24"/>
        <v>1</v>
      </c>
      <c r="P111" s="877"/>
      <c r="Q111" s="48">
        <f t="shared" si="25"/>
        <v>1</v>
      </c>
      <c r="R111" s="48">
        <f t="shared" si="26"/>
        <v>0</v>
      </c>
      <c r="S111" s="733">
        <f t="shared" si="17"/>
        <v>0</v>
      </c>
    </row>
    <row r="112" spans="1:19">
      <c r="A112" s="878"/>
      <c r="B112" s="125"/>
      <c r="C112" s="48">
        <f t="shared" si="18"/>
        <v>1</v>
      </c>
      <c r="D112" s="877"/>
      <c r="E112" s="48">
        <f t="shared" si="19"/>
        <v>1</v>
      </c>
      <c r="F112" s="877"/>
      <c r="G112" s="48">
        <f t="shared" si="20"/>
        <v>1</v>
      </c>
      <c r="H112" s="877"/>
      <c r="I112" s="48">
        <f t="shared" si="21"/>
        <v>1</v>
      </c>
      <c r="J112" s="877"/>
      <c r="K112" s="48">
        <f t="shared" si="22"/>
        <v>1</v>
      </c>
      <c r="L112" s="877"/>
      <c r="M112" s="48">
        <f t="shared" si="23"/>
        <v>1</v>
      </c>
      <c r="N112" s="877"/>
      <c r="O112" s="48">
        <f t="shared" si="24"/>
        <v>1</v>
      </c>
      <c r="P112" s="877"/>
      <c r="Q112" s="48">
        <f t="shared" si="25"/>
        <v>1</v>
      </c>
      <c r="R112" s="48">
        <f t="shared" si="26"/>
        <v>0</v>
      </c>
      <c r="S112" s="733">
        <f t="shared" si="17"/>
        <v>0</v>
      </c>
    </row>
    <row r="113" spans="1:19">
      <c r="A113" s="878"/>
      <c r="B113" s="125"/>
      <c r="C113" s="48">
        <f t="shared" si="18"/>
        <v>1</v>
      </c>
      <c r="D113" s="877"/>
      <c r="E113" s="48">
        <f t="shared" si="19"/>
        <v>1</v>
      </c>
      <c r="F113" s="877"/>
      <c r="G113" s="48">
        <f t="shared" si="20"/>
        <v>1</v>
      </c>
      <c r="H113" s="877"/>
      <c r="I113" s="48">
        <f t="shared" si="21"/>
        <v>1</v>
      </c>
      <c r="J113" s="877"/>
      <c r="K113" s="48">
        <f t="shared" si="22"/>
        <v>1</v>
      </c>
      <c r="L113" s="877"/>
      <c r="M113" s="48">
        <f t="shared" si="23"/>
        <v>1</v>
      </c>
      <c r="N113" s="877"/>
      <c r="O113" s="48">
        <f t="shared" si="24"/>
        <v>1</v>
      </c>
      <c r="P113" s="877"/>
      <c r="Q113" s="48">
        <f t="shared" si="25"/>
        <v>1</v>
      </c>
      <c r="R113" s="48">
        <f t="shared" si="26"/>
        <v>0</v>
      </c>
      <c r="S113" s="733">
        <f t="shared" si="17"/>
        <v>0</v>
      </c>
    </row>
    <row r="114" spans="1:19">
      <c r="A114" s="878"/>
      <c r="B114" s="125"/>
      <c r="C114" s="48">
        <f t="shared" si="18"/>
        <v>1</v>
      </c>
      <c r="D114" s="877"/>
      <c r="E114" s="48">
        <f t="shared" si="19"/>
        <v>1</v>
      </c>
      <c r="F114" s="877"/>
      <c r="G114" s="48">
        <f t="shared" si="20"/>
        <v>1</v>
      </c>
      <c r="H114" s="877"/>
      <c r="I114" s="48">
        <f t="shared" si="21"/>
        <v>1</v>
      </c>
      <c r="J114" s="877"/>
      <c r="K114" s="48">
        <f t="shared" si="22"/>
        <v>1</v>
      </c>
      <c r="L114" s="877"/>
      <c r="M114" s="48">
        <f t="shared" si="23"/>
        <v>1</v>
      </c>
      <c r="N114" s="877"/>
      <c r="O114" s="48">
        <f t="shared" si="24"/>
        <v>1</v>
      </c>
      <c r="P114" s="877"/>
      <c r="Q114" s="48">
        <f t="shared" si="25"/>
        <v>1</v>
      </c>
      <c r="R114" s="48">
        <f t="shared" si="26"/>
        <v>0</v>
      </c>
      <c r="S114" s="733">
        <f t="shared" si="17"/>
        <v>0</v>
      </c>
    </row>
    <row r="115" spans="1:19">
      <c r="A115" s="878"/>
      <c r="B115" s="125"/>
      <c r="C115" s="48">
        <f t="shared" si="18"/>
        <v>1</v>
      </c>
      <c r="D115" s="877"/>
      <c r="E115" s="48">
        <f t="shared" si="19"/>
        <v>1</v>
      </c>
      <c r="F115" s="877"/>
      <c r="G115" s="48">
        <f t="shared" si="20"/>
        <v>1</v>
      </c>
      <c r="H115" s="877"/>
      <c r="I115" s="48">
        <f t="shared" si="21"/>
        <v>1</v>
      </c>
      <c r="J115" s="877"/>
      <c r="K115" s="48">
        <f t="shared" si="22"/>
        <v>1</v>
      </c>
      <c r="L115" s="877"/>
      <c r="M115" s="48">
        <f t="shared" si="23"/>
        <v>1</v>
      </c>
      <c r="N115" s="877"/>
      <c r="O115" s="48">
        <f t="shared" si="24"/>
        <v>1</v>
      </c>
      <c r="P115" s="877"/>
      <c r="Q115" s="48">
        <f t="shared" si="25"/>
        <v>1</v>
      </c>
      <c r="R115" s="48">
        <f t="shared" si="26"/>
        <v>0</v>
      </c>
      <c r="S115" s="733">
        <f t="shared" si="17"/>
        <v>0</v>
      </c>
    </row>
    <row r="116" spans="1:19">
      <c r="A116" s="878"/>
      <c r="B116" s="125"/>
      <c r="C116" s="48">
        <f t="shared" si="18"/>
        <v>1</v>
      </c>
      <c r="D116" s="877"/>
      <c r="E116" s="48">
        <f t="shared" si="19"/>
        <v>1</v>
      </c>
      <c r="F116" s="877"/>
      <c r="G116" s="48">
        <f t="shared" si="20"/>
        <v>1</v>
      </c>
      <c r="H116" s="877"/>
      <c r="I116" s="48">
        <f t="shared" si="21"/>
        <v>1</v>
      </c>
      <c r="J116" s="877"/>
      <c r="K116" s="48">
        <f t="shared" si="22"/>
        <v>1</v>
      </c>
      <c r="L116" s="877"/>
      <c r="M116" s="48">
        <f t="shared" si="23"/>
        <v>1</v>
      </c>
      <c r="N116" s="877"/>
      <c r="O116" s="48">
        <f t="shared" si="24"/>
        <v>1</v>
      </c>
      <c r="P116" s="877"/>
      <c r="Q116" s="48">
        <f t="shared" si="25"/>
        <v>1</v>
      </c>
      <c r="R116" s="48">
        <f t="shared" si="26"/>
        <v>0</v>
      </c>
      <c r="S116" s="733">
        <f t="shared" si="17"/>
        <v>0</v>
      </c>
    </row>
    <row r="117" spans="1:19">
      <c r="A117" s="878"/>
      <c r="B117" s="125"/>
      <c r="C117" s="48">
        <f t="shared" si="18"/>
        <v>1</v>
      </c>
      <c r="D117" s="877"/>
      <c r="E117" s="48">
        <f t="shared" si="19"/>
        <v>1</v>
      </c>
      <c r="F117" s="877"/>
      <c r="G117" s="48">
        <f t="shared" si="20"/>
        <v>1</v>
      </c>
      <c r="H117" s="877"/>
      <c r="I117" s="48">
        <f t="shared" si="21"/>
        <v>1</v>
      </c>
      <c r="J117" s="877"/>
      <c r="K117" s="48">
        <f t="shared" si="22"/>
        <v>1</v>
      </c>
      <c r="L117" s="877"/>
      <c r="M117" s="48">
        <f t="shared" si="23"/>
        <v>1</v>
      </c>
      <c r="N117" s="877"/>
      <c r="O117" s="48">
        <f t="shared" si="24"/>
        <v>1</v>
      </c>
      <c r="P117" s="877"/>
      <c r="Q117" s="48">
        <f t="shared" si="25"/>
        <v>1</v>
      </c>
      <c r="R117" s="48">
        <f t="shared" si="26"/>
        <v>0</v>
      </c>
      <c r="S117" s="733">
        <f t="shared" si="17"/>
        <v>0</v>
      </c>
    </row>
    <row r="118" spans="1:19">
      <c r="A118" s="878"/>
      <c r="B118" s="125"/>
      <c r="C118" s="48">
        <f t="shared" si="18"/>
        <v>1</v>
      </c>
      <c r="D118" s="877"/>
      <c r="E118" s="48">
        <f t="shared" si="19"/>
        <v>1</v>
      </c>
      <c r="F118" s="877"/>
      <c r="G118" s="48">
        <f t="shared" si="20"/>
        <v>1</v>
      </c>
      <c r="H118" s="877"/>
      <c r="I118" s="48">
        <f t="shared" si="21"/>
        <v>1</v>
      </c>
      <c r="J118" s="877"/>
      <c r="K118" s="48">
        <f t="shared" si="22"/>
        <v>1</v>
      </c>
      <c r="L118" s="877"/>
      <c r="M118" s="48">
        <f t="shared" si="23"/>
        <v>1</v>
      </c>
      <c r="N118" s="877"/>
      <c r="O118" s="48">
        <f t="shared" si="24"/>
        <v>1</v>
      </c>
      <c r="P118" s="877"/>
      <c r="Q118" s="48">
        <f t="shared" si="25"/>
        <v>1</v>
      </c>
      <c r="R118" s="48">
        <f t="shared" si="26"/>
        <v>0</v>
      </c>
      <c r="S118" s="733">
        <f t="shared" si="17"/>
        <v>0</v>
      </c>
    </row>
    <row r="119" spans="1:19">
      <c r="A119" s="878"/>
      <c r="B119" s="125"/>
      <c r="C119" s="48">
        <f t="shared" si="18"/>
        <v>1</v>
      </c>
      <c r="D119" s="877"/>
      <c r="E119" s="48">
        <f t="shared" si="19"/>
        <v>1</v>
      </c>
      <c r="F119" s="877"/>
      <c r="G119" s="48">
        <f t="shared" si="20"/>
        <v>1</v>
      </c>
      <c r="H119" s="877"/>
      <c r="I119" s="48">
        <f t="shared" si="21"/>
        <v>1</v>
      </c>
      <c r="J119" s="877"/>
      <c r="K119" s="48">
        <f t="shared" si="22"/>
        <v>1</v>
      </c>
      <c r="L119" s="877"/>
      <c r="M119" s="48">
        <f t="shared" si="23"/>
        <v>1</v>
      </c>
      <c r="N119" s="877"/>
      <c r="O119" s="48">
        <f t="shared" si="24"/>
        <v>1</v>
      </c>
      <c r="P119" s="877"/>
      <c r="Q119" s="48">
        <f t="shared" si="25"/>
        <v>1</v>
      </c>
      <c r="R119" s="48">
        <f t="shared" si="26"/>
        <v>0</v>
      </c>
      <c r="S119" s="733">
        <f t="shared" si="17"/>
        <v>0</v>
      </c>
    </row>
    <row r="120" spans="1:19">
      <c r="A120" s="878"/>
      <c r="B120" s="125"/>
      <c r="C120" s="48">
        <f t="shared" si="18"/>
        <v>1</v>
      </c>
      <c r="D120" s="877"/>
      <c r="E120" s="48">
        <f t="shared" si="19"/>
        <v>1</v>
      </c>
      <c r="F120" s="877"/>
      <c r="G120" s="48">
        <f t="shared" si="20"/>
        <v>1</v>
      </c>
      <c r="H120" s="877"/>
      <c r="I120" s="48">
        <f t="shared" si="21"/>
        <v>1</v>
      </c>
      <c r="J120" s="877"/>
      <c r="K120" s="48">
        <f t="shared" si="22"/>
        <v>1</v>
      </c>
      <c r="L120" s="877"/>
      <c r="M120" s="48">
        <f t="shared" si="23"/>
        <v>1</v>
      </c>
      <c r="N120" s="877"/>
      <c r="O120" s="48">
        <f t="shared" si="24"/>
        <v>1</v>
      </c>
      <c r="P120" s="877"/>
      <c r="Q120" s="48">
        <f t="shared" si="25"/>
        <v>1</v>
      </c>
      <c r="R120" s="48">
        <f t="shared" si="26"/>
        <v>0</v>
      </c>
      <c r="S120" s="733">
        <f t="shared" si="17"/>
        <v>0</v>
      </c>
    </row>
    <row r="121" spans="1:19">
      <c r="A121" s="878"/>
      <c r="B121" s="125"/>
      <c r="C121" s="48">
        <f t="shared" si="18"/>
        <v>1</v>
      </c>
      <c r="D121" s="877"/>
      <c r="E121" s="48">
        <f t="shared" si="19"/>
        <v>1</v>
      </c>
      <c r="F121" s="877"/>
      <c r="G121" s="48">
        <f t="shared" si="20"/>
        <v>1</v>
      </c>
      <c r="H121" s="877"/>
      <c r="I121" s="48">
        <f t="shared" si="21"/>
        <v>1</v>
      </c>
      <c r="J121" s="877"/>
      <c r="K121" s="48">
        <f t="shared" si="22"/>
        <v>1</v>
      </c>
      <c r="L121" s="877"/>
      <c r="M121" s="48">
        <f t="shared" si="23"/>
        <v>1</v>
      </c>
      <c r="N121" s="877"/>
      <c r="O121" s="48">
        <f t="shared" si="24"/>
        <v>1</v>
      </c>
      <c r="P121" s="877"/>
      <c r="Q121" s="48">
        <f t="shared" si="25"/>
        <v>1</v>
      </c>
      <c r="R121" s="48">
        <f t="shared" si="26"/>
        <v>0</v>
      </c>
      <c r="S121" s="733">
        <f t="shared" si="17"/>
        <v>0</v>
      </c>
    </row>
    <row r="122" spans="1:19">
      <c r="A122" s="878"/>
      <c r="B122" s="125"/>
      <c r="C122" s="48">
        <f t="shared" si="18"/>
        <v>1</v>
      </c>
      <c r="D122" s="877"/>
      <c r="E122" s="48">
        <f t="shared" si="19"/>
        <v>1</v>
      </c>
      <c r="F122" s="877"/>
      <c r="G122" s="48">
        <f t="shared" si="20"/>
        <v>1</v>
      </c>
      <c r="H122" s="877"/>
      <c r="I122" s="48">
        <f t="shared" si="21"/>
        <v>1</v>
      </c>
      <c r="J122" s="877"/>
      <c r="K122" s="48">
        <f t="shared" si="22"/>
        <v>1</v>
      </c>
      <c r="L122" s="877"/>
      <c r="M122" s="48">
        <f t="shared" si="23"/>
        <v>1</v>
      </c>
      <c r="N122" s="877"/>
      <c r="O122" s="48">
        <f t="shared" si="24"/>
        <v>1</v>
      </c>
      <c r="P122" s="877"/>
      <c r="Q122" s="48">
        <f t="shared" si="25"/>
        <v>1</v>
      </c>
      <c r="R122" s="48">
        <f t="shared" si="26"/>
        <v>0</v>
      </c>
      <c r="S122" s="733">
        <f t="shared" si="17"/>
        <v>0</v>
      </c>
    </row>
    <row r="123" spans="1:19">
      <c r="A123" s="878"/>
      <c r="B123" s="125"/>
      <c r="C123" s="48">
        <f t="shared" si="18"/>
        <v>1</v>
      </c>
      <c r="D123" s="877"/>
      <c r="E123" s="48">
        <f t="shared" si="19"/>
        <v>1</v>
      </c>
      <c r="F123" s="877"/>
      <c r="G123" s="48">
        <f t="shared" si="20"/>
        <v>1</v>
      </c>
      <c r="H123" s="877"/>
      <c r="I123" s="48">
        <f t="shared" si="21"/>
        <v>1</v>
      </c>
      <c r="J123" s="877"/>
      <c r="K123" s="48">
        <f t="shared" si="22"/>
        <v>1</v>
      </c>
      <c r="L123" s="877"/>
      <c r="M123" s="48">
        <f t="shared" si="23"/>
        <v>1</v>
      </c>
      <c r="N123" s="877"/>
      <c r="O123" s="48">
        <f t="shared" si="24"/>
        <v>1</v>
      </c>
      <c r="P123" s="877"/>
      <c r="Q123" s="48">
        <f t="shared" si="25"/>
        <v>1</v>
      </c>
      <c r="R123" s="48">
        <f t="shared" si="26"/>
        <v>0</v>
      </c>
      <c r="S123" s="733">
        <f t="shared" ref="S123:S186" si="27">ROUND(R123*B123/10000,0)</f>
        <v>0</v>
      </c>
    </row>
    <row r="124" spans="1:19">
      <c r="A124" s="878"/>
      <c r="B124" s="125"/>
      <c r="C124" s="48">
        <f t="shared" si="18"/>
        <v>1</v>
      </c>
      <c r="D124" s="877"/>
      <c r="E124" s="48">
        <f t="shared" si="19"/>
        <v>1</v>
      </c>
      <c r="F124" s="877"/>
      <c r="G124" s="48">
        <f t="shared" si="20"/>
        <v>1</v>
      </c>
      <c r="H124" s="877"/>
      <c r="I124" s="48">
        <f t="shared" si="21"/>
        <v>1</v>
      </c>
      <c r="J124" s="877"/>
      <c r="K124" s="48">
        <f t="shared" si="22"/>
        <v>1</v>
      </c>
      <c r="L124" s="877"/>
      <c r="M124" s="48">
        <f t="shared" si="23"/>
        <v>1</v>
      </c>
      <c r="N124" s="877"/>
      <c r="O124" s="48">
        <f t="shared" si="24"/>
        <v>1</v>
      </c>
      <c r="P124" s="877"/>
      <c r="Q124" s="48">
        <f t="shared" si="25"/>
        <v>1</v>
      </c>
      <c r="R124" s="48">
        <f t="shared" si="26"/>
        <v>0</v>
      </c>
      <c r="S124" s="733">
        <f t="shared" si="27"/>
        <v>0</v>
      </c>
    </row>
    <row r="125" spans="1:19">
      <c r="A125" s="878"/>
      <c r="B125" s="125"/>
      <c r="C125" s="48">
        <f t="shared" si="18"/>
        <v>1</v>
      </c>
      <c r="D125" s="877"/>
      <c r="E125" s="48">
        <f t="shared" si="19"/>
        <v>1</v>
      </c>
      <c r="F125" s="877"/>
      <c r="G125" s="48">
        <f t="shared" si="20"/>
        <v>1</v>
      </c>
      <c r="H125" s="877"/>
      <c r="I125" s="48">
        <f t="shared" si="21"/>
        <v>1</v>
      </c>
      <c r="J125" s="877"/>
      <c r="K125" s="48">
        <f t="shared" si="22"/>
        <v>1</v>
      </c>
      <c r="L125" s="877"/>
      <c r="M125" s="48">
        <f t="shared" si="23"/>
        <v>1</v>
      </c>
      <c r="N125" s="877"/>
      <c r="O125" s="48">
        <f t="shared" si="24"/>
        <v>1</v>
      </c>
      <c r="P125" s="877"/>
      <c r="Q125" s="48">
        <f t="shared" si="25"/>
        <v>1</v>
      </c>
      <c r="R125" s="48">
        <f t="shared" si="26"/>
        <v>0</v>
      </c>
      <c r="S125" s="733">
        <f t="shared" si="27"/>
        <v>0</v>
      </c>
    </row>
    <row r="126" spans="1:19">
      <c r="A126" s="878"/>
      <c r="B126" s="125"/>
      <c r="C126" s="48">
        <f t="shared" si="18"/>
        <v>1</v>
      </c>
      <c r="D126" s="877"/>
      <c r="E126" s="48">
        <f t="shared" si="19"/>
        <v>1</v>
      </c>
      <c r="F126" s="877"/>
      <c r="G126" s="48">
        <f t="shared" si="20"/>
        <v>1</v>
      </c>
      <c r="H126" s="877"/>
      <c r="I126" s="48">
        <f t="shared" si="21"/>
        <v>1</v>
      </c>
      <c r="J126" s="877"/>
      <c r="K126" s="48">
        <f t="shared" si="22"/>
        <v>1</v>
      </c>
      <c r="L126" s="877"/>
      <c r="M126" s="48">
        <f t="shared" si="23"/>
        <v>1</v>
      </c>
      <c r="N126" s="877"/>
      <c r="O126" s="48">
        <f t="shared" si="24"/>
        <v>1</v>
      </c>
      <c r="P126" s="877"/>
      <c r="Q126" s="48">
        <f t="shared" si="25"/>
        <v>1</v>
      </c>
      <c r="R126" s="48">
        <f t="shared" si="26"/>
        <v>0</v>
      </c>
      <c r="S126" s="733">
        <f t="shared" si="27"/>
        <v>0</v>
      </c>
    </row>
    <row r="127" spans="1:19">
      <c r="A127" s="878"/>
      <c r="B127" s="125"/>
      <c r="C127" s="48">
        <f t="shared" si="18"/>
        <v>1</v>
      </c>
      <c r="D127" s="877"/>
      <c r="E127" s="48">
        <f t="shared" si="19"/>
        <v>1</v>
      </c>
      <c r="F127" s="877"/>
      <c r="G127" s="48">
        <f t="shared" si="20"/>
        <v>1</v>
      </c>
      <c r="H127" s="877"/>
      <c r="I127" s="48">
        <f t="shared" si="21"/>
        <v>1</v>
      </c>
      <c r="J127" s="877"/>
      <c r="K127" s="48">
        <f t="shared" si="22"/>
        <v>1</v>
      </c>
      <c r="L127" s="877"/>
      <c r="M127" s="48">
        <f t="shared" si="23"/>
        <v>1</v>
      </c>
      <c r="N127" s="877"/>
      <c r="O127" s="48">
        <f t="shared" si="24"/>
        <v>1</v>
      </c>
      <c r="P127" s="877"/>
      <c r="Q127" s="48">
        <f t="shared" si="25"/>
        <v>1</v>
      </c>
      <c r="R127" s="48">
        <f t="shared" si="26"/>
        <v>0</v>
      </c>
      <c r="S127" s="733">
        <f t="shared" si="27"/>
        <v>0</v>
      </c>
    </row>
    <row r="128" spans="1:19">
      <c r="A128" s="878"/>
      <c r="B128" s="125"/>
      <c r="C128" s="48">
        <f t="shared" si="18"/>
        <v>1</v>
      </c>
      <c r="D128" s="877"/>
      <c r="E128" s="48">
        <f t="shared" si="19"/>
        <v>1</v>
      </c>
      <c r="F128" s="877"/>
      <c r="G128" s="48">
        <f t="shared" si="20"/>
        <v>1</v>
      </c>
      <c r="H128" s="877"/>
      <c r="I128" s="48">
        <f t="shared" si="21"/>
        <v>1</v>
      </c>
      <c r="J128" s="877"/>
      <c r="K128" s="48">
        <f t="shared" si="22"/>
        <v>1</v>
      </c>
      <c r="L128" s="877"/>
      <c r="M128" s="48">
        <f t="shared" si="23"/>
        <v>1</v>
      </c>
      <c r="N128" s="877"/>
      <c r="O128" s="48">
        <f t="shared" si="24"/>
        <v>1</v>
      </c>
      <c r="P128" s="877"/>
      <c r="Q128" s="48">
        <f t="shared" si="25"/>
        <v>1</v>
      </c>
      <c r="R128" s="48">
        <f t="shared" si="26"/>
        <v>0</v>
      </c>
      <c r="S128" s="733">
        <f t="shared" si="27"/>
        <v>0</v>
      </c>
    </row>
    <row r="129" spans="1:19">
      <c r="A129" s="878"/>
      <c r="B129" s="125"/>
      <c r="C129" s="48">
        <f t="shared" si="18"/>
        <v>1</v>
      </c>
      <c r="D129" s="877"/>
      <c r="E129" s="48">
        <f t="shared" si="19"/>
        <v>1</v>
      </c>
      <c r="F129" s="877"/>
      <c r="G129" s="48">
        <f t="shared" si="20"/>
        <v>1</v>
      </c>
      <c r="H129" s="877"/>
      <c r="I129" s="48">
        <f t="shared" si="21"/>
        <v>1</v>
      </c>
      <c r="J129" s="877"/>
      <c r="K129" s="48">
        <f t="shared" si="22"/>
        <v>1</v>
      </c>
      <c r="L129" s="877"/>
      <c r="M129" s="48">
        <f t="shared" si="23"/>
        <v>1</v>
      </c>
      <c r="N129" s="877"/>
      <c r="O129" s="48">
        <f t="shared" si="24"/>
        <v>1</v>
      </c>
      <c r="P129" s="877"/>
      <c r="Q129" s="48">
        <f t="shared" si="25"/>
        <v>1</v>
      </c>
      <c r="R129" s="48">
        <f t="shared" si="26"/>
        <v>0</v>
      </c>
      <c r="S129" s="733">
        <f t="shared" si="27"/>
        <v>0</v>
      </c>
    </row>
    <row r="130" spans="1:19">
      <c r="A130" s="878"/>
      <c r="B130" s="125"/>
      <c r="C130" s="48">
        <f t="shared" si="18"/>
        <v>1</v>
      </c>
      <c r="D130" s="877"/>
      <c r="E130" s="48">
        <f t="shared" si="19"/>
        <v>1</v>
      </c>
      <c r="F130" s="877"/>
      <c r="G130" s="48">
        <f t="shared" si="20"/>
        <v>1</v>
      </c>
      <c r="H130" s="877"/>
      <c r="I130" s="48">
        <f t="shared" si="21"/>
        <v>1</v>
      </c>
      <c r="J130" s="877"/>
      <c r="K130" s="48">
        <f t="shared" si="22"/>
        <v>1</v>
      </c>
      <c r="L130" s="877"/>
      <c r="M130" s="48">
        <f t="shared" si="23"/>
        <v>1</v>
      </c>
      <c r="N130" s="877"/>
      <c r="O130" s="48">
        <f t="shared" si="24"/>
        <v>1</v>
      </c>
      <c r="P130" s="877"/>
      <c r="Q130" s="48">
        <f t="shared" si="25"/>
        <v>1</v>
      </c>
      <c r="R130" s="48">
        <f t="shared" si="26"/>
        <v>0</v>
      </c>
      <c r="S130" s="733">
        <f t="shared" si="27"/>
        <v>0</v>
      </c>
    </row>
    <row r="131" spans="1:19">
      <c r="A131" s="878"/>
      <c r="B131" s="125"/>
      <c r="C131" s="48">
        <f t="shared" si="18"/>
        <v>1</v>
      </c>
      <c r="D131" s="877"/>
      <c r="E131" s="48">
        <f t="shared" si="19"/>
        <v>1</v>
      </c>
      <c r="F131" s="877"/>
      <c r="G131" s="48">
        <f t="shared" si="20"/>
        <v>1</v>
      </c>
      <c r="H131" s="877"/>
      <c r="I131" s="48">
        <f t="shared" si="21"/>
        <v>1</v>
      </c>
      <c r="J131" s="877"/>
      <c r="K131" s="48">
        <f t="shared" si="22"/>
        <v>1</v>
      </c>
      <c r="L131" s="877"/>
      <c r="M131" s="48">
        <f t="shared" si="23"/>
        <v>1</v>
      </c>
      <c r="N131" s="877"/>
      <c r="O131" s="48">
        <f t="shared" si="24"/>
        <v>1</v>
      </c>
      <c r="P131" s="877"/>
      <c r="Q131" s="48">
        <f t="shared" si="25"/>
        <v>1</v>
      </c>
      <c r="R131" s="48">
        <f t="shared" si="26"/>
        <v>0</v>
      </c>
      <c r="S131" s="733">
        <f t="shared" si="27"/>
        <v>0</v>
      </c>
    </row>
    <row r="132" spans="1:19">
      <c r="A132" s="878"/>
      <c r="B132" s="125"/>
      <c r="C132" s="48">
        <f t="shared" si="18"/>
        <v>1</v>
      </c>
      <c r="D132" s="877"/>
      <c r="E132" s="48">
        <f t="shared" si="19"/>
        <v>1</v>
      </c>
      <c r="F132" s="877"/>
      <c r="G132" s="48">
        <f t="shared" si="20"/>
        <v>1</v>
      </c>
      <c r="H132" s="877"/>
      <c r="I132" s="48">
        <f t="shared" si="21"/>
        <v>1</v>
      </c>
      <c r="J132" s="877"/>
      <c r="K132" s="48">
        <f t="shared" si="22"/>
        <v>1</v>
      </c>
      <c r="L132" s="877"/>
      <c r="M132" s="48">
        <f t="shared" si="23"/>
        <v>1</v>
      </c>
      <c r="N132" s="877"/>
      <c r="O132" s="48">
        <f t="shared" si="24"/>
        <v>1</v>
      </c>
      <c r="P132" s="877"/>
      <c r="Q132" s="48">
        <f t="shared" si="25"/>
        <v>1</v>
      </c>
      <c r="R132" s="48">
        <f t="shared" si="26"/>
        <v>0</v>
      </c>
      <c r="S132" s="733">
        <f t="shared" si="27"/>
        <v>0</v>
      </c>
    </row>
    <row r="133" spans="1:19">
      <c r="A133" s="878"/>
      <c r="B133" s="125"/>
      <c r="C133" s="48">
        <f t="shared" si="18"/>
        <v>1</v>
      </c>
      <c r="D133" s="877"/>
      <c r="E133" s="48">
        <f t="shared" si="19"/>
        <v>1</v>
      </c>
      <c r="F133" s="877"/>
      <c r="G133" s="48">
        <f t="shared" si="20"/>
        <v>1</v>
      </c>
      <c r="H133" s="877"/>
      <c r="I133" s="48">
        <f t="shared" si="21"/>
        <v>1</v>
      </c>
      <c r="J133" s="877"/>
      <c r="K133" s="48">
        <f t="shared" si="22"/>
        <v>1</v>
      </c>
      <c r="L133" s="877"/>
      <c r="M133" s="48">
        <f t="shared" si="23"/>
        <v>1</v>
      </c>
      <c r="N133" s="877"/>
      <c r="O133" s="48">
        <f t="shared" si="24"/>
        <v>1</v>
      </c>
      <c r="P133" s="877"/>
      <c r="Q133" s="48">
        <f t="shared" si="25"/>
        <v>1</v>
      </c>
      <c r="R133" s="48">
        <f t="shared" si="26"/>
        <v>0</v>
      </c>
      <c r="S133" s="733">
        <f t="shared" si="27"/>
        <v>0</v>
      </c>
    </row>
    <row r="134" spans="1:19">
      <c r="A134" s="878"/>
      <c r="B134" s="125"/>
      <c r="C134" s="48">
        <f t="shared" si="18"/>
        <v>1</v>
      </c>
      <c r="D134" s="877"/>
      <c r="E134" s="48">
        <f t="shared" si="19"/>
        <v>1</v>
      </c>
      <c r="F134" s="877"/>
      <c r="G134" s="48">
        <f t="shared" si="20"/>
        <v>1</v>
      </c>
      <c r="H134" s="877"/>
      <c r="I134" s="48">
        <f t="shared" si="21"/>
        <v>1</v>
      </c>
      <c r="J134" s="877"/>
      <c r="K134" s="48">
        <f t="shared" si="22"/>
        <v>1</v>
      </c>
      <c r="L134" s="877"/>
      <c r="M134" s="48">
        <f t="shared" si="23"/>
        <v>1</v>
      </c>
      <c r="N134" s="877"/>
      <c r="O134" s="48">
        <f t="shared" si="24"/>
        <v>1</v>
      </c>
      <c r="P134" s="877"/>
      <c r="Q134" s="48">
        <f t="shared" si="25"/>
        <v>1</v>
      </c>
      <c r="R134" s="48">
        <f t="shared" si="26"/>
        <v>0</v>
      </c>
      <c r="S134" s="733">
        <f t="shared" si="27"/>
        <v>0</v>
      </c>
    </row>
    <row r="135" spans="1:19">
      <c r="A135" s="878"/>
      <c r="B135" s="125"/>
      <c r="C135" s="48">
        <f t="shared" si="18"/>
        <v>1</v>
      </c>
      <c r="D135" s="877"/>
      <c r="E135" s="48">
        <f t="shared" si="19"/>
        <v>1</v>
      </c>
      <c r="F135" s="877"/>
      <c r="G135" s="48">
        <f t="shared" si="20"/>
        <v>1</v>
      </c>
      <c r="H135" s="877"/>
      <c r="I135" s="48">
        <f t="shared" si="21"/>
        <v>1</v>
      </c>
      <c r="J135" s="877"/>
      <c r="K135" s="48">
        <f t="shared" si="22"/>
        <v>1</v>
      </c>
      <c r="L135" s="877"/>
      <c r="M135" s="48">
        <f t="shared" si="23"/>
        <v>1</v>
      </c>
      <c r="N135" s="877"/>
      <c r="O135" s="48">
        <f t="shared" si="24"/>
        <v>1</v>
      </c>
      <c r="P135" s="877"/>
      <c r="Q135" s="48">
        <f t="shared" si="25"/>
        <v>1</v>
      </c>
      <c r="R135" s="48">
        <f t="shared" si="26"/>
        <v>0</v>
      </c>
      <c r="S135" s="733">
        <f t="shared" si="27"/>
        <v>0</v>
      </c>
    </row>
    <row r="136" spans="1:19">
      <c r="A136" s="878"/>
      <c r="B136" s="125"/>
      <c r="C136" s="48">
        <f t="shared" si="18"/>
        <v>1</v>
      </c>
      <c r="D136" s="877"/>
      <c r="E136" s="48">
        <f t="shared" si="19"/>
        <v>1</v>
      </c>
      <c r="F136" s="877"/>
      <c r="G136" s="48">
        <f t="shared" si="20"/>
        <v>1</v>
      </c>
      <c r="H136" s="877"/>
      <c r="I136" s="48">
        <f t="shared" si="21"/>
        <v>1</v>
      </c>
      <c r="J136" s="877"/>
      <c r="K136" s="48">
        <f t="shared" si="22"/>
        <v>1</v>
      </c>
      <c r="L136" s="877"/>
      <c r="M136" s="48">
        <f t="shared" si="23"/>
        <v>1</v>
      </c>
      <c r="N136" s="877"/>
      <c r="O136" s="48">
        <f t="shared" si="24"/>
        <v>1</v>
      </c>
      <c r="P136" s="877"/>
      <c r="Q136" s="48">
        <f t="shared" si="25"/>
        <v>1</v>
      </c>
      <c r="R136" s="48">
        <f t="shared" si="26"/>
        <v>0</v>
      </c>
      <c r="S136" s="733">
        <f t="shared" si="27"/>
        <v>0</v>
      </c>
    </row>
    <row r="137" spans="1:19">
      <c r="A137" s="878"/>
      <c r="B137" s="125"/>
      <c r="C137" s="48">
        <f t="shared" si="18"/>
        <v>1</v>
      </c>
      <c r="D137" s="877"/>
      <c r="E137" s="48">
        <f t="shared" si="19"/>
        <v>1</v>
      </c>
      <c r="F137" s="877"/>
      <c r="G137" s="48">
        <f t="shared" si="20"/>
        <v>1</v>
      </c>
      <c r="H137" s="877"/>
      <c r="I137" s="48">
        <f t="shared" si="21"/>
        <v>1</v>
      </c>
      <c r="J137" s="877"/>
      <c r="K137" s="48">
        <f t="shared" si="22"/>
        <v>1</v>
      </c>
      <c r="L137" s="877"/>
      <c r="M137" s="48">
        <f t="shared" si="23"/>
        <v>1</v>
      </c>
      <c r="N137" s="877"/>
      <c r="O137" s="48">
        <f t="shared" si="24"/>
        <v>1</v>
      </c>
      <c r="P137" s="877"/>
      <c r="Q137" s="48">
        <f t="shared" si="25"/>
        <v>1</v>
      </c>
      <c r="R137" s="48">
        <f t="shared" si="26"/>
        <v>0</v>
      </c>
      <c r="S137" s="733">
        <f t="shared" si="27"/>
        <v>0</v>
      </c>
    </row>
    <row r="138" spans="1:19">
      <c r="A138" s="878"/>
      <c r="B138" s="125"/>
      <c r="C138" s="48">
        <f t="shared" si="18"/>
        <v>1</v>
      </c>
      <c r="D138" s="877"/>
      <c r="E138" s="48">
        <f t="shared" si="19"/>
        <v>1</v>
      </c>
      <c r="F138" s="877"/>
      <c r="G138" s="48">
        <f t="shared" si="20"/>
        <v>1</v>
      </c>
      <c r="H138" s="877"/>
      <c r="I138" s="48">
        <f t="shared" si="21"/>
        <v>1</v>
      </c>
      <c r="J138" s="877"/>
      <c r="K138" s="48">
        <f t="shared" si="22"/>
        <v>1</v>
      </c>
      <c r="L138" s="877"/>
      <c r="M138" s="48">
        <f t="shared" si="23"/>
        <v>1</v>
      </c>
      <c r="N138" s="877"/>
      <c r="O138" s="48">
        <f t="shared" si="24"/>
        <v>1</v>
      </c>
      <c r="P138" s="877"/>
      <c r="Q138" s="48">
        <f t="shared" si="25"/>
        <v>1</v>
      </c>
      <c r="R138" s="48">
        <f t="shared" si="26"/>
        <v>0</v>
      </c>
      <c r="S138" s="733">
        <f t="shared" si="27"/>
        <v>0</v>
      </c>
    </row>
    <row r="139" spans="1:19">
      <c r="A139" s="878"/>
      <c r="B139" s="125"/>
      <c r="C139" s="48">
        <f t="shared" si="18"/>
        <v>1</v>
      </c>
      <c r="D139" s="877"/>
      <c r="E139" s="48">
        <f t="shared" si="19"/>
        <v>1</v>
      </c>
      <c r="F139" s="877"/>
      <c r="G139" s="48">
        <f t="shared" si="20"/>
        <v>1</v>
      </c>
      <c r="H139" s="877"/>
      <c r="I139" s="48">
        <f t="shared" si="21"/>
        <v>1</v>
      </c>
      <c r="J139" s="877"/>
      <c r="K139" s="48">
        <f t="shared" si="22"/>
        <v>1</v>
      </c>
      <c r="L139" s="877"/>
      <c r="M139" s="48">
        <f t="shared" si="23"/>
        <v>1</v>
      </c>
      <c r="N139" s="877"/>
      <c r="O139" s="48">
        <f t="shared" si="24"/>
        <v>1</v>
      </c>
      <c r="P139" s="877"/>
      <c r="Q139" s="48">
        <f t="shared" si="25"/>
        <v>1</v>
      </c>
      <c r="R139" s="48">
        <f t="shared" si="26"/>
        <v>0</v>
      </c>
      <c r="S139" s="733">
        <f t="shared" si="27"/>
        <v>0</v>
      </c>
    </row>
    <row r="140" spans="1:19">
      <c r="A140" s="878"/>
      <c r="B140" s="125"/>
      <c r="C140" s="48">
        <f t="shared" si="18"/>
        <v>1</v>
      </c>
      <c r="D140" s="877"/>
      <c r="E140" s="48">
        <f t="shared" si="19"/>
        <v>1</v>
      </c>
      <c r="F140" s="877"/>
      <c r="G140" s="48">
        <f t="shared" si="20"/>
        <v>1</v>
      </c>
      <c r="H140" s="877"/>
      <c r="I140" s="48">
        <f t="shared" si="21"/>
        <v>1</v>
      </c>
      <c r="J140" s="877"/>
      <c r="K140" s="48">
        <f t="shared" si="22"/>
        <v>1</v>
      </c>
      <c r="L140" s="877"/>
      <c r="M140" s="48">
        <f t="shared" si="23"/>
        <v>1</v>
      </c>
      <c r="N140" s="877"/>
      <c r="O140" s="48">
        <f t="shared" si="24"/>
        <v>1</v>
      </c>
      <c r="P140" s="877"/>
      <c r="Q140" s="48">
        <f t="shared" si="25"/>
        <v>1</v>
      </c>
      <c r="R140" s="48">
        <f t="shared" si="26"/>
        <v>0</v>
      </c>
      <c r="S140" s="733">
        <f t="shared" si="27"/>
        <v>0</v>
      </c>
    </row>
    <row r="141" spans="1:19">
      <c r="A141" s="878"/>
      <c r="B141" s="125"/>
      <c r="C141" s="48">
        <f t="shared" si="18"/>
        <v>1</v>
      </c>
      <c r="D141" s="877"/>
      <c r="E141" s="48">
        <f t="shared" si="19"/>
        <v>1</v>
      </c>
      <c r="F141" s="877"/>
      <c r="G141" s="48">
        <f t="shared" si="20"/>
        <v>1</v>
      </c>
      <c r="H141" s="877"/>
      <c r="I141" s="48">
        <f t="shared" si="21"/>
        <v>1</v>
      </c>
      <c r="J141" s="877"/>
      <c r="K141" s="48">
        <f t="shared" si="22"/>
        <v>1</v>
      </c>
      <c r="L141" s="877"/>
      <c r="M141" s="48">
        <f t="shared" si="23"/>
        <v>1</v>
      </c>
      <c r="N141" s="877"/>
      <c r="O141" s="48">
        <f t="shared" si="24"/>
        <v>1</v>
      </c>
      <c r="P141" s="877"/>
      <c r="Q141" s="48">
        <f t="shared" si="25"/>
        <v>1</v>
      </c>
      <c r="R141" s="48">
        <f t="shared" si="26"/>
        <v>0</v>
      </c>
      <c r="S141" s="733">
        <f t="shared" si="27"/>
        <v>0</v>
      </c>
    </row>
    <row r="142" spans="1:19">
      <c r="A142" s="878"/>
      <c r="B142" s="125"/>
      <c r="C142" s="48">
        <f t="shared" si="18"/>
        <v>1</v>
      </c>
      <c r="D142" s="877"/>
      <c r="E142" s="48">
        <f t="shared" si="19"/>
        <v>1</v>
      </c>
      <c r="F142" s="877"/>
      <c r="G142" s="48">
        <f t="shared" si="20"/>
        <v>1</v>
      </c>
      <c r="H142" s="877"/>
      <c r="I142" s="48">
        <f t="shared" si="21"/>
        <v>1</v>
      </c>
      <c r="J142" s="877"/>
      <c r="K142" s="48">
        <f t="shared" si="22"/>
        <v>1</v>
      </c>
      <c r="L142" s="877"/>
      <c r="M142" s="48">
        <f t="shared" si="23"/>
        <v>1</v>
      </c>
      <c r="N142" s="877"/>
      <c r="O142" s="48">
        <f t="shared" si="24"/>
        <v>1</v>
      </c>
      <c r="P142" s="877"/>
      <c r="Q142" s="48">
        <f t="shared" si="25"/>
        <v>1</v>
      </c>
      <c r="R142" s="48">
        <f t="shared" si="26"/>
        <v>0</v>
      </c>
      <c r="S142" s="733">
        <f t="shared" si="27"/>
        <v>0</v>
      </c>
    </row>
    <row r="143" spans="1:19">
      <c r="A143" s="878"/>
      <c r="B143" s="125"/>
      <c r="C143" s="48">
        <f t="shared" si="18"/>
        <v>1</v>
      </c>
      <c r="D143" s="877"/>
      <c r="E143" s="48">
        <f t="shared" si="19"/>
        <v>1</v>
      </c>
      <c r="F143" s="877"/>
      <c r="G143" s="48">
        <f t="shared" si="20"/>
        <v>1</v>
      </c>
      <c r="H143" s="877"/>
      <c r="I143" s="48">
        <f t="shared" si="21"/>
        <v>1</v>
      </c>
      <c r="J143" s="877"/>
      <c r="K143" s="48">
        <f t="shared" si="22"/>
        <v>1</v>
      </c>
      <c r="L143" s="877"/>
      <c r="M143" s="48">
        <f t="shared" si="23"/>
        <v>1</v>
      </c>
      <c r="N143" s="877"/>
      <c r="O143" s="48">
        <f t="shared" si="24"/>
        <v>1</v>
      </c>
      <c r="P143" s="877"/>
      <c r="Q143" s="48">
        <f t="shared" si="25"/>
        <v>1</v>
      </c>
      <c r="R143" s="48">
        <f t="shared" si="26"/>
        <v>0</v>
      </c>
      <c r="S143" s="733">
        <f t="shared" si="27"/>
        <v>0</v>
      </c>
    </row>
    <row r="144" spans="1:19">
      <c r="A144" s="878"/>
      <c r="B144" s="125"/>
      <c r="C144" s="48">
        <f t="shared" si="18"/>
        <v>1</v>
      </c>
      <c r="D144" s="877"/>
      <c r="E144" s="48">
        <f t="shared" si="19"/>
        <v>1</v>
      </c>
      <c r="F144" s="877"/>
      <c r="G144" s="48">
        <f t="shared" si="20"/>
        <v>1</v>
      </c>
      <c r="H144" s="877"/>
      <c r="I144" s="48">
        <f t="shared" si="21"/>
        <v>1</v>
      </c>
      <c r="J144" s="877"/>
      <c r="K144" s="48">
        <f t="shared" si="22"/>
        <v>1</v>
      </c>
      <c r="L144" s="877"/>
      <c r="M144" s="48">
        <f t="shared" si="23"/>
        <v>1</v>
      </c>
      <c r="N144" s="877"/>
      <c r="O144" s="48">
        <f t="shared" si="24"/>
        <v>1</v>
      </c>
      <c r="P144" s="877"/>
      <c r="Q144" s="48">
        <f t="shared" si="25"/>
        <v>1</v>
      </c>
      <c r="R144" s="48">
        <f t="shared" si="26"/>
        <v>0</v>
      </c>
      <c r="S144" s="733">
        <f t="shared" si="27"/>
        <v>0</v>
      </c>
    </row>
    <row r="145" spans="1:19">
      <c r="A145" s="878"/>
      <c r="B145" s="125"/>
      <c r="C145" s="48">
        <f t="shared" si="18"/>
        <v>1</v>
      </c>
      <c r="D145" s="877"/>
      <c r="E145" s="48">
        <f t="shared" si="19"/>
        <v>1</v>
      </c>
      <c r="F145" s="877"/>
      <c r="G145" s="48">
        <f t="shared" si="20"/>
        <v>1</v>
      </c>
      <c r="H145" s="877"/>
      <c r="I145" s="48">
        <f t="shared" si="21"/>
        <v>1</v>
      </c>
      <c r="J145" s="877"/>
      <c r="K145" s="48">
        <f t="shared" si="22"/>
        <v>1</v>
      </c>
      <c r="L145" s="877"/>
      <c r="M145" s="48">
        <f t="shared" si="23"/>
        <v>1</v>
      </c>
      <c r="N145" s="877"/>
      <c r="O145" s="48">
        <f t="shared" si="24"/>
        <v>1</v>
      </c>
      <c r="P145" s="877"/>
      <c r="Q145" s="48">
        <f t="shared" si="25"/>
        <v>1</v>
      </c>
      <c r="R145" s="48">
        <f t="shared" si="26"/>
        <v>0</v>
      </c>
      <c r="S145" s="733">
        <f t="shared" si="27"/>
        <v>0</v>
      </c>
    </row>
    <row r="146" spans="1:19">
      <c r="A146" s="878"/>
      <c r="B146" s="125"/>
      <c r="C146" s="48">
        <f t="shared" si="18"/>
        <v>1</v>
      </c>
      <c r="D146" s="877"/>
      <c r="E146" s="48">
        <f t="shared" si="19"/>
        <v>1</v>
      </c>
      <c r="F146" s="877"/>
      <c r="G146" s="48">
        <f t="shared" si="20"/>
        <v>1</v>
      </c>
      <c r="H146" s="877"/>
      <c r="I146" s="48">
        <f t="shared" si="21"/>
        <v>1</v>
      </c>
      <c r="J146" s="877"/>
      <c r="K146" s="48">
        <f t="shared" si="22"/>
        <v>1</v>
      </c>
      <c r="L146" s="877"/>
      <c r="M146" s="48">
        <f t="shared" si="23"/>
        <v>1</v>
      </c>
      <c r="N146" s="877"/>
      <c r="O146" s="48">
        <f t="shared" si="24"/>
        <v>1</v>
      </c>
      <c r="P146" s="877"/>
      <c r="Q146" s="48">
        <f t="shared" si="25"/>
        <v>1</v>
      </c>
      <c r="R146" s="48">
        <f t="shared" si="26"/>
        <v>0</v>
      </c>
      <c r="S146" s="733">
        <f t="shared" si="27"/>
        <v>0</v>
      </c>
    </row>
    <row r="147" spans="1:19">
      <c r="A147" s="878"/>
      <c r="B147" s="125"/>
      <c r="C147" s="48">
        <f t="shared" si="18"/>
        <v>1</v>
      </c>
      <c r="D147" s="877"/>
      <c r="E147" s="48">
        <f t="shared" si="19"/>
        <v>1</v>
      </c>
      <c r="F147" s="877"/>
      <c r="G147" s="48">
        <f t="shared" si="20"/>
        <v>1</v>
      </c>
      <c r="H147" s="877"/>
      <c r="I147" s="48">
        <f t="shared" si="21"/>
        <v>1</v>
      </c>
      <c r="J147" s="877"/>
      <c r="K147" s="48">
        <f t="shared" si="22"/>
        <v>1</v>
      </c>
      <c r="L147" s="877"/>
      <c r="M147" s="48">
        <f t="shared" si="23"/>
        <v>1</v>
      </c>
      <c r="N147" s="877"/>
      <c r="O147" s="48">
        <f t="shared" si="24"/>
        <v>1</v>
      </c>
      <c r="P147" s="877"/>
      <c r="Q147" s="48">
        <f t="shared" si="25"/>
        <v>1</v>
      </c>
      <c r="R147" s="48">
        <f t="shared" si="26"/>
        <v>0</v>
      </c>
      <c r="S147" s="733">
        <f t="shared" si="27"/>
        <v>0</v>
      </c>
    </row>
    <row r="148" spans="1:19">
      <c r="A148" s="878"/>
      <c r="B148" s="125"/>
      <c r="C148" s="48">
        <f t="shared" si="18"/>
        <v>1</v>
      </c>
      <c r="D148" s="877"/>
      <c r="E148" s="48">
        <f t="shared" si="19"/>
        <v>1</v>
      </c>
      <c r="F148" s="877"/>
      <c r="G148" s="48">
        <f t="shared" si="20"/>
        <v>1</v>
      </c>
      <c r="H148" s="877"/>
      <c r="I148" s="48">
        <f t="shared" si="21"/>
        <v>1</v>
      </c>
      <c r="J148" s="877"/>
      <c r="K148" s="48">
        <f t="shared" si="22"/>
        <v>1</v>
      </c>
      <c r="L148" s="877"/>
      <c r="M148" s="48">
        <f t="shared" si="23"/>
        <v>1</v>
      </c>
      <c r="N148" s="877"/>
      <c r="O148" s="48">
        <f t="shared" si="24"/>
        <v>1</v>
      </c>
      <c r="P148" s="877"/>
      <c r="Q148" s="48">
        <f t="shared" si="25"/>
        <v>1</v>
      </c>
      <c r="R148" s="48">
        <f t="shared" si="26"/>
        <v>0</v>
      </c>
      <c r="S148" s="733">
        <f t="shared" si="27"/>
        <v>0</v>
      </c>
    </row>
    <row r="149" spans="1:19">
      <c r="A149" s="878"/>
      <c r="B149" s="125"/>
      <c r="C149" s="48">
        <f t="shared" si="18"/>
        <v>1</v>
      </c>
      <c r="D149" s="877"/>
      <c r="E149" s="48">
        <f t="shared" si="19"/>
        <v>1</v>
      </c>
      <c r="F149" s="877"/>
      <c r="G149" s="48">
        <f t="shared" si="20"/>
        <v>1</v>
      </c>
      <c r="H149" s="877"/>
      <c r="I149" s="48">
        <f t="shared" si="21"/>
        <v>1</v>
      </c>
      <c r="J149" s="877"/>
      <c r="K149" s="48">
        <f t="shared" si="22"/>
        <v>1</v>
      </c>
      <c r="L149" s="877"/>
      <c r="M149" s="48">
        <f t="shared" si="23"/>
        <v>1</v>
      </c>
      <c r="N149" s="877"/>
      <c r="O149" s="48">
        <f t="shared" si="24"/>
        <v>1</v>
      </c>
      <c r="P149" s="877"/>
      <c r="Q149" s="48">
        <f t="shared" si="25"/>
        <v>1</v>
      </c>
      <c r="R149" s="48">
        <f t="shared" si="26"/>
        <v>0</v>
      </c>
      <c r="S149" s="733">
        <f t="shared" si="27"/>
        <v>0</v>
      </c>
    </row>
    <row r="150" spans="1:19">
      <c r="A150" s="878"/>
      <c r="B150" s="125"/>
      <c r="C150" s="48">
        <f t="shared" si="18"/>
        <v>1</v>
      </c>
      <c r="D150" s="877"/>
      <c r="E150" s="48">
        <f t="shared" si="19"/>
        <v>1</v>
      </c>
      <c r="F150" s="877"/>
      <c r="G150" s="48">
        <f t="shared" si="20"/>
        <v>1</v>
      </c>
      <c r="H150" s="877"/>
      <c r="I150" s="48">
        <f t="shared" si="21"/>
        <v>1</v>
      </c>
      <c r="J150" s="877"/>
      <c r="K150" s="48">
        <f t="shared" si="22"/>
        <v>1</v>
      </c>
      <c r="L150" s="877"/>
      <c r="M150" s="48">
        <f t="shared" si="23"/>
        <v>1</v>
      </c>
      <c r="N150" s="877"/>
      <c r="O150" s="48">
        <f t="shared" si="24"/>
        <v>1</v>
      </c>
      <c r="P150" s="877"/>
      <c r="Q150" s="48">
        <f t="shared" si="25"/>
        <v>1</v>
      </c>
      <c r="R150" s="48">
        <f t="shared" si="26"/>
        <v>0</v>
      </c>
      <c r="S150" s="733">
        <f t="shared" si="27"/>
        <v>0</v>
      </c>
    </row>
    <row r="151" spans="1:19">
      <c r="A151" s="878"/>
      <c r="B151" s="125"/>
      <c r="C151" s="48">
        <f t="shared" si="18"/>
        <v>1</v>
      </c>
      <c r="D151" s="877"/>
      <c r="E151" s="48">
        <f t="shared" si="19"/>
        <v>1</v>
      </c>
      <c r="F151" s="877"/>
      <c r="G151" s="48">
        <f t="shared" si="20"/>
        <v>1</v>
      </c>
      <c r="H151" s="877"/>
      <c r="I151" s="48">
        <f t="shared" si="21"/>
        <v>1</v>
      </c>
      <c r="J151" s="877"/>
      <c r="K151" s="48">
        <f t="shared" si="22"/>
        <v>1</v>
      </c>
      <c r="L151" s="877"/>
      <c r="M151" s="48">
        <f t="shared" si="23"/>
        <v>1</v>
      </c>
      <c r="N151" s="877"/>
      <c r="O151" s="48">
        <f t="shared" si="24"/>
        <v>1</v>
      </c>
      <c r="P151" s="877"/>
      <c r="Q151" s="48">
        <f t="shared" si="25"/>
        <v>1</v>
      </c>
      <c r="R151" s="48">
        <f t="shared" si="26"/>
        <v>0</v>
      </c>
      <c r="S151" s="733">
        <f t="shared" si="27"/>
        <v>0</v>
      </c>
    </row>
    <row r="152" spans="1:19">
      <c r="A152" s="878"/>
      <c r="B152" s="125"/>
      <c r="C152" s="48">
        <f t="shared" si="18"/>
        <v>1</v>
      </c>
      <c r="D152" s="877"/>
      <c r="E152" s="48">
        <f t="shared" si="19"/>
        <v>1</v>
      </c>
      <c r="F152" s="877"/>
      <c r="G152" s="48">
        <f t="shared" si="20"/>
        <v>1</v>
      </c>
      <c r="H152" s="877"/>
      <c r="I152" s="48">
        <f t="shared" si="21"/>
        <v>1</v>
      </c>
      <c r="J152" s="877"/>
      <c r="K152" s="48">
        <f t="shared" si="22"/>
        <v>1</v>
      </c>
      <c r="L152" s="877"/>
      <c r="M152" s="48">
        <f t="shared" si="23"/>
        <v>1</v>
      </c>
      <c r="N152" s="877"/>
      <c r="O152" s="48">
        <f t="shared" si="24"/>
        <v>1</v>
      </c>
      <c r="P152" s="877"/>
      <c r="Q152" s="48">
        <f t="shared" si="25"/>
        <v>1</v>
      </c>
      <c r="R152" s="48">
        <f t="shared" si="26"/>
        <v>0</v>
      </c>
      <c r="S152" s="733">
        <f t="shared" si="27"/>
        <v>0</v>
      </c>
    </row>
    <row r="153" spans="1:19">
      <c r="A153" s="878"/>
      <c r="B153" s="125"/>
      <c r="C153" s="48">
        <f t="shared" si="18"/>
        <v>1</v>
      </c>
      <c r="D153" s="877"/>
      <c r="E153" s="48">
        <f t="shared" si="19"/>
        <v>1</v>
      </c>
      <c r="F153" s="877"/>
      <c r="G153" s="48">
        <f t="shared" si="20"/>
        <v>1</v>
      </c>
      <c r="H153" s="877"/>
      <c r="I153" s="48">
        <f t="shared" si="21"/>
        <v>1</v>
      </c>
      <c r="J153" s="877"/>
      <c r="K153" s="48">
        <f t="shared" si="22"/>
        <v>1</v>
      </c>
      <c r="L153" s="877"/>
      <c r="M153" s="48">
        <f t="shared" si="23"/>
        <v>1</v>
      </c>
      <c r="N153" s="877"/>
      <c r="O153" s="48">
        <f t="shared" si="24"/>
        <v>1</v>
      </c>
      <c r="P153" s="877"/>
      <c r="Q153" s="48">
        <f t="shared" si="25"/>
        <v>1</v>
      </c>
      <c r="R153" s="48">
        <f t="shared" si="26"/>
        <v>0</v>
      </c>
      <c r="S153" s="733">
        <f t="shared" si="27"/>
        <v>0</v>
      </c>
    </row>
    <row r="154" spans="1:19">
      <c r="A154" s="878"/>
      <c r="B154" s="125"/>
      <c r="C154" s="48">
        <f t="shared" ref="C154:C217" si="28">IF(B154="",1,(LOOKUP(B154,$3:$3,$4:$4)-LOOKUP($B$24,$3:$3,$4:$4)+100)/100)</f>
        <v>1</v>
      </c>
      <c r="D154" s="877"/>
      <c r="E154" s="48">
        <f t="shared" ref="E154:E217" si="29">(SUMIF($5:$5,D154,$6:$6)-SUMIF($5:$5,$D$24,$6:$6)+100)/100</f>
        <v>1</v>
      </c>
      <c r="F154" s="877"/>
      <c r="G154" s="48">
        <f t="shared" ref="G154:G217" si="30">(SUMIF($7:$7,F154,$8:$8)-SUMIF($7:$7,$F$24,$8:$8)+100)/100</f>
        <v>1</v>
      </c>
      <c r="H154" s="877"/>
      <c r="I154" s="48">
        <f t="shared" ref="I154:I217" si="31">(SUMIF($9:$9,H154,$10:$10)-SUMIF($9:$9,$H$24,$10:$10)+100)/100</f>
        <v>1</v>
      </c>
      <c r="J154" s="877"/>
      <c r="K154" s="48">
        <f t="shared" ref="K154:K217" si="32">(SUMIF($11:$11,J154,$12:$12)-SUMIF($11:$11,$J$24,$12:$12)+100)/100</f>
        <v>1</v>
      </c>
      <c r="L154" s="877"/>
      <c r="M154" s="48">
        <f t="shared" ref="M154:M217" si="33">(SUMIF($13:$13,L154,$14:$14)-SUMIF($13:$13,$L$24,$14:$14)+100)/100</f>
        <v>1</v>
      </c>
      <c r="N154" s="877"/>
      <c r="O154" s="48">
        <f t="shared" ref="O154:O217" si="34">(SUMIF($15:$15,N154,$16:$16)-SUMIF($15:$15,$N$24,$16:$16)+100)/100</f>
        <v>1</v>
      </c>
      <c r="P154" s="877"/>
      <c r="Q154" s="48">
        <f t="shared" ref="Q154:Q217" si="35">(SUMIF($17:$17,P154,$18:$18)-SUMIF($17:$17,$P$24,$18:$18)+100)/100</f>
        <v>1</v>
      </c>
      <c r="R154" s="48">
        <f t="shared" ref="R154:R217" si="36">IF(B154="",0,ROUND($R$24*C154*E154*G154*I154*K154*M154*O154*Q154,0))</f>
        <v>0</v>
      </c>
      <c r="S154" s="733">
        <f t="shared" si="27"/>
        <v>0</v>
      </c>
    </row>
    <row r="155" spans="1:19">
      <c r="A155" s="878"/>
      <c r="B155" s="125"/>
      <c r="C155" s="48">
        <f t="shared" si="28"/>
        <v>1</v>
      </c>
      <c r="D155" s="877"/>
      <c r="E155" s="48">
        <f t="shared" si="29"/>
        <v>1</v>
      </c>
      <c r="F155" s="877"/>
      <c r="G155" s="48">
        <f t="shared" si="30"/>
        <v>1</v>
      </c>
      <c r="H155" s="877"/>
      <c r="I155" s="48">
        <f t="shared" si="31"/>
        <v>1</v>
      </c>
      <c r="J155" s="877"/>
      <c r="K155" s="48">
        <f t="shared" si="32"/>
        <v>1</v>
      </c>
      <c r="L155" s="877"/>
      <c r="M155" s="48">
        <f t="shared" si="33"/>
        <v>1</v>
      </c>
      <c r="N155" s="877"/>
      <c r="O155" s="48">
        <f t="shared" si="34"/>
        <v>1</v>
      </c>
      <c r="P155" s="877"/>
      <c r="Q155" s="48">
        <f t="shared" si="35"/>
        <v>1</v>
      </c>
      <c r="R155" s="48">
        <f t="shared" si="36"/>
        <v>0</v>
      </c>
      <c r="S155" s="733">
        <f t="shared" si="27"/>
        <v>0</v>
      </c>
    </row>
    <row r="156" spans="1:19">
      <c r="A156" s="878"/>
      <c r="B156" s="125"/>
      <c r="C156" s="48">
        <f t="shared" si="28"/>
        <v>1</v>
      </c>
      <c r="D156" s="877"/>
      <c r="E156" s="48">
        <f t="shared" si="29"/>
        <v>1</v>
      </c>
      <c r="F156" s="877"/>
      <c r="G156" s="48">
        <f t="shared" si="30"/>
        <v>1</v>
      </c>
      <c r="H156" s="877"/>
      <c r="I156" s="48">
        <f t="shared" si="31"/>
        <v>1</v>
      </c>
      <c r="J156" s="877"/>
      <c r="K156" s="48">
        <f t="shared" si="32"/>
        <v>1</v>
      </c>
      <c r="L156" s="877"/>
      <c r="M156" s="48">
        <f t="shared" si="33"/>
        <v>1</v>
      </c>
      <c r="N156" s="877"/>
      <c r="O156" s="48">
        <f t="shared" si="34"/>
        <v>1</v>
      </c>
      <c r="P156" s="877"/>
      <c r="Q156" s="48">
        <f t="shared" si="35"/>
        <v>1</v>
      </c>
      <c r="R156" s="48">
        <f t="shared" si="36"/>
        <v>0</v>
      </c>
      <c r="S156" s="733">
        <f t="shared" si="27"/>
        <v>0</v>
      </c>
    </row>
    <row r="157" spans="1:19">
      <c r="A157" s="878"/>
      <c r="B157" s="125"/>
      <c r="C157" s="48">
        <f t="shared" si="28"/>
        <v>1</v>
      </c>
      <c r="D157" s="877"/>
      <c r="E157" s="48">
        <f t="shared" si="29"/>
        <v>1</v>
      </c>
      <c r="F157" s="877"/>
      <c r="G157" s="48">
        <f t="shared" si="30"/>
        <v>1</v>
      </c>
      <c r="H157" s="877"/>
      <c r="I157" s="48">
        <f t="shared" si="31"/>
        <v>1</v>
      </c>
      <c r="J157" s="877"/>
      <c r="K157" s="48">
        <f t="shared" si="32"/>
        <v>1</v>
      </c>
      <c r="L157" s="877"/>
      <c r="M157" s="48">
        <f t="shared" si="33"/>
        <v>1</v>
      </c>
      <c r="N157" s="877"/>
      <c r="O157" s="48">
        <f t="shared" si="34"/>
        <v>1</v>
      </c>
      <c r="P157" s="877"/>
      <c r="Q157" s="48">
        <f t="shared" si="35"/>
        <v>1</v>
      </c>
      <c r="R157" s="48">
        <f t="shared" si="36"/>
        <v>0</v>
      </c>
      <c r="S157" s="733">
        <f t="shared" si="27"/>
        <v>0</v>
      </c>
    </row>
    <row r="158" spans="1:19">
      <c r="A158" s="878"/>
      <c r="B158" s="125"/>
      <c r="C158" s="48">
        <f t="shared" si="28"/>
        <v>1</v>
      </c>
      <c r="D158" s="877"/>
      <c r="E158" s="48">
        <f t="shared" si="29"/>
        <v>1</v>
      </c>
      <c r="F158" s="877"/>
      <c r="G158" s="48">
        <f t="shared" si="30"/>
        <v>1</v>
      </c>
      <c r="H158" s="877"/>
      <c r="I158" s="48">
        <f t="shared" si="31"/>
        <v>1</v>
      </c>
      <c r="J158" s="877"/>
      <c r="K158" s="48">
        <f t="shared" si="32"/>
        <v>1</v>
      </c>
      <c r="L158" s="877"/>
      <c r="M158" s="48">
        <f t="shared" si="33"/>
        <v>1</v>
      </c>
      <c r="N158" s="877"/>
      <c r="O158" s="48">
        <f t="shared" si="34"/>
        <v>1</v>
      </c>
      <c r="P158" s="877"/>
      <c r="Q158" s="48">
        <f t="shared" si="35"/>
        <v>1</v>
      </c>
      <c r="R158" s="48">
        <f t="shared" si="36"/>
        <v>0</v>
      </c>
      <c r="S158" s="733">
        <f t="shared" si="27"/>
        <v>0</v>
      </c>
    </row>
    <row r="159" spans="1:19">
      <c r="A159" s="878"/>
      <c r="B159" s="125"/>
      <c r="C159" s="48">
        <f t="shared" si="28"/>
        <v>1</v>
      </c>
      <c r="D159" s="877"/>
      <c r="E159" s="48">
        <f t="shared" si="29"/>
        <v>1</v>
      </c>
      <c r="F159" s="877"/>
      <c r="G159" s="48">
        <f t="shared" si="30"/>
        <v>1</v>
      </c>
      <c r="H159" s="877"/>
      <c r="I159" s="48">
        <f t="shared" si="31"/>
        <v>1</v>
      </c>
      <c r="J159" s="877"/>
      <c r="K159" s="48">
        <f t="shared" si="32"/>
        <v>1</v>
      </c>
      <c r="L159" s="877"/>
      <c r="M159" s="48">
        <f t="shared" si="33"/>
        <v>1</v>
      </c>
      <c r="N159" s="877"/>
      <c r="O159" s="48">
        <f t="shared" si="34"/>
        <v>1</v>
      </c>
      <c r="P159" s="877"/>
      <c r="Q159" s="48">
        <f t="shared" si="35"/>
        <v>1</v>
      </c>
      <c r="R159" s="48">
        <f t="shared" si="36"/>
        <v>0</v>
      </c>
      <c r="S159" s="733">
        <f t="shared" si="27"/>
        <v>0</v>
      </c>
    </row>
    <row r="160" spans="1:19">
      <c r="A160" s="878"/>
      <c r="B160" s="125"/>
      <c r="C160" s="48">
        <f t="shared" si="28"/>
        <v>1</v>
      </c>
      <c r="D160" s="877"/>
      <c r="E160" s="48">
        <f t="shared" si="29"/>
        <v>1</v>
      </c>
      <c r="F160" s="877"/>
      <c r="G160" s="48">
        <f t="shared" si="30"/>
        <v>1</v>
      </c>
      <c r="H160" s="877"/>
      <c r="I160" s="48">
        <f t="shared" si="31"/>
        <v>1</v>
      </c>
      <c r="J160" s="877"/>
      <c r="K160" s="48">
        <f t="shared" si="32"/>
        <v>1</v>
      </c>
      <c r="L160" s="877"/>
      <c r="M160" s="48">
        <f t="shared" si="33"/>
        <v>1</v>
      </c>
      <c r="N160" s="877"/>
      <c r="O160" s="48">
        <f t="shared" si="34"/>
        <v>1</v>
      </c>
      <c r="P160" s="877"/>
      <c r="Q160" s="48">
        <f t="shared" si="35"/>
        <v>1</v>
      </c>
      <c r="R160" s="48">
        <f t="shared" si="36"/>
        <v>0</v>
      </c>
      <c r="S160" s="733">
        <f t="shared" si="27"/>
        <v>0</v>
      </c>
    </row>
    <row r="161" spans="1:19">
      <c r="A161" s="878"/>
      <c r="B161" s="125"/>
      <c r="C161" s="48">
        <f t="shared" si="28"/>
        <v>1</v>
      </c>
      <c r="D161" s="877"/>
      <c r="E161" s="48">
        <f t="shared" si="29"/>
        <v>1</v>
      </c>
      <c r="F161" s="877"/>
      <c r="G161" s="48">
        <f t="shared" si="30"/>
        <v>1</v>
      </c>
      <c r="H161" s="877"/>
      <c r="I161" s="48">
        <f t="shared" si="31"/>
        <v>1</v>
      </c>
      <c r="J161" s="877"/>
      <c r="K161" s="48">
        <f t="shared" si="32"/>
        <v>1</v>
      </c>
      <c r="L161" s="877"/>
      <c r="M161" s="48">
        <f t="shared" si="33"/>
        <v>1</v>
      </c>
      <c r="N161" s="877"/>
      <c r="O161" s="48">
        <f t="shared" si="34"/>
        <v>1</v>
      </c>
      <c r="P161" s="877"/>
      <c r="Q161" s="48">
        <f t="shared" si="35"/>
        <v>1</v>
      </c>
      <c r="R161" s="48">
        <f t="shared" si="36"/>
        <v>0</v>
      </c>
      <c r="S161" s="733">
        <f t="shared" si="27"/>
        <v>0</v>
      </c>
    </row>
    <row r="162" spans="1:19">
      <c r="A162" s="878"/>
      <c r="B162" s="125"/>
      <c r="C162" s="48">
        <f t="shared" si="28"/>
        <v>1</v>
      </c>
      <c r="D162" s="877"/>
      <c r="E162" s="48">
        <f t="shared" si="29"/>
        <v>1</v>
      </c>
      <c r="F162" s="877"/>
      <c r="G162" s="48">
        <f t="shared" si="30"/>
        <v>1</v>
      </c>
      <c r="H162" s="877"/>
      <c r="I162" s="48">
        <f t="shared" si="31"/>
        <v>1</v>
      </c>
      <c r="J162" s="877"/>
      <c r="K162" s="48">
        <f t="shared" si="32"/>
        <v>1</v>
      </c>
      <c r="L162" s="877"/>
      <c r="M162" s="48">
        <f t="shared" si="33"/>
        <v>1</v>
      </c>
      <c r="N162" s="877"/>
      <c r="O162" s="48">
        <f t="shared" si="34"/>
        <v>1</v>
      </c>
      <c r="P162" s="877"/>
      <c r="Q162" s="48">
        <f t="shared" si="35"/>
        <v>1</v>
      </c>
      <c r="R162" s="48">
        <f t="shared" si="36"/>
        <v>0</v>
      </c>
      <c r="S162" s="733">
        <f t="shared" si="27"/>
        <v>0</v>
      </c>
    </row>
    <row r="163" spans="1:19">
      <c r="A163" s="878"/>
      <c r="B163" s="125"/>
      <c r="C163" s="48">
        <f t="shared" si="28"/>
        <v>1</v>
      </c>
      <c r="D163" s="877"/>
      <c r="E163" s="48">
        <f t="shared" si="29"/>
        <v>1</v>
      </c>
      <c r="F163" s="877"/>
      <c r="G163" s="48">
        <f t="shared" si="30"/>
        <v>1</v>
      </c>
      <c r="H163" s="877"/>
      <c r="I163" s="48">
        <f t="shared" si="31"/>
        <v>1</v>
      </c>
      <c r="J163" s="877"/>
      <c r="K163" s="48">
        <f t="shared" si="32"/>
        <v>1</v>
      </c>
      <c r="L163" s="877"/>
      <c r="M163" s="48">
        <f t="shared" si="33"/>
        <v>1</v>
      </c>
      <c r="N163" s="877"/>
      <c r="O163" s="48">
        <f t="shared" si="34"/>
        <v>1</v>
      </c>
      <c r="P163" s="877"/>
      <c r="Q163" s="48">
        <f t="shared" si="35"/>
        <v>1</v>
      </c>
      <c r="R163" s="48">
        <f t="shared" si="36"/>
        <v>0</v>
      </c>
      <c r="S163" s="733">
        <f t="shared" si="27"/>
        <v>0</v>
      </c>
    </row>
    <row r="164" spans="1:19">
      <c r="A164" s="878"/>
      <c r="B164" s="125"/>
      <c r="C164" s="48">
        <f t="shared" si="28"/>
        <v>1</v>
      </c>
      <c r="D164" s="877"/>
      <c r="E164" s="48">
        <f t="shared" si="29"/>
        <v>1</v>
      </c>
      <c r="F164" s="877"/>
      <c r="G164" s="48">
        <f t="shared" si="30"/>
        <v>1</v>
      </c>
      <c r="H164" s="877"/>
      <c r="I164" s="48">
        <f t="shared" si="31"/>
        <v>1</v>
      </c>
      <c r="J164" s="877"/>
      <c r="K164" s="48">
        <f t="shared" si="32"/>
        <v>1</v>
      </c>
      <c r="L164" s="877"/>
      <c r="M164" s="48">
        <f t="shared" si="33"/>
        <v>1</v>
      </c>
      <c r="N164" s="877"/>
      <c r="O164" s="48">
        <f t="shared" si="34"/>
        <v>1</v>
      </c>
      <c r="P164" s="877"/>
      <c r="Q164" s="48">
        <f t="shared" si="35"/>
        <v>1</v>
      </c>
      <c r="R164" s="48">
        <f t="shared" si="36"/>
        <v>0</v>
      </c>
      <c r="S164" s="733">
        <f t="shared" si="27"/>
        <v>0</v>
      </c>
    </row>
    <row r="165" spans="1:19">
      <c r="A165" s="878"/>
      <c r="B165" s="125"/>
      <c r="C165" s="48">
        <f t="shared" si="28"/>
        <v>1</v>
      </c>
      <c r="D165" s="877"/>
      <c r="E165" s="48">
        <f t="shared" si="29"/>
        <v>1</v>
      </c>
      <c r="F165" s="877"/>
      <c r="G165" s="48">
        <f t="shared" si="30"/>
        <v>1</v>
      </c>
      <c r="H165" s="877"/>
      <c r="I165" s="48">
        <f t="shared" si="31"/>
        <v>1</v>
      </c>
      <c r="J165" s="877"/>
      <c r="K165" s="48">
        <f t="shared" si="32"/>
        <v>1</v>
      </c>
      <c r="L165" s="877"/>
      <c r="M165" s="48">
        <f t="shared" si="33"/>
        <v>1</v>
      </c>
      <c r="N165" s="877"/>
      <c r="O165" s="48">
        <f t="shared" si="34"/>
        <v>1</v>
      </c>
      <c r="P165" s="877"/>
      <c r="Q165" s="48">
        <f t="shared" si="35"/>
        <v>1</v>
      </c>
      <c r="R165" s="48">
        <f t="shared" si="36"/>
        <v>0</v>
      </c>
      <c r="S165" s="733">
        <f t="shared" si="27"/>
        <v>0</v>
      </c>
    </row>
    <row r="166" spans="1:19">
      <c r="A166" s="878"/>
      <c r="B166" s="125"/>
      <c r="C166" s="48">
        <f t="shared" si="28"/>
        <v>1</v>
      </c>
      <c r="D166" s="877"/>
      <c r="E166" s="48">
        <f t="shared" si="29"/>
        <v>1</v>
      </c>
      <c r="F166" s="877"/>
      <c r="G166" s="48">
        <f t="shared" si="30"/>
        <v>1</v>
      </c>
      <c r="H166" s="877"/>
      <c r="I166" s="48">
        <f t="shared" si="31"/>
        <v>1</v>
      </c>
      <c r="J166" s="877"/>
      <c r="K166" s="48">
        <f t="shared" si="32"/>
        <v>1</v>
      </c>
      <c r="L166" s="877"/>
      <c r="M166" s="48">
        <f t="shared" si="33"/>
        <v>1</v>
      </c>
      <c r="N166" s="877"/>
      <c r="O166" s="48">
        <f t="shared" si="34"/>
        <v>1</v>
      </c>
      <c r="P166" s="877"/>
      <c r="Q166" s="48">
        <f t="shared" si="35"/>
        <v>1</v>
      </c>
      <c r="R166" s="48">
        <f t="shared" si="36"/>
        <v>0</v>
      </c>
      <c r="S166" s="733">
        <f t="shared" si="27"/>
        <v>0</v>
      </c>
    </row>
    <row r="167" spans="1:19">
      <c r="A167" s="878"/>
      <c r="B167" s="125"/>
      <c r="C167" s="48">
        <f t="shared" si="28"/>
        <v>1</v>
      </c>
      <c r="D167" s="877"/>
      <c r="E167" s="48">
        <f t="shared" si="29"/>
        <v>1</v>
      </c>
      <c r="F167" s="877"/>
      <c r="G167" s="48">
        <f t="shared" si="30"/>
        <v>1</v>
      </c>
      <c r="H167" s="877"/>
      <c r="I167" s="48">
        <f t="shared" si="31"/>
        <v>1</v>
      </c>
      <c r="J167" s="877"/>
      <c r="K167" s="48">
        <f t="shared" si="32"/>
        <v>1</v>
      </c>
      <c r="L167" s="877"/>
      <c r="M167" s="48">
        <f t="shared" si="33"/>
        <v>1</v>
      </c>
      <c r="N167" s="877"/>
      <c r="O167" s="48">
        <f t="shared" si="34"/>
        <v>1</v>
      </c>
      <c r="P167" s="877"/>
      <c r="Q167" s="48">
        <f t="shared" si="35"/>
        <v>1</v>
      </c>
      <c r="R167" s="48">
        <f t="shared" si="36"/>
        <v>0</v>
      </c>
      <c r="S167" s="733">
        <f t="shared" si="27"/>
        <v>0</v>
      </c>
    </row>
    <row r="168" spans="1:19">
      <c r="A168" s="878"/>
      <c r="B168" s="125"/>
      <c r="C168" s="48">
        <f t="shared" si="28"/>
        <v>1</v>
      </c>
      <c r="D168" s="877"/>
      <c r="E168" s="48">
        <f t="shared" si="29"/>
        <v>1</v>
      </c>
      <c r="F168" s="877"/>
      <c r="G168" s="48">
        <f t="shared" si="30"/>
        <v>1</v>
      </c>
      <c r="H168" s="877"/>
      <c r="I168" s="48">
        <f t="shared" si="31"/>
        <v>1</v>
      </c>
      <c r="J168" s="877"/>
      <c r="K168" s="48">
        <f t="shared" si="32"/>
        <v>1</v>
      </c>
      <c r="L168" s="877"/>
      <c r="M168" s="48">
        <f t="shared" si="33"/>
        <v>1</v>
      </c>
      <c r="N168" s="877"/>
      <c r="O168" s="48">
        <f t="shared" si="34"/>
        <v>1</v>
      </c>
      <c r="P168" s="877"/>
      <c r="Q168" s="48">
        <f t="shared" si="35"/>
        <v>1</v>
      </c>
      <c r="R168" s="48">
        <f t="shared" si="36"/>
        <v>0</v>
      </c>
      <c r="S168" s="733">
        <f t="shared" si="27"/>
        <v>0</v>
      </c>
    </row>
    <row r="169" spans="1:19">
      <c r="A169" s="878"/>
      <c r="B169" s="125"/>
      <c r="C169" s="48">
        <f t="shared" si="28"/>
        <v>1</v>
      </c>
      <c r="D169" s="877"/>
      <c r="E169" s="48">
        <f t="shared" si="29"/>
        <v>1</v>
      </c>
      <c r="F169" s="877"/>
      <c r="G169" s="48">
        <f t="shared" si="30"/>
        <v>1</v>
      </c>
      <c r="H169" s="877"/>
      <c r="I169" s="48">
        <f t="shared" si="31"/>
        <v>1</v>
      </c>
      <c r="J169" s="877"/>
      <c r="K169" s="48">
        <f t="shared" si="32"/>
        <v>1</v>
      </c>
      <c r="L169" s="877"/>
      <c r="M169" s="48">
        <f t="shared" si="33"/>
        <v>1</v>
      </c>
      <c r="N169" s="877"/>
      <c r="O169" s="48">
        <f t="shared" si="34"/>
        <v>1</v>
      </c>
      <c r="P169" s="877"/>
      <c r="Q169" s="48">
        <f t="shared" si="35"/>
        <v>1</v>
      </c>
      <c r="R169" s="48">
        <f t="shared" si="36"/>
        <v>0</v>
      </c>
      <c r="S169" s="733">
        <f t="shared" si="27"/>
        <v>0</v>
      </c>
    </row>
    <row r="170" spans="1:19">
      <c r="A170" s="878"/>
      <c r="B170" s="125"/>
      <c r="C170" s="48">
        <f t="shared" si="28"/>
        <v>1</v>
      </c>
      <c r="D170" s="877"/>
      <c r="E170" s="48">
        <f t="shared" si="29"/>
        <v>1</v>
      </c>
      <c r="F170" s="877"/>
      <c r="G170" s="48">
        <f t="shared" si="30"/>
        <v>1</v>
      </c>
      <c r="H170" s="877"/>
      <c r="I170" s="48">
        <f t="shared" si="31"/>
        <v>1</v>
      </c>
      <c r="J170" s="877"/>
      <c r="K170" s="48">
        <f t="shared" si="32"/>
        <v>1</v>
      </c>
      <c r="L170" s="877"/>
      <c r="M170" s="48">
        <f t="shared" si="33"/>
        <v>1</v>
      </c>
      <c r="N170" s="877"/>
      <c r="O170" s="48">
        <f t="shared" si="34"/>
        <v>1</v>
      </c>
      <c r="P170" s="877"/>
      <c r="Q170" s="48">
        <f t="shared" si="35"/>
        <v>1</v>
      </c>
      <c r="R170" s="48">
        <f t="shared" si="36"/>
        <v>0</v>
      </c>
      <c r="S170" s="733">
        <f t="shared" si="27"/>
        <v>0</v>
      </c>
    </row>
    <row r="171" spans="1:19">
      <c r="A171" s="878"/>
      <c r="B171" s="125"/>
      <c r="C171" s="48">
        <f t="shared" si="28"/>
        <v>1</v>
      </c>
      <c r="D171" s="877"/>
      <c r="E171" s="48">
        <f t="shared" si="29"/>
        <v>1</v>
      </c>
      <c r="F171" s="877"/>
      <c r="G171" s="48">
        <f t="shared" si="30"/>
        <v>1</v>
      </c>
      <c r="H171" s="877"/>
      <c r="I171" s="48">
        <f t="shared" si="31"/>
        <v>1</v>
      </c>
      <c r="J171" s="877"/>
      <c r="K171" s="48">
        <f t="shared" si="32"/>
        <v>1</v>
      </c>
      <c r="L171" s="877"/>
      <c r="M171" s="48">
        <f t="shared" si="33"/>
        <v>1</v>
      </c>
      <c r="N171" s="877"/>
      <c r="O171" s="48">
        <f t="shared" si="34"/>
        <v>1</v>
      </c>
      <c r="P171" s="877"/>
      <c r="Q171" s="48">
        <f t="shared" si="35"/>
        <v>1</v>
      </c>
      <c r="R171" s="48">
        <f t="shared" si="36"/>
        <v>0</v>
      </c>
      <c r="S171" s="733">
        <f t="shared" si="27"/>
        <v>0</v>
      </c>
    </row>
    <row r="172" spans="1:19">
      <c r="A172" s="878"/>
      <c r="B172" s="125"/>
      <c r="C172" s="48">
        <f t="shared" si="28"/>
        <v>1</v>
      </c>
      <c r="D172" s="877"/>
      <c r="E172" s="48">
        <f t="shared" si="29"/>
        <v>1</v>
      </c>
      <c r="F172" s="877"/>
      <c r="G172" s="48">
        <f t="shared" si="30"/>
        <v>1</v>
      </c>
      <c r="H172" s="877"/>
      <c r="I172" s="48">
        <f t="shared" si="31"/>
        <v>1</v>
      </c>
      <c r="J172" s="877"/>
      <c r="K172" s="48">
        <f t="shared" si="32"/>
        <v>1</v>
      </c>
      <c r="L172" s="877"/>
      <c r="M172" s="48">
        <f t="shared" si="33"/>
        <v>1</v>
      </c>
      <c r="N172" s="877"/>
      <c r="O172" s="48">
        <f t="shared" si="34"/>
        <v>1</v>
      </c>
      <c r="P172" s="877"/>
      <c r="Q172" s="48">
        <f t="shared" si="35"/>
        <v>1</v>
      </c>
      <c r="R172" s="48">
        <f t="shared" si="36"/>
        <v>0</v>
      </c>
      <c r="S172" s="733">
        <f t="shared" si="27"/>
        <v>0</v>
      </c>
    </row>
    <row r="173" spans="1:19">
      <c r="A173" s="878"/>
      <c r="B173" s="125"/>
      <c r="C173" s="48">
        <f t="shared" si="28"/>
        <v>1</v>
      </c>
      <c r="D173" s="877"/>
      <c r="E173" s="48">
        <f t="shared" si="29"/>
        <v>1</v>
      </c>
      <c r="F173" s="877"/>
      <c r="G173" s="48">
        <f t="shared" si="30"/>
        <v>1</v>
      </c>
      <c r="H173" s="877"/>
      <c r="I173" s="48">
        <f t="shared" si="31"/>
        <v>1</v>
      </c>
      <c r="J173" s="877"/>
      <c r="K173" s="48">
        <f t="shared" si="32"/>
        <v>1</v>
      </c>
      <c r="L173" s="877"/>
      <c r="M173" s="48">
        <f t="shared" si="33"/>
        <v>1</v>
      </c>
      <c r="N173" s="877"/>
      <c r="O173" s="48">
        <f t="shared" si="34"/>
        <v>1</v>
      </c>
      <c r="P173" s="877"/>
      <c r="Q173" s="48">
        <f t="shared" si="35"/>
        <v>1</v>
      </c>
      <c r="R173" s="48">
        <f t="shared" si="36"/>
        <v>0</v>
      </c>
      <c r="S173" s="733">
        <f t="shared" si="27"/>
        <v>0</v>
      </c>
    </row>
    <row r="174" spans="1:19">
      <c r="A174" s="878"/>
      <c r="B174" s="125"/>
      <c r="C174" s="48">
        <f t="shared" si="28"/>
        <v>1</v>
      </c>
      <c r="D174" s="877"/>
      <c r="E174" s="48">
        <f t="shared" si="29"/>
        <v>1</v>
      </c>
      <c r="F174" s="877"/>
      <c r="G174" s="48">
        <f t="shared" si="30"/>
        <v>1</v>
      </c>
      <c r="H174" s="877"/>
      <c r="I174" s="48">
        <f t="shared" si="31"/>
        <v>1</v>
      </c>
      <c r="J174" s="877"/>
      <c r="K174" s="48">
        <f t="shared" si="32"/>
        <v>1</v>
      </c>
      <c r="L174" s="877"/>
      <c r="M174" s="48">
        <f t="shared" si="33"/>
        <v>1</v>
      </c>
      <c r="N174" s="877"/>
      <c r="O174" s="48">
        <f t="shared" si="34"/>
        <v>1</v>
      </c>
      <c r="P174" s="877"/>
      <c r="Q174" s="48">
        <f t="shared" si="35"/>
        <v>1</v>
      </c>
      <c r="R174" s="48">
        <f t="shared" si="36"/>
        <v>0</v>
      </c>
      <c r="S174" s="733">
        <f t="shared" si="27"/>
        <v>0</v>
      </c>
    </row>
    <row r="175" spans="1:19">
      <c r="A175" s="878"/>
      <c r="B175" s="125"/>
      <c r="C175" s="48">
        <f t="shared" si="28"/>
        <v>1</v>
      </c>
      <c r="D175" s="877"/>
      <c r="E175" s="48">
        <f t="shared" si="29"/>
        <v>1</v>
      </c>
      <c r="F175" s="877"/>
      <c r="G175" s="48">
        <f t="shared" si="30"/>
        <v>1</v>
      </c>
      <c r="H175" s="877"/>
      <c r="I175" s="48">
        <f t="shared" si="31"/>
        <v>1</v>
      </c>
      <c r="J175" s="877"/>
      <c r="K175" s="48">
        <f t="shared" si="32"/>
        <v>1</v>
      </c>
      <c r="L175" s="877"/>
      <c r="M175" s="48">
        <f t="shared" si="33"/>
        <v>1</v>
      </c>
      <c r="N175" s="877"/>
      <c r="O175" s="48">
        <f t="shared" si="34"/>
        <v>1</v>
      </c>
      <c r="P175" s="877"/>
      <c r="Q175" s="48">
        <f t="shared" si="35"/>
        <v>1</v>
      </c>
      <c r="R175" s="48">
        <f t="shared" si="36"/>
        <v>0</v>
      </c>
      <c r="S175" s="733">
        <f t="shared" si="27"/>
        <v>0</v>
      </c>
    </row>
    <row r="176" spans="1:19">
      <c r="A176" s="878"/>
      <c r="B176" s="125"/>
      <c r="C176" s="48">
        <f t="shared" si="28"/>
        <v>1</v>
      </c>
      <c r="D176" s="877"/>
      <c r="E176" s="48">
        <f t="shared" si="29"/>
        <v>1</v>
      </c>
      <c r="F176" s="877"/>
      <c r="G176" s="48">
        <f t="shared" si="30"/>
        <v>1</v>
      </c>
      <c r="H176" s="877"/>
      <c r="I176" s="48">
        <f t="shared" si="31"/>
        <v>1</v>
      </c>
      <c r="J176" s="877"/>
      <c r="K176" s="48">
        <f t="shared" si="32"/>
        <v>1</v>
      </c>
      <c r="L176" s="877"/>
      <c r="M176" s="48">
        <f t="shared" si="33"/>
        <v>1</v>
      </c>
      <c r="N176" s="877"/>
      <c r="O176" s="48">
        <f t="shared" si="34"/>
        <v>1</v>
      </c>
      <c r="P176" s="877"/>
      <c r="Q176" s="48">
        <f t="shared" si="35"/>
        <v>1</v>
      </c>
      <c r="R176" s="48">
        <f t="shared" si="36"/>
        <v>0</v>
      </c>
      <c r="S176" s="733">
        <f t="shared" si="27"/>
        <v>0</v>
      </c>
    </row>
    <row r="177" spans="1:19">
      <c r="A177" s="878"/>
      <c r="B177" s="125"/>
      <c r="C177" s="48">
        <f t="shared" si="28"/>
        <v>1</v>
      </c>
      <c r="D177" s="877"/>
      <c r="E177" s="48">
        <f t="shared" si="29"/>
        <v>1</v>
      </c>
      <c r="F177" s="877"/>
      <c r="G177" s="48">
        <f t="shared" si="30"/>
        <v>1</v>
      </c>
      <c r="H177" s="877"/>
      <c r="I177" s="48">
        <f t="shared" si="31"/>
        <v>1</v>
      </c>
      <c r="J177" s="877"/>
      <c r="K177" s="48">
        <f t="shared" si="32"/>
        <v>1</v>
      </c>
      <c r="L177" s="877"/>
      <c r="M177" s="48">
        <f t="shared" si="33"/>
        <v>1</v>
      </c>
      <c r="N177" s="877"/>
      <c r="O177" s="48">
        <f t="shared" si="34"/>
        <v>1</v>
      </c>
      <c r="P177" s="877"/>
      <c r="Q177" s="48">
        <f t="shared" si="35"/>
        <v>1</v>
      </c>
      <c r="R177" s="48">
        <f t="shared" si="36"/>
        <v>0</v>
      </c>
      <c r="S177" s="733">
        <f t="shared" si="27"/>
        <v>0</v>
      </c>
    </row>
    <row r="178" spans="1:19">
      <c r="A178" s="878"/>
      <c r="B178" s="125"/>
      <c r="C178" s="48">
        <f t="shared" si="28"/>
        <v>1</v>
      </c>
      <c r="D178" s="877"/>
      <c r="E178" s="48">
        <f t="shared" si="29"/>
        <v>1</v>
      </c>
      <c r="F178" s="877"/>
      <c r="G178" s="48">
        <f t="shared" si="30"/>
        <v>1</v>
      </c>
      <c r="H178" s="877"/>
      <c r="I178" s="48">
        <f t="shared" si="31"/>
        <v>1</v>
      </c>
      <c r="J178" s="877"/>
      <c r="K178" s="48">
        <f t="shared" si="32"/>
        <v>1</v>
      </c>
      <c r="L178" s="877"/>
      <c r="M178" s="48">
        <f t="shared" si="33"/>
        <v>1</v>
      </c>
      <c r="N178" s="877"/>
      <c r="O178" s="48">
        <f t="shared" si="34"/>
        <v>1</v>
      </c>
      <c r="P178" s="877"/>
      <c r="Q178" s="48">
        <f t="shared" si="35"/>
        <v>1</v>
      </c>
      <c r="R178" s="48">
        <f t="shared" si="36"/>
        <v>0</v>
      </c>
      <c r="S178" s="733">
        <f t="shared" si="27"/>
        <v>0</v>
      </c>
    </row>
    <row r="179" spans="1:19">
      <c r="A179" s="878"/>
      <c r="B179" s="125"/>
      <c r="C179" s="48">
        <f t="shared" si="28"/>
        <v>1</v>
      </c>
      <c r="D179" s="877"/>
      <c r="E179" s="48">
        <f t="shared" si="29"/>
        <v>1</v>
      </c>
      <c r="F179" s="877"/>
      <c r="G179" s="48">
        <f t="shared" si="30"/>
        <v>1</v>
      </c>
      <c r="H179" s="877"/>
      <c r="I179" s="48">
        <f t="shared" si="31"/>
        <v>1</v>
      </c>
      <c r="J179" s="877"/>
      <c r="K179" s="48">
        <f t="shared" si="32"/>
        <v>1</v>
      </c>
      <c r="L179" s="877"/>
      <c r="M179" s="48">
        <f t="shared" si="33"/>
        <v>1</v>
      </c>
      <c r="N179" s="877"/>
      <c r="O179" s="48">
        <f t="shared" si="34"/>
        <v>1</v>
      </c>
      <c r="P179" s="877"/>
      <c r="Q179" s="48">
        <f t="shared" si="35"/>
        <v>1</v>
      </c>
      <c r="R179" s="48">
        <f t="shared" si="36"/>
        <v>0</v>
      </c>
      <c r="S179" s="733">
        <f t="shared" si="27"/>
        <v>0</v>
      </c>
    </row>
    <row r="180" spans="1:19">
      <c r="A180" s="878"/>
      <c r="B180" s="125"/>
      <c r="C180" s="48">
        <f t="shared" si="28"/>
        <v>1</v>
      </c>
      <c r="D180" s="877"/>
      <c r="E180" s="48">
        <f t="shared" si="29"/>
        <v>1</v>
      </c>
      <c r="F180" s="877"/>
      <c r="G180" s="48">
        <f t="shared" si="30"/>
        <v>1</v>
      </c>
      <c r="H180" s="877"/>
      <c r="I180" s="48">
        <f t="shared" si="31"/>
        <v>1</v>
      </c>
      <c r="J180" s="877"/>
      <c r="K180" s="48">
        <f t="shared" si="32"/>
        <v>1</v>
      </c>
      <c r="L180" s="877"/>
      <c r="M180" s="48">
        <f t="shared" si="33"/>
        <v>1</v>
      </c>
      <c r="N180" s="877"/>
      <c r="O180" s="48">
        <f t="shared" si="34"/>
        <v>1</v>
      </c>
      <c r="P180" s="877"/>
      <c r="Q180" s="48">
        <f t="shared" si="35"/>
        <v>1</v>
      </c>
      <c r="R180" s="48">
        <f t="shared" si="36"/>
        <v>0</v>
      </c>
      <c r="S180" s="733">
        <f t="shared" si="27"/>
        <v>0</v>
      </c>
    </row>
    <row r="181" spans="1:19">
      <c r="A181" s="878"/>
      <c r="B181" s="125"/>
      <c r="C181" s="48">
        <f t="shared" si="28"/>
        <v>1</v>
      </c>
      <c r="D181" s="877"/>
      <c r="E181" s="48">
        <f t="shared" si="29"/>
        <v>1</v>
      </c>
      <c r="F181" s="877"/>
      <c r="G181" s="48">
        <f t="shared" si="30"/>
        <v>1</v>
      </c>
      <c r="H181" s="877"/>
      <c r="I181" s="48">
        <f t="shared" si="31"/>
        <v>1</v>
      </c>
      <c r="J181" s="877"/>
      <c r="K181" s="48">
        <f t="shared" si="32"/>
        <v>1</v>
      </c>
      <c r="L181" s="877"/>
      <c r="M181" s="48">
        <f t="shared" si="33"/>
        <v>1</v>
      </c>
      <c r="N181" s="877"/>
      <c r="O181" s="48">
        <f t="shared" si="34"/>
        <v>1</v>
      </c>
      <c r="P181" s="877"/>
      <c r="Q181" s="48">
        <f t="shared" si="35"/>
        <v>1</v>
      </c>
      <c r="R181" s="48">
        <f t="shared" si="36"/>
        <v>0</v>
      </c>
      <c r="S181" s="733">
        <f t="shared" si="27"/>
        <v>0</v>
      </c>
    </row>
    <row r="182" spans="1:19">
      <c r="A182" s="878"/>
      <c r="B182" s="125"/>
      <c r="C182" s="48">
        <f t="shared" si="28"/>
        <v>1</v>
      </c>
      <c r="D182" s="877"/>
      <c r="E182" s="48">
        <f t="shared" si="29"/>
        <v>1</v>
      </c>
      <c r="F182" s="877"/>
      <c r="G182" s="48">
        <f t="shared" si="30"/>
        <v>1</v>
      </c>
      <c r="H182" s="877"/>
      <c r="I182" s="48">
        <f t="shared" si="31"/>
        <v>1</v>
      </c>
      <c r="J182" s="877"/>
      <c r="K182" s="48">
        <f t="shared" si="32"/>
        <v>1</v>
      </c>
      <c r="L182" s="877"/>
      <c r="M182" s="48">
        <f t="shared" si="33"/>
        <v>1</v>
      </c>
      <c r="N182" s="877"/>
      <c r="O182" s="48">
        <f t="shared" si="34"/>
        <v>1</v>
      </c>
      <c r="P182" s="877"/>
      <c r="Q182" s="48">
        <f t="shared" si="35"/>
        <v>1</v>
      </c>
      <c r="R182" s="48">
        <f t="shared" si="36"/>
        <v>0</v>
      </c>
      <c r="S182" s="733">
        <f t="shared" si="27"/>
        <v>0</v>
      </c>
    </row>
    <row r="183" spans="1:19">
      <c r="A183" s="878"/>
      <c r="B183" s="125"/>
      <c r="C183" s="48">
        <f t="shared" si="28"/>
        <v>1</v>
      </c>
      <c r="D183" s="877"/>
      <c r="E183" s="48">
        <f t="shared" si="29"/>
        <v>1</v>
      </c>
      <c r="F183" s="877"/>
      <c r="G183" s="48">
        <f t="shared" si="30"/>
        <v>1</v>
      </c>
      <c r="H183" s="877"/>
      <c r="I183" s="48">
        <f t="shared" si="31"/>
        <v>1</v>
      </c>
      <c r="J183" s="877"/>
      <c r="K183" s="48">
        <f t="shared" si="32"/>
        <v>1</v>
      </c>
      <c r="L183" s="877"/>
      <c r="M183" s="48">
        <f t="shared" si="33"/>
        <v>1</v>
      </c>
      <c r="N183" s="877"/>
      <c r="O183" s="48">
        <f t="shared" si="34"/>
        <v>1</v>
      </c>
      <c r="P183" s="877"/>
      <c r="Q183" s="48">
        <f t="shared" si="35"/>
        <v>1</v>
      </c>
      <c r="R183" s="48">
        <f t="shared" si="36"/>
        <v>0</v>
      </c>
      <c r="S183" s="733">
        <f t="shared" si="27"/>
        <v>0</v>
      </c>
    </row>
    <row r="184" spans="1:19">
      <c r="A184" s="878"/>
      <c r="B184" s="125"/>
      <c r="C184" s="48">
        <f t="shared" si="28"/>
        <v>1</v>
      </c>
      <c r="D184" s="877"/>
      <c r="E184" s="48">
        <f t="shared" si="29"/>
        <v>1</v>
      </c>
      <c r="F184" s="877"/>
      <c r="G184" s="48">
        <f t="shared" si="30"/>
        <v>1</v>
      </c>
      <c r="H184" s="877"/>
      <c r="I184" s="48">
        <f t="shared" si="31"/>
        <v>1</v>
      </c>
      <c r="J184" s="877"/>
      <c r="K184" s="48">
        <f t="shared" si="32"/>
        <v>1</v>
      </c>
      <c r="L184" s="877"/>
      <c r="M184" s="48">
        <f t="shared" si="33"/>
        <v>1</v>
      </c>
      <c r="N184" s="877"/>
      <c r="O184" s="48">
        <f t="shared" si="34"/>
        <v>1</v>
      </c>
      <c r="P184" s="877"/>
      <c r="Q184" s="48">
        <f t="shared" si="35"/>
        <v>1</v>
      </c>
      <c r="R184" s="48">
        <f t="shared" si="36"/>
        <v>0</v>
      </c>
      <c r="S184" s="733">
        <f t="shared" si="27"/>
        <v>0</v>
      </c>
    </row>
    <row r="185" spans="1:19">
      <c r="A185" s="878"/>
      <c r="B185" s="125"/>
      <c r="C185" s="48">
        <f t="shared" si="28"/>
        <v>1</v>
      </c>
      <c r="D185" s="877"/>
      <c r="E185" s="48">
        <f t="shared" si="29"/>
        <v>1</v>
      </c>
      <c r="F185" s="877"/>
      <c r="G185" s="48">
        <f t="shared" si="30"/>
        <v>1</v>
      </c>
      <c r="H185" s="877"/>
      <c r="I185" s="48">
        <f t="shared" si="31"/>
        <v>1</v>
      </c>
      <c r="J185" s="877"/>
      <c r="K185" s="48">
        <f t="shared" si="32"/>
        <v>1</v>
      </c>
      <c r="L185" s="877"/>
      <c r="M185" s="48">
        <f t="shared" si="33"/>
        <v>1</v>
      </c>
      <c r="N185" s="877"/>
      <c r="O185" s="48">
        <f t="shared" si="34"/>
        <v>1</v>
      </c>
      <c r="P185" s="877"/>
      <c r="Q185" s="48">
        <f t="shared" si="35"/>
        <v>1</v>
      </c>
      <c r="R185" s="48">
        <f t="shared" si="36"/>
        <v>0</v>
      </c>
      <c r="S185" s="733">
        <f t="shared" si="27"/>
        <v>0</v>
      </c>
    </row>
    <row r="186" spans="1:19">
      <c r="A186" s="878"/>
      <c r="B186" s="125"/>
      <c r="C186" s="48">
        <f t="shared" si="28"/>
        <v>1</v>
      </c>
      <c r="D186" s="877"/>
      <c r="E186" s="48">
        <f t="shared" si="29"/>
        <v>1</v>
      </c>
      <c r="F186" s="877"/>
      <c r="G186" s="48">
        <f t="shared" si="30"/>
        <v>1</v>
      </c>
      <c r="H186" s="877"/>
      <c r="I186" s="48">
        <f t="shared" si="31"/>
        <v>1</v>
      </c>
      <c r="J186" s="877"/>
      <c r="K186" s="48">
        <f t="shared" si="32"/>
        <v>1</v>
      </c>
      <c r="L186" s="877"/>
      <c r="M186" s="48">
        <f t="shared" si="33"/>
        <v>1</v>
      </c>
      <c r="N186" s="877"/>
      <c r="O186" s="48">
        <f t="shared" si="34"/>
        <v>1</v>
      </c>
      <c r="P186" s="877"/>
      <c r="Q186" s="48">
        <f t="shared" si="35"/>
        <v>1</v>
      </c>
      <c r="R186" s="48">
        <f t="shared" si="36"/>
        <v>0</v>
      </c>
      <c r="S186" s="733">
        <f t="shared" si="27"/>
        <v>0</v>
      </c>
    </row>
    <row r="187" spans="1:19">
      <c r="A187" s="878"/>
      <c r="B187" s="125"/>
      <c r="C187" s="48">
        <f t="shared" si="28"/>
        <v>1</v>
      </c>
      <c r="D187" s="877"/>
      <c r="E187" s="48">
        <f t="shared" si="29"/>
        <v>1</v>
      </c>
      <c r="F187" s="877"/>
      <c r="G187" s="48">
        <f t="shared" si="30"/>
        <v>1</v>
      </c>
      <c r="H187" s="877"/>
      <c r="I187" s="48">
        <f t="shared" si="31"/>
        <v>1</v>
      </c>
      <c r="J187" s="877"/>
      <c r="K187" s="48">
        <f t="shared" si="32"/>
        <v>1</v>
      </c>
      <c r="L187" s="877"/>
      <c r="M187" s="48">
        <f t="shared" si="33"/>
        <v>1</v>
      </c>
      <c r="N187" s="877"/>
      <c r="O187" s="48">
        <f t="shared" si="34"/>
        <v>1</v>
      </c>
      <c r="P187" s="877"/>
      <c r="Q187" s="48">
        <f t="shared" si="35"/>
        <v>1</v>
      </c>
      <c r="R187" s="48">
        <f t="shared" si="36"/>
        <v>0</v>
      </c>
      <c r="S187" s="733">
        <f t="shared" ref="S187:S222" si="37">ROUND(R187*B187/10000,0)</f>
        <v>0</v>
      </c>
    </row>
    <row r="188" spans="1:19">
      <c r="A188" s="878"/>
      <c r="B188" s="125"/>
      <c r="C188" s="48">
        <f t="shared" si="28"/>
        <v>1</v>
      </c>
      <c r="D188" s="877"/>
      <c r="E188" s="48">
        <f t="shared" si="29"/>
        <v>1</v>
      </c>
      <c r="F188" s="877"/>
      <c r="G188" s="48">
        <f t="shared" si="30"/>
        <v>1</v>
      </c>
      <c r="H188" s="877"/>
      <c r="I188" s="48">
        <f t="shared" si="31"/>
        <v>1</v>
      </c>
      <c r="J188" s="877"/>
      <c r="K188" s="48">
        <f t="shared" si="32"/>
        <v>1</v>
      </c>
      <c r="L188" s="877"/>
      <c r="M188" s="48">
        <f t="shared" si="33"/>
        <v>1</v>
      </c>
      <c r="N188" s="877"/>
      <c r="O188" s="48">
        <f t="shared" si="34"/>
        <v>1</v>
      </c>
      <c r="P188" s="877"/>
      <c r="Q188" s="48">
        <f t="shared" si="35"/>
        <v>1</v>
      </c>
      <c r="R188" s="48">
        <f t="shared" si="36"/>
        <v>0</v>
      </c>
      <c r="S188" s="733">
        <f t="shared" si="37"/>
        <v>0</v>
      </c>
    </row>
    <row r="189" spans="1:19">
      <c r="A189" s="878"/>
      <c r="B189" s="125"/>
      <c r="C189" s="48">
        <f t="shared" si="28"/>
        <v>1</v>
      </c>
      <c r="D189" s="877"/>
      <c r="E189" s="48">
        <f t="shared" si="29"/>
        <v>1</v>
      </c>
      <c r="F189" s="877"/>
      <c r="G189" s="48">
        <f t="shared" si="30"/>
        <v>1</v>
      </c>
      <c r="H189" s="877"/>
      <c r="I189" s="48">
        <f t="shared" si="31"/>
        <v>1</v>
      </c>
      <c r="J189" s="877"/>
      <c r="K189" s="48">
        <f t="shared" si="32"/>
        <v>1</v>
      </c>
      <c r="L189" s="877"/>
      <c r="M189" s="48">
        <f t="shared" si="33"/>
        <v>1</v>
      </c>
      <c r="N189" s="877"/>
      <c r="O189" s="48">
        <f t="shared" si="34"/>
        <v>1</v>
      </c>
      <c r="P189" s="877"/>
      <c r="Q189" s="48">
        <f t="shared" si="35"/>
        <v>1</v>
      </c>
      <c r="R189" s="48">
        <f t="shared" si="36"/>
        <v>0</v>
      </c>
      <c r="S189" s="733">
        <f t="shared" si="37"/>
        <v>0</v>
      </c>
    </row>
    <row r="190" spans="1:19">
      <c r="A190" s="878"/>
      <c r="B190" s="125"/>
      <c r="C190" s="48">
        <f t="shared" si="28"/>
        <v>1</v>
      </c>
      <c r="D190" s="877"/>
      <c r="E190" s="48">
        <f t="shared" si="29"/>
        <v>1</v>
      </c>
      <c r="F190" s="877"/>
      <c r="G190" s="48">
        <f t="shared" si="30"/>
        <v>1</v>
      </c>
      <c r="H190" s="877"/>
      <c r="I190" s="48">
        <f t="shared" si="31"/>
        <v>1</v>
      </c>
      <c r="J190" s="877"/>
      <c r="K190" s="48">
        <f t="shared" si="32"/>
        <v>1</v>
      </c>
      <c r="L190" s="877"/>
      <c r="M190" s="48">
        <f t="shared" si="33"/>
        <v>1</v>
      </c>
      <c r="N190" s="877"/>
      <c r="O190" s="48">
        <f t="shared" si="34"/>
        <v>1</v>
      </c>
      <c r="P190" s="877"/>
      <c r="Q190" s="48">
        <f t="shared" si="35"/>
        <v>1</v>
      </c>
      <c r="R190" s="48">
        <f t="shared" si="36"/>
        <v>0</v>
      </c>
      <c r="S190" s="733">
        <f t="shared" si="37"/>
        <v>0</v>
      </c>
    </row>
    <row r="191" spans="1:19">
      <c r="A191" s="878"/>
      <c r="B191" s="125"/>
      <c r="C191" s="48">
        <f t="shared" si="28"/>
        <v>1</v>
      </c>
      <c r="D191" s="877"/>
      <c r="E191" s="48">
        <f t="shared" si="29"/>
        <v>1</v>
      </c>
      <c r="F191" s="877"/>
      <c r="G191" s="48">
        <f t="shared" si="30"/>
        <v>1</v>
      </c>
      <c r="H191" s="877"/>
      <c r="I191" s="48">
        <f t="shared" si="31"/>
        <v>1</v>
      </c>
      <c r="J191" s="877"/>
      <c r="K191" s="48">
        <f t="shared" si="32"/>
        <v>1</v>
      </c>
      <c r="L191" s="877"/>
      <c r="M191" s="48">
        <f t="shared" si="33"/>
        <v>1</v>
      </c>
      <c r="N191" s="877"/>
      <c r="O191" s="48">
        <f t="shared" si="34"/>
        <v>1</v>
      </c>
      <c r="P191" s="877"/>
      <c r="Q191" s="48">
        <f t="shared" si="35"/>
        <v>1</v>
      </c>
      <c r="R191" s="48">
        <f t="shared" si="36"/>
        <v>0</v>
      </c>
      <c r="S191" s="733">
        <f t="shared" si="37"/>
        <v>0</v>
      </c>
    </row>
    <row r="192" spans="1:19">
      <c r="A192" s="878"/>
      <c r="B192" s="125"/>
      <c r="C192" s="48">
        <f t="shared" si="28"/>
        <v>1</v>
      </c>
      <c r="D192" s="877"/>
      <c r="E192" s="48">
        <f t="shared" si="29"/>
        <v>1</v>
      </c>
      <c r="F192" s="877"/>
      <c r="G192" s="48">
        <f t="shared" si="30"/>
        <v>1</v>
      </c>
      <c r="H192" s="877"/>
      <c r="I192" s="48">
        <f t="shared" si="31"/>
        <v>1</v>
      </c>
      <c r="J192" s="877"/>
      <c r="K192" s="48">
        <f t="shared" si="32"/>
        <v>1</v>
      </c>
      <c r="L192" s="877"/>
      <c r="M192" s="48">
        <f t="shared" si="33"/>
        <v>1</v>
      </c>
      <c r="N192" s="877"/>
      <c r="O192" s="48">
        <f t="shared" si="34"/>
        <v>1</v>
      </c>
      <c r="P192" s="877"/>
      <c r="Q192" s="48">
        <f t="shared" si="35"/>
        <v>1</v>
      </c>
      <c r="R192" s="48">
        <f t="shared" si="36"/>
        <v>0</v>
      </c>
      <c r="S192" s="733">
        <f t="shared" si="37"/>
        <v>0</v>
      </c>
    </row>
    <row r="193" spans="1:19">
      <c r="A193" s="878"/>
      <c r="B193" s="125"/>
      <c r="C193" s="48">
        <f t="shared" si="28"/>
        <v>1</v>
      </c>
      <c r="D193" s="877"/>
      <c r="E193" s="48">
        <f t="shared" si="29"/>
        <v>1</v>
      </c>
      <c r="F193" s="877"/>
      <c r="G193" s="48">
        <f t="shared" si="30"/>
        <v>1</v>
      </c>
      <c r="H193" s="877"/>
      <c r="I193" s="48">
        <f t="shared" si="31"/>
        <v>1</v>
      </c>
      <c r="J193" s="877"/>
      <c r="K193" s="48">
        <f t="shared" si="32"/>
        <v>1</v>
      </c>
      <c r="L193" s="877"/>
      <c r="M193" s="48">
        <f t="shared" si="33"/>
        <v>1</v>
      </c>
      <c r="N193" s="877"/>
      <c r="O193" s="48">
        <f t="shared" si="34"/>
        <v>1</v>
      </c>
      <c r="P193" s="877"/>
      <c r="Q193" s="48">
        <f t="shared" si="35"/>
        <v>1</v>
      </c>
      <c r="R193" s="48">
        <f t="shared" si="36"/>
        <v>0</v>
      </c>
      <c r="S193" s="733">
        <f t="shared" si="37"/>
        <v>0</v>
      </c>
    </row>
    <row r="194" spans="1:19">
      <c r="A194" s="878"/>
      <c r="B194" s="125"/>
      <c r="C194" s="48">
        <f t="shared" si="28"/>
        <v>1</v>
      </c>
      <c r="D194" s="877"/>
      <c r="E194" s="48">
        <f t="shared" si="29"/>
        <v>1</v>
      </c>
      <c r="F194" s="877"/>
      <c r="G194" s="48">
        <f t="shared" si="30"/>
        <v>1</v>
      </c>
      <c r="H194" s="877"/>
      <c r="I194" s="48">
        <f t="shared" si="31"/>
        <v>1</v>
      </c>
      <c r="J194" s="877"/>
      <c r="K194" s="48">
        <f t="shared" si="32"/>
        <v>1</v>
      </c>
      <c r="L194" s="877"/>
      <c r="M194" s="48">
        <f t="shared" si="33"/>
        <v>1</v>
      </c>
      <c r="N194" s="877"/>
      <c r="O194" s="48">
        <f t="shared" si="34"/>
        <v>1</v>
      </c>
      <c r="P194" s="877"/>
      <c r="Q194" s="48">
        <f t="shared" si="35"/>
        <v>1</v>
      </c>
      <c r="R194" s="48">
        <f t="shared" si="36"/>
        <v>0</v>
      </c>
      <c r="S194" s="733">
        <f t="shared" si="37"/>
        <v>0</v>
      </c>
    </row>
    <row r="195" spans="1:19">
      <c r="A195" s="878"/>
      <c r="B195" s="125"/>
      <c r="C195" s="48">
        <f t="shared" si="28"/>
        <v>1</v>
      </c>
      <c r="D195" s="877"/>
      <c r="E195" s="48">
        <f t="shared" si="29"/>
        <v>1</v>
      </c>
      <c r="F195" s="877"/>
      <c r="G195" s="48">
        <f t="shared" si="30"/>
        <v>1</v>
      </c>
      <c r="H195" s="877"/>
      <c r="I195" s="48">
        <f t="shared" si="31"/>
        <v>1</v>
      </c>
      <c r="J195" s="877"/>
      <c r="K195" s="48">
        <f t="shared" si="32"/>
        <v>1</v>
      </c>
      <c r="L195" s="877"/>
      <c r="M195" s="48">
        <f t="shared" si="33"/>
        <v>1</v>
      </c>
      <c r="N195" s="877"/>
      <c r="O195" s="48">
        <f t="shared" si="34"/>
        <v>1</v>
      </c>
      <c r="P195" s="877"/>
      <c r="Q195" s="48">
        <f t="shared" si="35"/>
        <v>1</v>
      </c>
      <c r="R195" s="48">
        <f t="shared" si="36"/>
        <v>0</v>
      </c>
      <c r="S195" s="733">
        <f t="shared" si="37"/>
        <v>0</v>
      </c>
    </row>
    <row r="196" spans="1:19">
      <c r="A196" s="878"/>
      <c r="B196" s="125"/>
      <c r="C196" s="48">
        <f t="shared" si="28"/>
        <v>1</v>
      </c>
      <c r="D196" s="877"/>
      <c r="E196" s="48">
        <f t="shared" si="29"/>
        <v>1</v>
      </c>
      <c r="F196" s="877"/>
      <c r="G196" s="48">
        <f t="shared" si="30"/>
        <v>1</v>
      </c>
      <c r="H196" s="877"/>
      <c r="I196" s="48">
        <f t="shared" si="31"/>
        <v>1</v>
      </c>
      <c r="J196" s="877"/>
      <c r="K196" s="48">
        <f t="shared" si="32"/>
        <v>1</v>
      </c>
      <c r="L196" s="877"/>
      <c r="M196" s="48">
        <f t="shared" si="33"/>
        <v>1</v>
      </c>
      <c r="N196" s="877"/>
      <c r="O196" s="48">
        <f t="shared" si="34"/>
        <v>1</v>
      </c>
      <c r="P196" s="877"/>
      <c r="Q196" s="48">
        <f t="shared" si="35"/>
        <v>1</v>
      </c>
      <c r="R196" s="48">
        <f t="shared" si="36"/>
        <v>0</v>
      </c>
      <c r="S196" s="733">
        <f t="shared" si="37"/>
        <v>0</v>
      </c>
    </row>
    <row r="197" spans="1:19">
      <c r="A197" s="878"/>
      <c r="B197" s="125"/>
      <c r="C197" s="48">
        <f t="shared" si="28"/>
        <v>1</v>
      </c>
      <c r="D197" s="877"/>
      <c r="E197" s="48">
        <f t="shared" si="29"/>
        <v>1</v>
      </c>
      <c r="F197" s="877"/>
      <c r="G197" s="48">
        <f t="shared" si="30"/>
        <v>1</v>
      </c>
      <c r="H197" s="877"/>
      <c r="I197" s="48">
        <f t="shared" si="31"/>
        <v>1</v>
      </c>
      <c r="J197" s="877"/>
      <c r="K197" s="48">
        <f t="shared" si="32"/>
        <v>1</v>
      </c>
      <c r="L197" s="877"/>
      <c r="M197" s="48">
        <f t="shared" si="33"/>
        <v>1</v>
      </c>
      <c r="N197" s="877"/>
      <c r="O197" s="48">
        <f t="shared" si="34"/>
        <v>1</v>
      </c>
      <c r="P197" s="877"/>
      <c r="Q197" s="48">
        <f t="shared" si="35"/>
        <v>1</v>
      </c>
      <c r="R197" s="48">
        <f t="shared" si="36"/>
        <v>0</v>
      </c>
      <c r="S197" s="733">
        <f t="shared" si="37"/>
        <v>0</v>
      </c>
    </row>
    <row r="198" spans="1:19">
      <c r="A198" s="878"/>
      <c r="B198" s="125"/>
      <c r="C198" s="48">
        <f t="shared" si="28"/>
        <v>1</v>
      </c>
      <c r="D198" s="877"/>
      <c r="E198" s="48">
        <f t="shared" si="29"/>
        <v>1</v>
      </c>
      <c r="F198" s="877"/>
      <c r="G198" s="48">
        <f t="shared" si="30"/>
        <v>1</v>
      </c>
      <c r="H198" s="877"/>
      <c r="I198" s="48">
        <f t="shared" si="31"/>
        <v>1</v>
      </c>
      <c r="J198" s="877"/>
      <c r="K198" s="48">
        <f t="shared" si="32"/>
        <v>1</v>
      </c>
      <c r="L198" s="877"/>
      <c r="M198" s="48">
        <f t="shared" si="33"/>
        <v>1</v>
      </c>
      <c r="N198" s="877"/>
      <c r="O198" s="48">
        <f t="shared" si="34"/>
        <v>1</v>
      </c>
      <c r="P198" s="877"/>
      <c r="Q198" s="48">
        <f t="shared" si="35"/>
        <v>1</v>
      </c>
      <c r="R198" s="48">
        <f t="shared" si="36"/>
        <v>0</v>
      </c>
      <c r="S198" s="733">
        <f t="shared" si="37"/>
        <v>0</v>
      </c>
    </row>
    <row r="199" spans="1:19">
      <c r="A199" s="878"/>
      <c r="B199" s="125"/>
      <c r="C199" s="48">
        <f t="shared" si="28"/>
        <v>1</v>
      </c>
      <c r="D199" s="877"/>
      <c r="E199" s="48">
        <f t="shared" si="29"/>
        <v>1</v>
      </c>
      <c r="F199" s="877"/>
      <c r="G199" s="48">
        <f t="shared" si="30"/>
        <v>1</v>
      </c>
      <c r="H199" s="877"/>
      <c r="I199" s="48">
        <f t="shared" si="31"/>
        <v>1</v>
      </c>
      <c r="J199" s="877"/>
      <c r="K199" s="48">
        <f t="shared" si="32"/>
        <v>1</v>
      </c>
      <c r="L199" s="877"/>
      <c r="M199" s="48">
        <f t="shared" si="33"/>
        <v>1</v>
      </c>
      <c r="N199" s="877"/>
      <c r="O199" s="48">
        <f t="shared" si="34"/>
        <v>1</v>
      </c>
      <c r="P199" s="877"/>
      <c r="Q199" s="48">
        <f t="shared" si="35"/>
        <v>1</v>
      </c>
      <c r="R199" s="48">
        <f t="shared" si="36"/>
        <v>0</v>
      </c>
      <c r="S199" s="733">
        <f t="shared" si="37"/>
        <v>0</v>
      </c>
    </row>
    <row r="200" spans="1:19">
      <c r="A200" s="878"/>
      <c r="B200" s="125"/>
      <c r="C200" s="48">
        <f t="shared" si="28"/>
        <v>1</v>
      </c>
      <c r="D200" s="877"/>
      <c r="E200" s="48">
        <f t="shared" si="29"/>
        <v>1</v>
      </c>
      <c r="F200" s="877"/>
      <c r="G200" s="48">
        <f t="shared" si="30"/>
        <v>1</v>
      </c>
      <c r="H200" s="877"/>
      <c r="I200" s="48">
        <f t="shared" si="31"/>
        <v>1</v>
      </c>
      <c r="J200" s="877"/>
      <c r="K200" s="48">
        <f t="shared" si="32"/>
        <v>1</v>
      </c>
      <c r="L200" s="877"/>
      <c r="M200" s="48">
        <f t="shared" si="33"/>
        <v>1</v>
      </c>
      <c r="N200" s="877"/>
      <c r="O200" s="48">
        <f t="shared" si="34"/>
        <v>1</v>
      </c>
      <c r="P200" s="877"/>
      <c r="Q200" s="48">
        <f t="shared" si="35"/>
        <v>1</v>
      </c>
      <c r="R200" s="48">
        <f t="shared" si="36"/>
        <v>0</v>
      </c>
      <c r="S200" s="733">
        <f t="shared" si="37"/>
        <v>0</v>
      </c>
    </row>
    <row r="201" spans="1:19">
      <c r="A201" s="878"/>
      <c r="B201" s="125"/>
      <c r="C201" s="48">
        <f t="shared" si="28"/>
        <v>1</v>
      </c>
      <c r="D201" s="877"/>
      <c r="E201" s="48">
        <f t="shared" si="29"/>
        <v>1</v>
      </c>
      <c r="F201" s="877"/>
      <c r="G201" s="48">
        <f t="shared" si="30"/>
        <v>1</v>
      </c>
      <c r="H201" s="877"/>
      <c r="I201" s="48">
        <f t="shared" si="31"/>
        <v>1</v>
      </c>
      <c r="J201" s="877"/>
      <c r="K201" s="48">
        <f t="shared" si="32"/>
        <v>1</v>
      </c>
      <c r="L201" s="877"/>
      <c r="M201" s="48">
        <f t="shared" si="33"/>
        <v>1</v>
      </c>
      <c r="N201" s="877"/>
      <c r="O201" s="48">
        <f t="shared" si="34"/>
        <v>1</v>
      </c>
      <c r="P201" s="877"/>
      <c r="Q201" s="48">
        <f t="shared" si="35"/>
        <v>1</v>
      </c>
      <c r="R201" s="48">
        <f t="shared" si="36"/>
        <v>0</v>
      </c>
      <c r="S201" s="733">
        <f t="shared" si="37"/>
        <v>0</v>
      </c>
    </row>
    <row r="202" spans="1:19">
      <c r="A202" s="878"/>
      <c r="B202" s="125"/>
      <c r="C202" s="48">
        <f t="shared" si="28"/>
        <v>1</v>
      </c>
      <c r="D202" s="877"/>
      <c r="E202" s="48">
        <f t="shared" si="29"/>
        <v>1</v>
      </c>
      <c r="F202" s="877"/>
      <c r="G202" s="48">
        <f t="shared" si="30"/>
        <v>1</v>
      </c>
      <c r="H202" s="877"/>
      <c r="I202" s="48">
        <f t="shared" si="31"/>
        <v>1</v>
      </c>
      <c r="J202" s="877"/>
      <c r="K202" s="48">
        <f t="shared" si="32"/>
        <v>1</v>
      </c>
      <c r="L202" s="877"/>
      <c r="M202" s="48">
        <f t="shared" si="33"/>
        <v>1</v>
      </c>
      <c r="N202" s="877"/>
      <c r="O202" s="48">
        <f t="shared" si="34"/>
        <v>1</v>
      </c>
      <c r="P202" s="877"/>
      <c r="Q202" s="48">
        <f t="shared" si="35"/>
        <v>1</v>
      </c>
      <c r="R202" s="48">
        <f t="shared" si="36"/>
        <v>0</v>
      </c>
      <c r="S202" s="733">
        <f t="shared" si="37"/>
        <v>0</v>
      </c>
    </row>
    <row r="203" spans="1:19">
      <c r="A203" s="878"/>
      <c r="B203" s="125"/>
      <c r="C203" s="48">
        <f t="shared" si="28"/>
        <v>1</v>
      </c>
      <c r="D203" s="877"/>
      <c r="E203" s="48">
        <f t="shared" si="29"/>
        <v>1</v>
      </c>
      <c r="F203" s="877"/>
      <c r="G203" s="48">
        <f t="shared" si="30"/>
        <v>1</v>
      </c>
      <c r="H203" s="877"/>
      <c r="I203" s="48">
        <f t="shared" si="31"/>
        <v>1</v>
      </c>
      <c r="J203" s="877"/>
      <c r="K203" s="48">
        <f t="shared" si="32"/>
        <v>1</v>
      </c>
      <c r="L203" s="877"/>
      <c r="M203" s="48">
        <f t="shared" si="33"/>
        <v>1</v>
      </c>
      <c r="N203" s="877"/>
      <c r="O203" s="48">
        <f t="shared" si="34"/>
        <v>1</v>
      </c>
      <c r="P203" s="877"/>
      <c r="Q203" s="48">
        <f t="shared" si="35"/>
        <v>1</v>
      </c>
      <c r="R203" s="48">
        <f t="shared" si="36"/>
        <v>0</v>
      </c>
      <c r="S203" s="733">
        <f t="shared" si="37"/>
        <v>0</v>
      </c>
    </row>
    <row r="204" spans="1:19">
      <c r="A204" s="878"/>
      <c r="B204" s="125"/>
      <c r="C204" s="48">
        <f t="shared" si="28"/>
        <v>1</v>
      </c>
      <c r="D204" s="877"/>
      <c r="E204" s="48">
        <f t="shared" si="29"/>
        <v>1</v>
      </c>
      <c r="F204" s="877"/>
      <c r="G204" s="48">
        <f t="shared" si="30"/>
        <v>1</v>
      </c>
      <c r="H204" s="877"/>
      <c r="I204" s="48">
        <f t="shared" si="31"/>
        <v>1</v>
      </c>
      <c r="J204" s="877"/>
      <c r="K204" s="48">
        <f t="shared" si="32"/>
        <v>1</v>
      </c>
      <c r="L204" s="877"/>
      <c r="M204" s="48">
        <f t="shared" si="33"/>
        <v>1</v>
      </c>
      <c r="N204" s="877"/>
      <c r="O204" s="48">
        <f t="shared" si="34"/>
        <v>1</v>
      </c>
      <c r="P204" s="877"/>
      <c r="Q204" s="48">
        <f t="shared" si="35"/>
        <v>1</v>
      </c>
      <c r="R204" s="48">
        <f t="shared" si="36"/>
        <v>0</v>
      </c>
      <c r="S204" s="733">
        <f t="shared" si="37"/>
        <v>0</v>
      </c>
    </row>
    <row r="205" spans="1:19">
      <c r="A205" s="878"/>
      <c r="B205" s="125"/>
      <c r="C205" s="48">
        <f t="shared" si="28"/>
        <v>1</v>
      </c>
      <c r="D205" s="877"/>
      <c r="E205" s="48">
        <f t="shared" si="29"/>
        <v>1</v>
      </c>
      <c r="F205" s="877"/>
      <c r="G205" s="48">
        <f t="shared" si="30"/>
        <v>1</v>
      </c>
      <c r="H205" s="877"/>
      <c r="I205" s="48">
        <f t="shared" si="31"/>
        <v>1</v>
      </c>
      <c r="J205" s="877"/>
      <c r="K205" s="48">
        <f t="shared" si="32"/>
        <v>1</v>
      </c>
      <c r="L205" s="877"/>
      <c r="M205" s="48">
        <f t="shared" si="33"/>
        <v>1</v>
      </c>
      <c r="N205" s="877"/>
      <c r="O205" s="48">
        <f t="shared" si="34"/>
        <v>1</v>
      </c>
      <c r="P205" s="877"/>
      <c r="Q205" s="48">
        <f t="shared" si="35"/>
        <v>1</v>
      </c>
      <c r="R205" s="48">
        <f t="shared" si="36"/>
        <v>0</v>
      </c>
      <c r="S205" s="733">
        <f t="shared" si="37"/>
        <v>0</v>
      </c>
    </row>
    <row r="206" spans="1:19">
      <c r="A206" s="878"/>
      <c r="B206" s="125"/>
      <c r="C206" s="48">
        <f t="shared" si="28"/>
        <v>1</v>
      </c>
      <c r="D206" s="877"/>
      <c r="E206" s="48">
        <f t="shared" si="29"/>
        <v>1</v>
      </c>
      <c r="F206" s="877"/>
      <c r="G206" s="48">
        <f t="shared" si="30"/>
        <v>1</v>
      </c>
      <c r="H206" s="877"/>
      <c r="I206" s="48">
        <f t="shared" si="31"/>
        <v>1</v>
      </c>
      <c r="J206" s="877"/>
      <c r="K206" s="48">
        <f t="shared" si="32"/>
        <v>1</v>
      </c>
      <c r="L206" s="877"/>
      <c r="M206" s="48">
        <f t="shared" si="33"/>
        <v>1</v>
      </c>
      <c r="N206" s="877"/>
      <c r="O206" s="48">
        <f t="shared" si="34"/>
        <v>1</v>
      </c>
      <c r="P206" s="877"/>
      <c r="Q206" s="48">
        <f t="shared" si="35"/>
        <v>1</v>
      </c>
      <c r="R206" s="48">
        <f t="shared" si="36"/>
        <v>0</v>
      </c>
      <c r="S206" s="733">
        <f t="shared" si="37"/>
        <v>0</v>
      </c>
    </row>
    <row r="207" spans="1:19">
      <c r="A207" s="878"/>
      <c r="B207" s="125"/>
      <c r="C207" s="48">
        <f t="shared" si="28"/>
        <v>1</v>
      </c>
      <c r="D207" s="877"/>
      <c r="E207" s="48">
        <f t="shared" si="29"/>
        <v>1</v>
      </c>
      <c r="F207" s="877"/>
      <c r="G207" s="48">
        <f t="shared" si="30"/>
        <v>1</v>
      </c>
      <c r="H207" s="877"/>
      <c r="I207" s="48">
        <f t="shared" si="31"/>
        <v>1</v>
      </c>
      <c r="J207" s="877"/>
      <c r="K207" s="48">
        <f t="shared" si="32"/>
        <v>1</v>
      </c>
      <c r="L207" s="877"/>
      <c r="M207" s="48">
        <f t="shared" si="33"/>
        <v>1</v>
      </c>
      <c r="N207" s="877"/>
      <c r="O207" s="48">
        <f t="shared" si="34"/>
        <v>1</v>
      </c>
      <c r="P207" s="877"/>
      <c r="Q207" s="48">
        <f t="shared" si="35"/>
        <v>1</v>
      </c>
      <c r="R207" s="48">
        <f t="shared" si="36"/>
        <v>0</v>
      </c>
      <c r="S207" s="733">
        <f t="shared" si="37"/>
        <v>0</v>
      </c>
    </row>
    <row r="208" spans="1:19">
      <c r="A208" s="878"/>
      <c r="B208" s="125"/>
      <c r="C208" s="48">
        <f t="shared" si="28"/>
        <v>1</v>
      </c>
      <c r="D208" s="877"/>
      <c r="E208" s="48">
        <f t="shared" si="29"/>
        <v>1</v>
      </c>
      <c r="F208" s="877"/>
      <c r="G208" s="48">
        <f t="shared" si="30"/>
        <v>1</v>
      </c>
      <c r="H208" s="877"/>
      <c r="I208" s="48">
        <f t="shared" si="31"/>
        <v>1</v>
      </c>
      <c r="J208" s="877"/>
      <c r="K208" s="48">
        <f t="shared" si="32"/>
        <v>1</v>
      </c>
      <c r="L208" s="877"/>
      <c r="M208" s="48">
        <f t="shared" si="33"/>
        <v>1</v>
      </c>
      <c r="N208" s="877"/>
      <c r="O208" s="48">
        <f t="shared" si="34"/>
        <v>1</v>
      </c>
      <c r="P208" s="877"/>
      <c r="Q208" s="48">
        <f t="shared" si="35"/>
        <v>1</v>
      </c>
      <c r="R208" s="48">
        <f t="shared" si="36"/>
        <v>0</v>
      </c>
      <c r="S208" s="733">
        <f t="shared" si="37"/>
        <v>0</v>
      </c>
    </row>
    <row r="209" spans="1:19">
      <c r="A209" s="878"/>
      <c r="B209" s="125"/>
      <c r="C209" s="48">
        <f t="shared" si="28"/>
        <v>1</v>
      </c>
      <c r="D209" s="877"/>
      <c r="E209" s="48">
        <f t="shared" si="29"/>
        <v>1</v>
      </c>
      <c r="F209" s="877"/>
      <c r="G209" s="48">
        <f t="shared" si="30"/>
        <v>1</v>
      </c>
      <c r="H209" s="877"/>
      <c r="I209" s="48">
        <f t="shared" si="31"/>
        <v>1</v>
      </c>
      <c r="J209" s="877"/>
      <c r="K209" s="48">
        <f t="shared" si="32"/>
        <v>1</v>
      </c>
      <c r="L209" s="877"/>
      <c r="M209" s="48">
        <f t="shared" si="33"/>
        <v>1</v>
      </c>
      <c r="N209" s="877"/>
      <c r="O209" s="48">
        <f t="shared" si="34"/>
        <v>1</v>
      </c>
      <c r="P209" s="877"/>
      <c r="Q209" s="48">
        <f t="shared" si="35"/>
        <v>1</v>
      </c>
      <c r="R209" s="48">
        <f t="shared" si="36"/>
        <v>0</v>
      </c>
      <c r="S209" s="733">
        <f t="shared" si="37"/>
        <v>0</v>
      </c>
    </row>
    <row r="210" spans="1:19">
      <c r="A210" s="878"/>
      <c r="B210" s="125"/>
      <c r="C210" s="48">
        <f t="shared" si="28"/>
        <v>1</v>
      </c>
      <c r="D210" s="877"/>
      <c r="E210" s="48">
        <f t="shared" si="29"/>
        <v>1</v>
      </c>
      <c r="F210" s="877"/>
      <c r="G210" s="48">
        <f t="shared" si="30"/>
        <v>1</v>
      </c>
      <c r="H210" s="877"/>
      <c r="I210" s="48">
        <f t="shared" si="31"/>
        <v>1</v>
      </c>
      <c r="J210" s="877"/>
      <c r="K210" s="48">
        <f t="shared" si="32"/>
        <v>1</v>
      </c>
      <c r="L210" s="877"/>
      <c r="M210" s="48">
        <f t="shared" si="33"/>
        <v>1</v>
      </c>
      <c r="N210" s="877"/>
      <c r="O210" s="48">
        <f t="shared" si="34"/>
        <v>1</v>
      </c>
      <c r="P210" s="877"/>
      <c r="Q210" s="48">
        <f t="shared" si="35"/>
        <v>1</v>
      </c>
      <c r="R210" s="48">
        <f t="shared" si="36"/>
        <v>0</v>
      </c>
      <c r="S210" s="733">
        <f t="shared" si="37"/>
        <v>0</v>
      </c>
    </row>
    <row r="211" spans="1:19">
      <c r="A211" s="878"/>
      <c r="B211" s="125"/>
      <c r="C211" s="48">
        <f t="shared" si="28"/>
        <v>1</v>
      </c>
      <c r="D211" s="877"/>
      <c r="E211" s="48">
        <f t="shared" si="29"/>
        <v>1</v>
      </c>
      <c r="F211" s="877"/>
      <c r="G211" s="48">
        <f t="shared" si="30"/>
        <v>1</v>
      </c>
      <c r="H211" s="877"/>
      <c r="I211" s="48">
        <f t="shared" si="31"/>
        <v>1</v>
      </c>
      <c r="J211" s="877"/>
      <c r="K211" s="48">
        <f t="shared" si="32"/>
        <v>1</v>
      </c>
      <c r="L211" s="877"/>
      <c r="M211" s="48">
        <f t="shared" si="33"/>
        <v>1</v>
      </c>
      <c r="N211" s="877"/>
      <c r="O211" s="48">
        <f t="shared" si="34"/>
        <v>1</v>
      </c>
      <c r="P211" s="877"/>
      <c r="Q211" s="48">
        <f t="shared" si="35"/>
        <v>1</v>
      </c>
      <c r="R211" s="48">
        <f t="shared" si="36"/>
        <v>0</v>
      </c>
      <c r="S211" s="733">
        <f t="shared" si="37"/>
        <v>0</v>
      </c>
    </row>
    <row r="212" spans="1:19">
      <c r="A212" s="878"/>
      <c r="B212" s="125"/>
      <c r="C212" s="48">
        <f t="shared" si="28"/>
        <v>1</v>
      </c>
      <c r="D212" s="877"/>
      <c r="E212" s="48">
        <f t="shared" si="29"/>
        <v>1</v>
      </c>
      <c r="F212" s="877"/>
      <c r="G212" s="48">
        <f t="shared" si="30"/>
        <v>1</v>
      </c>
      <c r="H212" s="877"/>
      <c r="I212" s="48">
        <f t="shared" si="31"/>
        <v>1</v>
      </c>
      <c r="J212" s="877"/>
      <c r="K212" s="48">
        <f t="shared" si="32"/>
        <v>1</v>
      </c>
      <c r="L212" s="877"/>
      <c r="M212" s="48">
        <f t="shared" si="33"/>
        <v>1</v>
      </c>
      <c r="N212" s="877"/>
      <c r="O212" s="48">
        <f t="shared" si="34"/>
        <v>1</v>
      </c>
      <c r="P212" s="877"/>
      <c r="Q212" s="48">
        <f t="shared" si="35"/>
        <v>1</v>
      </c>
      <c r="R212" s="48">
        <f t="shared" si="36"/>
        <v>0</v>
      </c>
      <c r="S212" s="733">
        <f t="shared" si="37"/>
        <v>0</v>
      </c>
    </row>
    <row r="213" spans="1:19">
      <c r="A213" s="878"/>
      <c r="B213" s="125"/>
      <c r="C213" s="48">
        <f t="shared" si="28"/>
        <v>1</v>
      </c>
      <c r="D213" s="877"/>
      <c r="E213" s="48">
        <f t="shared" si="29"/>
        <v>1</v>
      </c>
      <c r="F213" s="877"/>
      <c r="G213" s="48">
        <f t="shared" si="30"/>
        <v>1</v>
      </c>
      <c r="H213" s="877"/>
      <c r="I213" s="48">
        <f t="shared" si="31"/>
        <v>1</v>
      </c>
      <c r="J213" s="877"/>
      <c r="K213" s="48">
        <f t="shared" si="32"/>
        <v>1</v>
      </c>
      <c r="L213" s="877"/>
      <c r="M213" s="48">
        <f t="shared" si="33"/>
        <v>1</v>
      </c>
      <c r="N213" s="877"/>
      <c r="O213" s="48">
        <f t="shared" si="34"/>
        <v>1</v>
      </c>
      <c r="P213" s="877"/>
      <c r="Q213" s="48">
        <f t="shared" si="35"/>
        <v>1</v>
      </c>
      <c r="R213" s="48">
        <f t="shared" si="36"/>
        <v>0</v>
      </c>
      <c r="S213" s="733">
        <f t="shared" si="37"/>
        <v>0</v>
      </c>
    </row>
    <row r="214" spans="1:19">
      <c r="A214" s="878"/>
      <c r="B214" s="125"/>
      <c r="C214" s="48">
        <f t="shared" si="28"/>
        <v>1</v>
      </c>
      <c r="D214" s="877"/>
      <c r="E214" s="48">
        <f t="shared" si="29"/>
        <v>1</v>
      </c>
      <c r="F214" s="877"/>
      <c r="G214" s="48">
        <f t="shared" si="30"/>
        <v>1</v>
      </c>
      <c r="H214" s="877"/>
      <c r="I214" s="48">
        <f t="shared" si="31"/>
        <v>1</v>
      </c>
      <c r="J214" s="877"/>
      <c r="K214" s="48">
        <f t="shared" si="32"/>
        <v>1</v>
      </c>
      <c r="L214" s="877"/>
      <c r="M214" s="48">
        <f t="shared" si="33"/>
        <v>1</v>
      </c>
      <c r="N214" s="877"/>
      <c r="O214" s="48">
        <f t="shared" si="34"/>
        <v>1</v>
      </c>
      <c r="P214" s="877"/>
      <c r="Q214" s="48">
        <f t="shared" si="35"/>
        <v>1</v>
      </c>
      <c r="R214" s="48">
        <f t="shared" si="36"/>
        <v>0</v>
      </c>
      <c r="S214" s="733">
        <f t="shared" si="37"/>
        <v>0</v>
      </c>
    </row>
    <row r="215" spans="1:19">
      <c r="A215" s="878"/>
      <c r="B215" s="125"/>
      <c r="C215" s="48">
        <f t="shared" si="28"/>
        <v>1</v>
      </c>
      <c r="D215" s="877"/>
      <c r="E215" s="48">
        <f t="shared" si="29"/>
        <v>1</v>
      </c>
      <c r="F215" s="877"/>
      <c r="G215" s="48">
        <f t="shared" si="30"/>
        <v>1</v>
      </c>
      <c r="H215" s="877"/>
      <c r="I215" s="48">
        <f t="shared" si="31"/>
        <v>1</v>
      </c>
      <c r="J215" s="877"/>
      <c r="K215" s="48">
        <f t="shared" si="32"/>
        <v>1</v>
      </c>
      <c r="L215" s="877"/>
      <c r="M215" s="48">
        <f t="shared" si="33"/>
        <v>1</v>
      </c>
      <c r="N215" s="877"/>
      <c r="O215" s="48">
        <f t="shared" si="34"/>
        <v>1</v>
      </c>
      <c r="P215" s="877"/>
      <c r="Q215" s="48">
        <f t="shared" si="35"/>
        <v>1</v>
      </c>
      <c r="R215" s="48">
        <f t="shared" si="36"/>
        <v>0</v>
      </c>
      <c r="S215" s="733">
        <f t="shared" si="37"/>
        <v>0</v>
      </c>
    </row>
    <row r="216" spans="1:19">
      <c r="A216" s="878"/>
      <c r="B216" s="125"/>
      <c r="C216" s="48">
        <f t="shared" si="28"/>
        <v>1</v>
      </c>
      <c r="D216" s="877"/>
      <c r="E216" s="48">
        <f t="shared" si="29"/>
        <v>1</v>
      </c>
      <c r="F216" s="877"/>
      <c r="G216" s="48">
        <f t="shared" si="30"/>
        <v>1</v>
      </c>
      <c r="H216" s="877"/>
      <c r="I216" s="48">
        <f t="shared" si="31"/>
        <v>1</v>
      </c>
      <c r="J216" s="877"/>
      <c r="K216" s="48">
        <f t="shared" si="32"/>
        <v>1</v>
      </c>
      <c r="L216" s="877"/>
      <c r="M216" s="48">
        <f t="shared" si="33"/>
        <v>1</v>
      </c>
      <c r="N216" s="877"/>
      <c r="O216" s="48">
        <f t="shared" si="34"/>
        <v>1</v>
      </c>
      <c r="P216" s="877"/>
      <c r="Q216" s="48">
        <f t="shared" si="35"/>
        <v>1</v>
      </c>
      <c r="R216" s="48">
        <f t="shared" si="36"/>
        <v>0</v>
      </c>
      <c r="S216" s="733">
        <f t="shared" si="37"/>
        <v>0</v>
      </c>
    </row>
    <row r="217" spans="1:19">
      <c r="A217" s="878"/>
      <c r="B217" s="125"/>
      <c r="C217" s="48">
        <f t="shared" si="28"/>
        <v>1</v>
      </c>
      <c r="D217" s="877"/>
      <c r="E217" s="48">
        <f t="shared" si="29"/>
        <v>1</v>
      </c>
      <c r="F217" s="877"/>
      <c r="G217" s="48">
        <f t="shared" si="30"/>
        <v>1</v>
      </c>
      <c r="H217" s="877"/>
      <c r="I217" s="48">
        <f t="shared" si="31"/>
        <v>1</v>
      </c>
      <c r="J217" s="877"/>
      <c r="K217" s="48">
        <f t="shared" si="32"/>
        <v>1</v>
      </c>
      <c r="L217" s="877"/>
      <c r="M217" s="48">
        <f t="shared" si="33"/>
        <v>1</v>
      </c>
      <c r="N217" s="877"/>
      <c r="O217" s="48">
        <f t="shared" si="34"/>
        <v>1</v>
      </c>
      <c r="P217" s="877"/>
      <c r="Q217" s="48">
        <f t="shared" si="35"/>
        <v>1</v>
      </c>
      <c r="R217" s="48">
        <f t="shared" si="36"/>
        <v>0</v>
      </c>
      <c r="S217" s="733">
        <f t="shared" si="37"/>
        <v>0</v>
      </c>
    </row>
    <row r="218" spans="1:19">
      <c r="A218" s="878"/>
      <c r="B218" s="125"/>
      <c r="C218" s="48">
        <f t="shared" ref="C218:C281" si="38">IF(B218="",1,(LOOKUP(B218,$3:$3,$4:$4)-LOOKUP($B$24,$3:$3,$4:$4)+100)/100)</f>
        <v>1</v>
      </c>
      <c r="D218" s="877"/>
      <c r="E218" s="48">
        <f t="shared" ref="E218:E281" si="39">(SUMIF($5:$5,D218,$6:$6)-SUMIF($5:$5,$D$24,$6:$6)+100)/100</f>
        <v>1</v>
      </c>
      <c r="F218" s="877"/>
      <c r="G218" s="48">
        <f t="shared" ref="G218:G281" si="40">(SUMIF($7:$7,F218,$8:$8)-SUMIF($7:$7,$F$24,$8:$8)+100)/100</f>
        <v>1</v>
      </c>
      <c r="H218" s="877"/>
      <c r="I218" s="48">
        <f t="shared" ref="I218:I281" si="41">(SUMIF($9:$9,H218,$10:$10)-SUMIF($9:$9,$H$24,$10:$10)+100)/100</f>
        <v>1</v>
      </c>
      <c r="J218" s="877"/>
      <c r="K218" s="48">
        <f t="shared" ref="K218:K281" si="42">(SUMIF($11:$11,J218,$12:$12)-SUMIF($11:$11,$J$24,$12:$12)+100)/100</f>
        <v>1</v>
      </c>
      <c r="L218" s="877"/>
      <c r="M218" s="48">
        <f t="shared" ref="M218:M281" si="43">(SUMIF($13:$13,L218,$14:$14)-SUMIF($13:$13,$L$24,$14:$14)+100)/100</f>
        <v>1</v>
      </c>
      <c r="N218" s="877"/>
      <c r="O218" s="48">
        <f t="shared" ref="O218:O281" si="44">(SUMIF($15:$15,N218,$16:$16)-SUMIF($15:$15,$N$24,$16:$16)+100)/100</f>
        <v>1</v>
      </c>
      <c r="P218" s="877"/>
      <c r="Q218" s="48">
        <f t="shared" ref="Q218:Q281" si="45">(SUMIF($17:$17,P218,$18:$18)-SUMIF($17:$17,$P$24,$18:$18)+100)/100</f>
        <v>1</v>
      </c>
      <c r="R218" s="48">
        <f t="shared" ref="R218:R281" si="46">IF(B218="",0,ROUND($R$24*C218*E218*G218*I218*K218*M218*O218*Q218,0))</f>
        <v>0</v>
      </c>
      <c r="S218" s="733">
        <f t="shared" si="37"/>
        <v>0</v>
      </c>
    </row>
    <row r="219" spans="1:19">
      <c r="A219" s="878"/>
      <c r="B219" s="125"/>
      <c r="C219" s="48">
        <f t="shared" si="38"/>
        <v>1</v>
      </c>
      <c r="D219" s="877"/>
      <c r="E219" s="48">
        <f t="shared" si="39"/>
        <v>1</v>
      </c>
      <c r="F219" s="877"/>
      <c r="G219" s="48">
        <f t="shared" si="40"/>
        <v>1</v>
      </c>
      <c r="H219" s="877"/>
      <c r="I219" s="48">
        <f t="shared" si="41"/>
        <v>1</v>
      </c>
      <c r="J219" s="877"/>
      <c r="K219" s="48">
        <f t="shared" si="42"/>
        <v>1</v>
      </c>
      <c r="L219" s="877"/>
      <c r="M219" s="48">
        <f t="shared" si="43"/>
        <v>1</v>
      </c>
      <c r="N219" s="877"/>
      <c r="O219" s="48">
        <f t="shared" si="44"/>
        <v>1</v>
      </c>
      <c r="P219" s="877"/>
      <c r="Q219" s="48">
        <f t="shared" si="45"/>
        <v>1</v>
      </c>
      <c r="R219" s="48">
        <f t="shared" si="46"/>
        <v>0</v>
      </c>
      <c r="S219" s="733">
        <f t="shared" si="37"/>
        <v>0</v>
      </c>
    </row>
    <row r="220" spans="1:19">
      <c r="A220" s="878"/>
      <c r="B220" s="125"/>
      <c r="C220" s="48">
        <f t="shared" si="38"/>
        <v>1</v>
      </c>
      <c r="D220" s="877"/>
      <c r="E220" s="48">
        <f t="shared" si="39"/>
        <v>1</v>
      </c>
      <c r="F220" s="877"/>
      <c r="G220" s="48">
        <f t="shared" si="40"/>
        <v>1</v>
      </c>
      <c r="H220" s="877"/>
      <c r="I220" s="48">
        <f t="shared" si="41"/>
        <v>1</v>
      </c>
      <c r="J220" s="877"/>
      <c r="K220" s="48">
        <f t="shared" si="42"/>
        <v>1</v>
      </c>
      <c r="L220" s="877"/>
      <c r="M220" s="48">
        <f t="shared" si="43"/>
        <v>1</v>
      </c>
      <c r="N220" s="877"/>
      <c r="O220" s="48">
        <f t="shared" si="44"/>
        <v>1</v>
      </c>
      <c r="P220" s="877"/>
      <c r="Q220" s="48">
        <f t="shared" si="45"/>
        <v>1</v>
      </c>
      <c r="R220" s="48">
        <f t="shared" si="46"/>
        <v>0</v>
      </c>
      <c r="S220" s="733">
        <f t="shared" si="37"/>
        <v>0</v>
      </c>
    </row>
    <row r="221" spans="1:19">
      <c r="A221" s="878"/>
      <c r="B221" s="125"/>
      <c r="C221" s="48">
        <f t="shared" si="38"/>
        <v>1</v>
      </c>
      <c r="D221" s="877"/>
      <c r="E221" s="48">
        <f t="shared" si="39"/>
        <v>1</v>
      </c>
      <c r="F221" s="877"/>
      <c r="G221" s="48">
        <f t="shared" si="40"/>
        <v>1</v>
      </c>
      <c r="H221" s="877"/>
      <c r="I221" s="48">
        <f t="shared" si="41"/>
        <v>1</v>
      </c>
      <c r="J221" s="877"/>
      <c r="K221" s="48">
        <f t="shared" si="42"/>
        <v>1</v>
      </c>
      <c r="L221" s="877"/>
      <c r="M221" s="48">
        <f t="shared" si="43"/>
        <v>1</v>
      </c>
      <c r="N221" s="877"/>
      <c r="O221" s="48">
        <f t="shared" si="44"/>
        <v>1</v>
      </c>
      <c r="P221" s="877"/>
      <c r="Q221" s="48">
        <f t="shared" si="45"/>
        <v>1</v>
      </c>
      <c r="R221" s="48">
        <f t="shared" si="46"/>
        <v>0</v>
      </c>
      <c r="S221" s="733">
        <f t="shared" si="37"/>
        <v>0</v>
      </c>
    </row>
    <row r="222" spans="1:19">
      <c r="A222" s="878"/>
      <c r="B222" s="125"/>
      <c r="C222" s="48">
        <f t="shared" si="38"/>
        <v>1</v>
      </c>
      <c r="D222" s="877"/>
      <c r="E222" s="48">
        <f t="shared" si="39"/>
        <v>1</v>
      </c>
      <c r="F222" s="877"/>
      <c r="G222" s="48">
        <f t="shared" si="40"/>
        <v>1</v>
      </c>
      <c r="H222" s="877"/>
      <c r="I222" s="48">
        <f t="shared" si="41"/>
        <v>1</v>
      </c>
      <c r="J222" s="877"/>
      <c r="K222" s="48">
        <f t="shared" si="42"/>
        <v>1</v>
      </c>
      <c r="L222" s="877"/>
      <c r="M222" s="48">
        <f t="shared" si="43"/>
        <v>1</v>
      </c>
      <c r="N222" s="877"/>
      <c r="O222" s="48">
        <f t="shared" si="44"/>
        <v>1</v>
      </c>
      <c r="P222" s="877"/>
      <c r="Q222" s="48">
        <f t="shared" si="45"/>
        <v>1</v>
      </c>
      <c r="R222" s="48">
        <f t="shared" si="46"/>
        <v>0</v>
      </c>
      <c r="S222" s="733">
        <f t="shared" si="37"/>
        <v>0</v>
      </c>
    </row>
    <row r="223" spans="1:19">
      <c r="A223" s="878"/>
      <c r="B223" s="125"/>
      <c r="C223" s="48">
        <f t="shared" si="38"/>
        <v>1</v>
      </c>
      <c r="D223" s="877"/>
      <c r="E223" s="48">
        <f t="shared" si="39"/>
        <v>1</v>
      </c>
      <c r="F223" s="877"/>
      <c r="G223" s="48">
        <f t="shared" si="40"/>
        <v>1</v>
      </c>
      <c r="H223" s="877"/>
      <c r="I223" s="48">
        <f t="shared" si="41"/>
        <v>1</v>
      </c>
      <c r="J223" s="877"/>
      <c r="K223" s="48">
        <f t="shared" si="42"/>
        <v>1</v>
      </c>
      <c r="L223" s="877"/>
      <c r="M223" s="48">
        <f t="shared" si="43"/>
        <v>1</v>
      </c>
      <c r="N223" s="877"/>
      <c r="O223" s="48">
        <f t="shared" si="44"/>
        <v>1</v>
      </c>
      <c r="P223" s="877"/>
      <c r="Q223" s="48">
        <f t="shared" si="45"/>
        <v>1</v>
      </c>
      <c r="R223" s="48">
        <f t="shared" si="46"/>
        <v>0</v>
      </c>
      <c r="S223" s="733">
        <f t="shared" ref="S223:S286" si="47">ROUND(R223*B223/10000,0)</f>
        <v>0</v>
      </c>
    </row>
    <row r="224" spans="1:19">
      <c r="A224" s="878"/>
      <c r="B224" s="125"/>
      <c r="C224" s="48">
        <f t="shared" si="38"/>
        <v>1</v>
      </c>
      <c r="D224" s="877"/>
      <c r="E224" s="48">
        <f t="shared" si="39"/>
        <v>1</v>
      </c>
      <c r="F224" s="877"/>
      <c r="G224" s="48">
        <f t="shared" si="40"/>
        <v>1</v>
      </c>
      <c r="H224" s="877"/>
      <c r="I224" s="48">
        <f t="shared" si="41"/>
        <v>1</v>
      </c>
      <c r="J224" s="877"/>
      <c r="K224" s="48">
        <f t="shared" si="42"/>
        <v>1</v>
      </c>
      <c r="L224" s="877"/>
      <c r="M224" s="48">
        <f t="shared" si="43"/>
        <v>1</v>
      </c>
      <c r="N224" s="877"/>
      <c r="O224" s="48">
        <f t="shared" si="44"/>
        <v>1</v>
      </c>
      <c r="P224" s="877"/>
      <c r="Q224" s="48">
        <f t="shared" si="45"/>
        <v>1</v>
      </c>
      <c r="R224" s="48">
        <f t="shared" si="46"/>
        <v>0</v>
      </c>
      <c r="S224" s="733">
        <f t="shared" si="47"/>
        <v>0</v>
      </c>
    </row>
    <row r="225" spans="1:19">
      <c r="A225" s="878"/>
      <c r="B225" s="125"/>
      <c r="C225" s="48">
        <f t="shared" si="38"/>
        <v>1</v>
      </c>
      <c r="D225" s="877"/>
      <c r="E225" s="48">
        <f t="shared" si="39"/>
        <v>1</v>
      </c>
      <c r="F225" s="877"/>
      <c r="G225" s="48">
        <f t="shared" si="40"/>
        <v>1</v>
      </c>
      <c r="H225" s="877"/>
      <c r="I225" s="48">
        <f t="shared" si="41"/>
        <v>1</v>
      </c>
      <c r="J225" s="877"/>
      <c r="K225" s="48">
        <f t="shared" si="42"/>
        <v>1</v>
      </c>
      <c r="L225" s="877"/>
      <c r="M225" s="48">
        <f t="shared" si="43"/>
        <v>1</v>
      </c>
      <c r="N225" s="877"/>
      <c r="O225" s="48">
        <f t="shared" si="44"/>
        <v>1</v>
      </c>
      <c r="P225" s="877"/>
      <c r="Q225" s="48">
        <f t="shared" si="45"/>
        <v>1</v>
      </c>
      <c r="R225" s="48">
        <f t="shared" si="46"/>
        <v>0</v>
      </c>
      <c r="S225" s="733">
        <f t="shared" si="47"/>
        <v>0</v>
      </c>
    </row>
    <row r="226" spans="1:19">
      <c r="A226" s="878"/>
      <c r="B226" s="125"/>
      <c r="C226" s="48">
        <f t="shared" si="38"/>
        <v>1</v>
      </c>
      <c r="D226" s="877"/>
      <c r="E226" s="48">
        <f t="shared" si="39"/>
        <v>1</v>
      </c>
      <c r="F226" s="877"/>
      <c r="G226" s="48">
        <f t="shared" si="40"/>
        <v>1</v>
      </c>
      <c r="H226" s="877"/>
      <c r="I226" s="48">
        <f t="shared" si="41"/>
        <v>1</v>
      </c>
      <c r="J226" s="877"/>
      <c r="K226" s="48">
        <f t="shared" si="42"/>
        <v>1</v>
      </c>
      <c r="L226" s="877"/>
      <c r="M226" s="48">
        <f t="shared" si="43"/>
        <v>1</v>
      </c>
      <c r="N226" s="877"/>
      <c r="O226" s="48">
        <f t="shared" si="44"/>
        <v>1</v>
      </c>
      <c r="P226" s="877"/>
      <c r="Q226" s="48">
        <f t="shared" si="45"/>
        <v>1</v>
      </c>
      <c r="R226" s="48">
        <f t="shared" si="46"/>
        <v>0</v>
      </c>
      <c r="S226" s="733">
        <f t="shared" si="47"/>
        <v>0</v>
      </c>
    </row>
    <row r="227" spans="1:19">
      <c r="A227" s="878"/>
      <c r="B227" s="125"/>
      <c r="C227" s="48">
        <f t="shared" si="38"/>
        <v>1</v>
      </c>
      <c r="D227" s="877"/>
      <c r="E227" s="48">
        <f t="shared" si="39"/>
        <v>1</v>
      </c>
      <c r="F227" s="877"/>
      <c r="G227" s="48">
        <f t="shared" si="40"/>
        <v>1</v>
      </c>
      <c r="H227" s="877"/>
      <c r="I227" s="48">
        <f t="shared" si="41"/>
        <v>1</v>
      </c>
      <c r="J227" s="877"/>
      <c r="K227" s="48">
        <f t="shared" si="42"/>
        <v>1</v>
      </c>
      <c r="L227" s="877"/>
      <c r="M227" s="48">
        <f t="shared" si="43"/>
        <v>1</v>
      </c>
      <c r="N227" s="877"/>
      <c r="O227" s="48">
        <f t="shared" si="44"/>
        <v>1</v>
      </c>
      <c r="P227" s="877"/>
      <c r="Q227" s="48">
        <f t="shared" si="45"/>
        <v>1</v>
      </c>
      <c r="R227" s="48">
        <f t="shared" si="46"/>
        <v>0</v>
      </c>
      <c r="S227" s="733">
        <f t="shared" si="47"/>
        <v>0</v>
      </c>
    </row>
    <row r="228" spans="1:19">
      <c r="A228" s="878"/>
      <c r="B228" s="125"/>
      <c r="C228" s="48">
        <f t="shared" si="38"/>
        <v>1</v>
      </c>
      <c r="D228" s="877"/>
      <c r="E228" s="48">
        <f t="shared" si="39"/>
        <v>1</v>
      </c>
      <c r="F228" s="877"/>
      <c r="G228" s="48">
        <f t="shared" si="40"/>
        <v>1</v>
      </c>
      <c r="H228" s="877"/>
      <c r="I228" s="48">
        <f t="shared" si="41"/>
        <v>1</v>
      </c>
      <c r="J228" s="877"/>
      <c r="K228" s="48">
        <f t="shared" si="42"/>
        <v>1</v>
      </c>
      <c r="L228" s="877"/>
      <c r="M228" s="48">
        <f t="shared" si="43"/>
        <v>1</v>
      </c>
      <c r="N228" s="877"/>
      <c r="O228" s="48">
        <f t="shared" si="44"/>
        <v>1</v>
      </c>
      <c r="P228" s="877"/>
      <c r="Q228" s="48">
        <f t="shared" si="45"/>
        <v>1</v>
      </c>
      <c r="R228" s="48">
        <f t="shared" si="46"/>
        <v>0</v>
      </c>
      <c r="S228" s="733">
        <f t="shared" si="47"/>
        <v>0</v>
      </c>
    </row>
    <row r="229" spans="1:19">
      <c r="A229" s="878"/>
      <c r="B229" s="125"/>
      <c r="C229" s="48">
        <f t="shared" si="38"/>
        <v>1</v>
      </c>
      <c r="D229" s="877"/>
      <c r="E229" s="48">
        <f t="shared" si="39"/>
        <v>1</v>
      </c>
      <c r="F229" s="877"/>
      <c r="G229" s="48">
        <f t="shared" si="40"/>
        <v>1</v>
      </c>
      <c r="H229" s="877"/>
      <c r="I229" s="48">
        <f t="shared" si="41"/>
        <v>1</v>
      </c>
      <c r="J229" s="877"/>
      <c r="K229" s="48">
        <f t="shared" si="42"/>
        <v>1</v>
      </c>
      <c r="L229" s="877"/>
      <c r="M229" s="48">
        <f t="shared" si="43"/>
        <v>1</v>
      </c>
      <c r="N229" s="877"/>
      <c r="O229" s="48">
        <f t="shared" si="44"/>
        <v>1</v>
      </c>
      <c r="P229" s="877"/>
      <c r="Q229" s="48">
        <f t="shared" si="45"/>
        <v>1</v>
      </c>
      <c r="R229" s="48">
        <f t="shared" si="46"/>
        <v>0</v>
      </c>
      <c r="S229" s="733">
        <f t="shared" si="47"/>
        <v>0</v>
      </c>
    </row>
    <row r="230" spans="1:19">
      <c r="A230" s="878"/>
      <c r="B230" s="125"/>
      <c r="C230" s="48">
        <f t="shared" si="38"/>
        <v>1</v>
      </c>
      <c r="D230" s="877"/>
      <c r="E230" s="48">
        <f t="shared" si="39"/>
        <v>1</v>
      </c>
      <c r="F230" s="877"/>
      <c r="G230" s="48">
        <f t="shared" si="40"/>
        <v>1</v>
      </c>
      <c r="H230" s="877"/>
      <c r="I230" s="48">
        <f t="shared" si="41"/>
        <v>1</v>
      </c>
      <c r="J230" s="877"/>
      <c r="K230" s="48">
        <f t="shared" si="42"/>
        <v>1</v>
      </c>
      <c r="L230" s="877"/>
      <c r="M230" s="48">
        <f t="shared" si="43"/>
        <v>1</v>
      </c>
      <c r="N230" s="877"/>
      <c r="O230" s="48">
        <f t="shared" si="44"/>
        <v>1</v>
      </c>
      <c r="P230" s="877"/>
      <c r="Q230" s="48">
        <f t="shared" si="45"/>
        <v>1</v>
      </c>
      <c r="R230" s="48">
        <f t="shared" si="46"/>
        <v>0</v>
      </c>
      <c r="S230" s="733">
        <f t="shared" si="47"/>
        <v>0</v>
      </c>
    </row>
    <row r="231" spans="1:19">
      <c r="A231" s="878"/>
      <c r="B231" s="125"/>
      <c r="C231" s="48">
        <f t="shared" si="38"/>
        <v>1</v>
      </c>
      <c r="D231" s="877"/>
      <c r="E231" s="48">
        <f t="shared" si="39"/>
        <v>1</v>
      </c>
      <c r="F231" s="877"/>
      <c r="G231" s="48">
        <f t="shared" si="40"/>
        <v>1</v>
      </c>
      <c r="H231" s="877"/>
      <c r="I231" s="48">
        <f t="shared" si="41"/>
        <v>1</v>
      </c>
      <c r="J231" s="877"/>
      <c r="K231" s="48">
        <f t="shared" si="42"/>
        <v>1</v>
      </c>
      <c r="L231" s="877"/>
      <c r="M231" s="48">
        <f t="shared" si="43"/>
        <v>1</v>
      </c>
      <c r="N231" s="877"/>
      <c r="O231" s="48">
        <f t="shared" si="44"/>
        <v>1</v>
      </c>
      <c r="P231" s="877"/>
      <c r="Q231" s="48">
        <f t="shared" si="45"/>
        <v>1</v>
      </c>
      <c r="R231" s="48">
        <f t="shared" si="46"/>
        <v>0</v>
      </c>
      <c r="S231" s="733">
        <f t="shared" si="47"/>
        <v>0</v>
      </c>
    </row>
    <row r="232" spans="1:19">
      <c r="A232" s="878"/>
      <c r="B232" s="125"/>
      <c r="C232" s="48">
        <f t="shared" si="38"/>
        <v>1</v>
      </c>
      <c r="D232" s="877"/>
      <c r="E232" s="48">
        <f t="shared" si="39"/>
        <v>1</v>
      </c>
      <c r="F232" s="877"/>
      <c r="G232" s="48">
        <f t="shared" si="40"/>
        <v>1</v>
      </c>
      <c r="H232" s="877"/>
      <c r="I232" s="48">
        <f t="shared" si="41"/>
        <v>1</v>
      </c>
      <c r="J232" s="877"/>
      <c r="K232" s="48">
        <f t="shared" si="42"/>
        <v>1</v>
      </c>
      <c r="L232" s="877"/>
      <c r="M232" s="48">
        <f t="shared" si="43"/>
        <v>1</v>
      </c>
      <c r="N232" s="877"/>
      <c r="O232" s="48">
        <f t="shared" si="44"/>
        <v>1</v>
      </c>
      <c r="P232" s="877"/>
      <c r="Q232" s="48">
        <f t="shared" si="45"/>
        <v>1</v>
      </c>
      <c r="R232" s="48">
        <f t="shared" si="46"/>
        <v>0</v>
      </c>
      <c r="S232" s="733">
        <f t="shared" si="47"/>
        <v>0</v>
      </c>
    </row>
    <row r="233" spans="1:19">
      <c r="A233" s="878"/>
      <c r="B233" s="125"/>
      <c r="C233" s="48">
        <f t="shared" si="38"/>
        <v>1</v>
      </c>
      <c r="D233" s="877"/>
      <c r="E233" s="48">
        <f t="shared" si="39"/>
        <v>1</v>
      </c>
      <c r="F233" s="877"/>
      <c r="G233" s="48">
        <f t="shared" si="40"/>
        <v>1</v>
      </c>
      <c r="H233" s="877"/>
      <c r="I233" s="48">
        <f t="shared" si="41"/>
        <v>1</v>
      </c>
      <c r="J233" s="877"/>
      <c r="K233" s="48">
        <f t="shared" si="42"/>
        <v>1</v>
      </c>
      <c r="L233" s="877"/>
      <c r="M233" s="48">
        <f t="shared" si="43"/>
        <v>1</v>
      </c>
      <c r="N233" s="877"/>
      <c r="O233" s="48">
        <f t="shared" si="44"/>
        <v>1</v>
      </c>
      <c r="P233" s="877"/>
      <c r="Q233" s="48">
        <f t="shared" si="45"/>
        <v>1</v>
      </c>
      <c r="R233" s="48">
        <f t="shared" si="46"/>
        <v>0</v>
      </c>
      <c r="S233" s="733">
        <f t="shared" si="47"/>
        <v>0</v>
      </c>
    </row>
    <row r="234" spans="1:19">
      <c r="A234" s="878"/>
      <c r="B234" s="125"/>
      <c r="C234" s="48">
        <f t="shared" si="38"/>
        <v>1</v>
      </c>
      <c r="D234" s="877"/>
      <c r="E234" s="48">
        <f t="shared" si="39"/>
        <v>1</v>
      </c>
      <c r="F234" s="877"/>
      <c r="G234" s="48">
        <f t="shared" si="40"/>
        <v>1</v>
      </c>
      <c r="H234" s="877"/>
      <c r="I234" s="48">
        <f t="shared" si="41"/>
        <v>1</v>
      </c>
      <c r="J234" s="877"/>
      <c r="K234" s="48">
        <f t="shared" si="42"/>
        <v>1</v>
      </c>
      <c r="L234" s="877"/>
      <c r="M234" s="48">
        <f t="shared" si="43"/>
        <v>1</v>
      </c>
      <c r="N234" s="877"/>
      <c r="O234" s="48">
        <f t="shared" si="44"/>
        <v>1</v>
      </c>
      <c r="P234" s="877"/>
      <c r="Q234" s="48">
        <f t="shared" si="45"/>
        <v>1</v>
      </c>
      <c r="R234" s="48">
        <f t="shared" si="46"/>
        <v>0</v>
      </c>
      <c r="S234" s="733">
        <f t="shared" si="47"/>
        <v>0</v>
      </c>
    </row>
    <row r="235" spans="1:19">
      <c r="A235" s="878"/>
      <c r="B235" s="125"/>
      <c r="C235" s="48">
        <f t="shared" si="38"/>
        <v>1</v>
      </c>
      <c r="D235" s="877"/>
      <c r="E235" s="48">
        <f t="shared" si="39"/>
        <v>1</v>
      </c>
      <c r="F235" s="877"/>
      <c r="G235" s="48">
        <f t="shared" si="40"/>
        <v>1</v>
      </c>
      <c r="H235" s="877"/>
      <c r="I235" s="48">
        <f t="shared" si="41"/>
        <v>1</v>
      </c>
      <c r="J235" s="877"/>
      <c r="K235" s="48">
        <f t="shared" si="42"/>
        <v>1</v>
      </c>
      <c r="L235" s="877"/>
      <c r="M235" s="48">
        <f t="shared" si="43"/>
        <v>1</v>
      </c>
      <c r="N235" s="877"/>
      <c r="O235" s="48">
        <f t="shared" si="44"/>
        <v>1</v>
      </c>
      <c r="P235" s="877"/>
      <c r="Q235" s="48">
        <f t="shared" si="45"/>
        <v>1</v>
      </c>
      <c r="R235" s="48">
        <f t="shared" si="46"/>
        <v>0</v>
      </c>
      <c r="S235" s="733">
        <f t="shared" si="47"/>
        <v>0</v>
      </c>
    </row>
    <row r="236" spans="1:19">
      <c r="A236" s="878"/>
      <c r="B236" s="125"/>
      <c r="C236" s="48">
        <f t="shared" si="38"/>
        <v>1</v>
      </c>
      <c r="D236" s="877"/>
      <c r="E236" s="48">
        <f t="shared" si="39"/>
        <v>1</v>
      </c>
      <c r="F236" s="877"/>
      <c r="G236" s="48">
        <f t="shared" si="40"/>
        <v>1</v>
      </c>
      <c r="H236" s="877"/>
      <c r="I236" s="48">
        <f t="shared" si="41"/>
        <v>1</v>
      </c>
      <c r="J236" s="877"/>
      <c r="K236" s="48">
        <f t="shared" si="42"/>
        <v>1</v>
      </c>
      <c r="L236" s="877"/>
      <c r="M236" s="48">
        <f t="shared" si="43"/>
        <v>1</v>
      </c>
      <c r="N236" s="877"/>
      <c r="O236" s="48">
        <f t="shared" si="44"/>
        <v>1</v>
      </c>
      <c r="P236" s="877"/>
      <c r="Q236" s="48">
        <f t="shared" si="45"/>
        <v>1</v>
      </c>
      <c r="R236" s="48">
        <f t="shared" si="46"/>
        <v>0</v>
      </c>
      <c r="S236" s="733">
        <f t="shared" si="47"/>
        <v>0</v>
      </c>
    </row>
    <row r="237" spans="1:19">
      <c r="A237" s="878"/>
      <c r="B237" s="125"/>
      <c r="C237" s="48">
        <f t="shared" si="38"/>
        <v>1</v>
      </c>
      <c r="D237" s="877"/>
      <c r="E237" s="48">
        <f t="shared" si="39"/>
        <v>1</v>
      </c>
      <c r="F237" s="877"/>
      <c r="G237" s="48">
        <f t="shared" si="40"/>
        <v>1</v>
      </c>
      <c r="H237" s="877"/>
      <c r="I237" s="48">
        <f t="shared" si="41"/>
        <v>1</v>
      </c>
      <c r="J237" s="877"/>
      <c r="K237" s="48">
        <f t="shared" si="42"/>
        <v>1</v>
      </c>
      <c r="L237" s="877"/>
      <c r="M237" s="48">
        <f t="shared" si="43"/>
        <v>1</v>
      </c>
      <c r="N237" s="877"/>
      <c r="O237" s="48">
        <f t="shared" si="44"/>
        <v>1</v>
      </c>
      <c r="P237" s="877"/>
      <c r="Q237" s="48">
        <f t="shared" si="45"/>
        <v>1</v>
      </c>
      <c r="R237" s="48">
        <f t="shared" si="46"/>
        <v>0</v>
      </c>
      <c r="S237" s="733">
        <f t="shared" si="47"/>
        <v>0</v>
      </c>
    </row>
    <row r="238" spans="1:19">
      <c r="A238" s="878"/>
      <c r="B238" s="125"/>
      <c r="C238" s="48">
        <f t="shared" si="38"/>
        <v>1</v>
      </c>
      <c r="D238" s="877"/>
      <c r="E238" s="48">
        <f t="shared" si="39"/>
        <v>1</v>
      </c>
      <c r="F238" s="877"/>
      <c r="G238" s="48">
        <f t="shared" si="40"/>
        <v>1</v>
      </c>
      <c r="H238" s="877"/>
      <c r="I238" s="48">
        <f t="shared" si="41"/>
        <v>1</v>
      </c>
      <c r="J238" s="877"/>
      <c r="K238" s="48">
        <f t="shared" si="42"/>
        <v>1</v>
      </c>
      <c r="L238" s="877"/>
      <c r="M238" s="48">
        <f t="shared" si="43"/>
        <v>1</v>
      </c>
      <c r="N238" s="877"/>
      <c r="O238" s="48">
        <f t="shared" si="44"/>
        <v>1</v>
      </c>
      <c r="P238" s="877"/>
      <c r="Q238" s="48">
        <f t="shared" si="45"/>
        <v>1</v>
      </c>
      <c r="R238" s="48">
        <f t="shared" si="46"/>
        <v>0</v>
      </c>
      <c r="S238" s="733">
        <f t="shared" si="47"/>
        <v>0</v>
      </c>
    </row>
    <row r="239" spans="1:19">
      <c r="A239" s="878"/>
      <c r="B239" s="125"/>
      <c r="C239" s="48">
        <f t="shared" si="38"/>
        <v>1</v>
      </c>
      <c r="D239" s="877"/>
      <c r="E239" s="48">
        <f t="shared" si="39"/>
        <v>1</v>
      </c>
      <c r="F239" s="877"/>
      <c r="G239" s="48">
        <f t="shared" si="40"/>
        <v>1</v>
      </c>
      <c r="H239" s="877"/>
      <c r="I239" s="48">
        <f t="shared" si="41"/>
        <v>1</v>
      </c>
      <c r="J239" s="877"/>
      <c r="K239" s="48">
        <f t="shared" si="42"/>
        <v>1</v>
      </c>
      <c r="L239" s="877"/>
      <c r="M239" s="48">
        <f t="shared" si="43"/>
        <v>1</v>
      </c>
      <c r="N239" s="877"/>
      <c r="O239" s="48">
        <f t="shared" si="44"/>
        <v>1</v>
      </c>
      <c r="P239" s="877"/>
      <c r="Q239" s="48">
        <f t="shared" si="45"/>
        <v>1</v>
      </c>
      <c r="R239" s="48">
        <f t="shared" si="46"/>
        <v>0</v>
      </c>
      <c r="S239" s="733">
        <f t="shared" si="47"/>
        <v>0</v>
      </c>
    </row>
    <row r="240" spans="1:19">
      <c r="A240" s="878"/>
      <c r="B240" s="125"/>
      <c r="C240" s="48">
        <f t="shared" si="38"/>
        <v>1</v>
      </c>
      <c r="D240" s="877"/>
      <c r="E240" s="48">
        <f t="shared" si="39"/>
        <v>1</v>
      </c>
      <c r="F240" s="877"/>
      <c r="G240" s="48">
        <f t="shared" si="40"/>
        <v>1</v>
      </c>
      <c r="H240" s="877"/>
      <c r="I240" s="48">
        <f t="shared" si="41"/>
        <v>1</v>
      </c>
      <c r="J240" s="877"/>
      <c r="K240" s="48">
        <f t="shared" si="42"/>
        <v>1</v>
      </c>
      <c r="L240" s="877"/>
      <c r="M240" s="48">
        <f t="shared" si="43"/>
        <v>1</v>
      </c>
      <c r="N240" s="877"/>
      <c r="O240" s="48">
        <f t="shared" si="44"/>
        <v>1</v>
      </c>
      <c r="P240" s="877"/>
      <c r="Q240" s="48">
        <f t="shared" si="45"/>
        <v>1</v>
      </c>
      <c r="R240" s="48">
        <f t="shared" si="46"/>
        <v>0</v>
      </c>
      <c r="S240" s="733">
        <f t="shared" si="47"/>
        <v>0</v>
      </c>
    </row>
    <row r="241" spans="1:19">
      <c r="A241" s="878"/>
      <c r="B241" s="125"/>
      <c r="C241" s="48">
        <f t="shared" si="38"/>
        <v>1</v>
      </c>
      <c r="D241" s="877"/>
      <c r="E241" s="48">
        <f t="shared" si="39"/>
        <v>1</v>
      </c>
      <c r="F241" s="877"/>
      <c r="G241" s="48">
        <f t="shared" si="40"/>
        <v>1</v>
      </c>
      <c r="H241" s="877"/>
      <c r="I241" s="48">
        <f t="shared" si="41"/>
        <v>1</v>
      </c>
      <c r="J241" s="877"/>
      <c r="K241" s="48">
        <f t="shared" si="42"/>
        <v>1</v>
      </c>
      <c r="L241" s="877"/>
      <c r="M241" s="48">
        <f t="shared" si="43"/>
        <v>1</v>
      </c>
      <c r="N241" s="877"/>
      <c r="O241" s="48">
        <f t="shared" si="44"/>
        <v>1</v>
      </c>
      <c r="P241" s="877"/>
      <c r="Q241" s="48">
        <f t="shared" si="45"/>
        <v>1</v>
      </c>
      <c r="R241" s="48">
        <f t="shared" si="46"/>
        <v>0</v>
      </c>
      <c r="S241" s="733">
        <f t="shared" si="47"/>
        <v>0</v>
      </c>
    </row>
    <row r="242" spans="1:19">
      <c r="A242" s="878"/>
      <c r="B242" s="125"/>
      <c r="C242" s="48">
        <f t="shared" si="38"/>
        <v>1</v>
      </c>
      <c r="D242" s="877"/>
      <c r="E242" s="48">
        <f t="shared" si="39"/>
        <v>1</v>
      </c>
      <c r="F242" s="877"/>
      <c r="G242" s="48">
        <f t="shared" si="40"/>
        <v>1</v>
      </c>
      <c r="H242" s="877"/>
      <c r="I242" s="48">
        <f t="shared" si="41"/>
        <v>1</v>
      </c>
      <c r="J242" s="877"/>
      <c r="K242" s="48">
        <f t="shared" si="42"/>
        <v>1</v>
      </c>
      <c r="L242" s="877"/>
      <c r="M242" s="48">
        <f t="shared" si="43"/>
        <v>1</v>
      </c>
      <c r="N242" s="877"/>
      <c r="O242" s="48">
        <f t="shared" si="44"/>
        <v>1</v>
      </c>
      <c r="P242" s="877"/>
      <c r="Q242" s="48">
        <f t="shared" si="45"/>
        <v>1</v>
      </c>
      <c r="R242" s="48">
        <f t="shared" si="46"/>
        <v>0</v>
      </c>
      <c r="S242" s="733">
        <f t="shared" si="47"/>
        <v>0</v>
      </c>
    </row>
    <row r="243" spans="1:19">
      <c r="A243" s="878"/>
      <c r="B243" s="125"/>
      <c r="C243" s="48">
        <f t="shared" si="38"/>
        <v>1</v>
      </c>
      <c r="D243" s="877"/>
      <c r="E243" s="48">
        <f t="shared" si="39"/>
        <v>1</v>
      </c>
      <c r="F243" s="877"/>
      <c r="G243" s="48">
        <f t="shared" si="40"/>
        <v>1</v>
      </c>
      <c r="H243" s="877"/>
      <c r="I243" s="48">
        <f t="shared" si="41"/>
        <v>1</v>
      </c>
      <c r="J243" s="877"/>
      <c r="K243" s="48">
        <f t="shared" si="42"/>
        <v>1</v>
      </c>
      <c r="L243" s="877"/>
      <c r="M243" s="48">
        <f t="shared" si="43"/>
        <v>1</v>
      </c>
      <c r="N243" s="877"/>
      <c r="O243" s="48">
        <f t="shared" si="44"/>
        <v>1</v>
      </c>
      <c r="P243" s="877"/>
      <c r="Q243" s="48">
        <f t="shared" si="45"/>
        <v>1</v>
      </c>
      <c r="R243" s="48">
        <f t="shared" si="46"/>
        <v>0</v>
      </c>
      <c r="S243" s="733">
        <f t="shared" si="47"/>
        <v>0</v>
      </c>
    </row>
    <row r="244" spans="1:19">
      <c r="A244" s="878"/>
      <c r="B244" s="125"/>
      <c r="C244" s="48">
        <f t="shared" si="38"/>
        <v>1</v>
      </c>
      <c r="D244" s="877"/>
      <c r="E244" s="48">
        <f t="shared" si="39"/>
        <v>1</v>
      </c>
      <c r="F244" s="877"/>
      <c r="G244" s="48">
        <f t="shared" si="40"/>
        <v>1</v>
      </c>
      <c r="H244" s="877"/>
      <c r="I244" s="48">
        <f t="shared" si="41"/>
        <v>1</v>
      </c>
      <c r="J244" s="877"/>
      <c r="K244" s="48">
        <f t="shared" si="42"/>
        <v>1</v>
      </c>
      <c r="L244" s="877"/>
      <c r="M244" s="48">
        <f t="shared" si="43"/>
        <v>1</v>
      </c>
      <c r="N244" s="877"/>
      <c r="O244" s="48">
        <f t="shared" si="44"/>
        <v>1</v>
      </c>
      <c r="P244" s="877"/>
      <c r="Q244" s="48">
        <f t="shared" si="45"/>
        <v>1</v>
      </c>
      <c r="R244" s="48">
        <f t="shared" si="46"/>
        <v>0</v>
      </c>
      <c r="S244" s="733">
        <f t="shared" si="47"/>
        <v>0</v>
      </c>
    </row>
    <row r="245" spans="1:19">
      <c r="A245" s="878"/>
      <c r="B245" s="125"/>
      <c r="C245" s="48">
        <f t="shared" si="38"/>
        <v>1</v>
      </c>
      <c r="D245" s="877"/>
      <c r="E245" s="48">
        <f t="shared" si="39"/>
        <v>1</v>
      </c>
      <c r="F245" s="877"/>
      <c r="G245" s="48">
        <f t="shared" si="40"/>
        <v>1</v>
      </c>
      <c r="H245" s="877"/>
      <c r="I245" s="48">
        <f t="shared" si="41"/>
        <v>1</v>
      </c>
      <c r="J245" s="877"/>
      <c r="K245" s="48">
        <f t="shared" si="42"/>
        <v>1</v>
      </c>
      <c r="L245" s="877"/>
      <c r="M245" s="48">
        <f t="shared" si="43"/>
        <v>1</v>
      </c>
      <c r="N245" s="877"/>
      <c r="O245" s="48">
        <f t="shared" si="44"/>
        <v>1</v>
      </c>
      <c r="P245" s="877"/>
      <c r="Q245" s="48">
        <f t="shared" si="45"/>
        <v>1</v>
      </c>
      <c r="R245" s="48">
        <f t="shared" si="46"/>
        <v>0</v>
      </c>
      <c r="S245" s="733">
        <f t="shared" si="47"/>
        <v>0</v>
      </c>
    </row>
    <row r="246" spans="1:19">
      <c r="A246" s="878"/>
      <c r="B246" s="125"/>
      <c r="C246" s="48">
        <f t="shared" si="38"/>
        <v>1</v>
      </c>
      <c r="D246" s="877"/>
      <c r="E246" s="48">
        <f t="shared" si="39"/>
        <v>1</v>
      </c>
      <c r="F246" s="877"/>
      <c r="G246" s="48">
        <f t="shared" si="40"/>
        <v>1</v>
      </c>
      <c r="H246" s="877"/>
      <c r="I246" s="48">
        <f t="shared" si="41"/>
        <v>1</v>
      </c>
      <c r="J246" s="877"/>
      <c r="K246" s="48">
        <f t="shared" si="42"/>
        <v>1</v>
      </c>
      <c r="L246" s="877"/>
      <c r="M246" s="48">
        <f t="shared" si="43"/>
        <v>1</v>
      </c>
      <c r="N246" s="877"/>
      <c r="O246" s="48">
        <f t="shared" si="44"/>
        <v>1</v>
      </c>
      <c r="P246" s="877"/>
      <c r="Q246" s="48">
        <f t="shared" si="45"/>
        <v>1</v>
      </c>
      <c r="R246" s="48">
        <f t="shared" si="46"/>
        <v>0</v>
      </c>
      <c r="S246" s="733">
        <f t="shared" si="47"/>
        <v>0</v>
      </c>
    </row>
    <row r="247" spans="1:19">
      <c r="A247" s="878"/>
      <c r="B247" s="125"/>
      <c r="C247" s="48">
        <f t="shared" si="38"/>
        <v>1</v>
      </c>
      <c r="D247" s="877"/>
      <c r="E247" s="48">
        <f t="shared" si="39"/>
        <v>1</v>
      </c>
      <c r="F247" s="877"/>
      <c r="G247" s="48">
        <f t="shared" si="40"/>
        <v>1</v>
      </c>
      <c r="H247" s="877"/>
      <c r="I247" s="48">
        <f t="shared" si="41"/>
        <v>1</v>
      </c>
      <c r="J247" s="877"/>
      <c r="K247" s="48">
        <f t="shared" si="42"/>
        <v>1</v>
      </c>
      <c r="L247" s="877"/>
      <c r="M247" s="48">
        <f t="shared" si="43"/>
        <v>1</v>
      </c>
      <c r="N247" s="877"/>
      <c r="O247" s="48">
        <f t="shared" si="44"/>
        <v>1</v>
      </c>
      <c r="P247" s="877"/>
      <c r="Q247" s="48">
        <f t="shared" si="45"/>
        <v>1</v>
      </c>
      <c r="R247" s="48">
        <f t="shared" si="46"/>
        <v>0</v>
      </c>
      <c r="S247" s="733">
        <f t="shared" si="47"/>
        <v>0</v>
      </c>
    </row>
    <row r="248" spans="1:19">
      <c r="A248" s="878"/>
      <c r="B248" s="125"/>
      <c r="C248" s="48">
        <f t="shared" si="38"/>
        <v>1</v>
      </c>
      <c r="D248" s="877"/>
      <c r="E248" s="48">
        <f t="shared" si="39"/>
        <v>1</v>
      </c>
      <c r="F248" s="877"/>
      <c r="G248" s="48">
        <f t="shared" si="40"/>
        <v>1</v>
      </c>
      <c r="H248" s="877"/>
      <c r="I248" s="48">
        <f t="shared" si="41"/>
        <v>1</v>
      </c>
      <c r="J248" s="877"/>
      <c r="K248" s="48">
        <f t="shared" si="42"/>
        <v>1</v>
      </c>
      <c r="L248" s="877"/>
      <c r="M248" s="48">
        <f t="shared" si="43"/>
        <v>1</v>
      </c>
      <c r="N248" s="877"/>
      <c r="O248" s="48">
        <f t="shared" si="44"/>
        <v>1</v>
      </c>
      <c r="P248" s="877"/>
      <c r="Q248" s="48">
        <f t="shared" si="45"/>
        <v>1</v>
      </c>
      <c r="R248" s="48">
        <f t="shared" si="46"/>
        <v>0</v>
      </c>
      <c r="S248" s="733">
        <f t="shared" si="47"/>
        <v>0</v>
      </c>
    </row>
    <row r="249" spans="1:19">
      <c r="A249" s="878"/>
      <c r="B249" s="125"/>
      <c r="C249" s="48">
        <f t="shared" si="38"/>
        <v>1</v>
      </c>
      <c r="D249" s="877"/>
      <c r="E249" s="48">
        <f t="shared" si="39"/>
        <v>1</v>
      </c>
      <c r="F249" s="877"/>
      <c r="G249" s="48">
        <f t="shared" si="40"/>
        <v>1</v>
      </c>
      <c r="H249" s="877"/>
      <c r="I249" s="48">
        <f t="shared" si="41"/>
        <v>1</v>
      </c>
      <c r="J249" s="877"/>
      <c r="K249" s="48">
        <f t="shared" si="42"/>
        <v>1</v>
      </c>
      <c r="L249" s="877"/>
      <c r="M249" s="48">
        <f t="shared" si="43"/>
        <v>1</v>
      </c>
      <c r="N249" s="877"/>
      <c r="O249" s="48">
        <f t="shared" si="44"/>
        <v>1</v>
      </c>
      <c r="P249" s="877"/>
      <c r="Q249" s="48">
        <f t="shared" si="45"/>
        <v>1</v>
      </c>
      <c r="R249" s="48">
        <f t="shared" si="46"/>
        <v>0</v>
      </c>
      <c r="S249" s="733">
        <f t="shared" si="47"/>
        <v>0</v>
      </c>
    </row>
    <row r="250" spans="1:19">
      <c r="A250" s="878"/>
      <c r="B250" s="125"/>
      <c r="C250" s="48">
        <f t="shared" si="38"/>
        <v>1</v>
      </c>
      <c r="D250" s="877"/>
      <c r="E250" s="48">
        <f t="shared" si="39"/>
        <v>1</v>
      </c>
      <c r="F250" s="877"/>
      <c r="G250" s="48">
        <f t="shared" si="40"/>
        <v>1</v>
      </c>
      <c r="H250" s="877"/>
      <c r="I250" s="48">
        <f t="shared" si="41"/>
        <v>1</v>
      </c>
      <c r="J250" s="877"/>
      <c r="K250" s="48">
        <f t="shared" si="42"/>
        <v>1</v>
      </c>
      <c r="L250" s="877"/>
      <c r="M250" s="48">
        <f t="shared" si="43"/>
        <v>1</v>
      </c>
      <c r="N250" s="877"/>
      <c r="O250" s="48">
        <f t="shared" si="44"/>
        <v>1</v>
      </c>
      <c r="P250" s="877"/>
      <c r="Q250" s="48">
        <f t="shared" si="45"/>
        <v>1</v>
      </c>
      <c r="R250" s="48">
        <f t="shared" si="46"/>
        <v>0</v>
      </c>
      <c r="S250" s="733">
        <f t="shared" si="47"/>
        <v>0</v>
      </c>
    </row>
    <row r="251" spans="1:19">
      <c r="A251" s="878"/>
      <c r="B251" s="125"/>
      <c r="C251" s="48">
        <f t="shared" si="38"/>
        <v>1</v>
      </c>
      <c r="D251" s="877"/>
      <c r="E251" s="48">
        <f t="shared" si="39"/>
        <v>1</v>
      </c>
      <c r="F251" s="877"/>
      <c r="G251" s="48">
        <f t="shared" si="40"/>
        <v>1</v>
      </c>
      <c r="H251" s="877"/>
      <c r="I251" s="48">
        <f t="shared" si="41"/>
        <v>1</v>
      </c>
      <c r="J251" s="877"/>
      <c r="K251" s="48">
        <f t="shared" si="42"/>
        <v>1</v>
      </c>
      <c r="L251" s="877"/>
      <c r="M251" s="48">
        <f t="shared" si="43"/>
        <v>1</v>
      </c>
      <c r="N251" s="877"/>
      <c r="O251" s="48">
        <f t="shared" si="44"/>
        <v>1</v>
      </c>
      <c r="P251" s="877"/>
      <c r="Q251" s="48">
        <f t="shared" si="45"/>
        <v>1</v>
      </c>
      <c r="R251" s="48">
        <f t="shared" si="46"/>
        <v>0</v>
      </c>
      <c r="S251" s="733">
        <f t="shared" si="47"/>
        <v>0</v>
      </c>
    </row>
    <row r="252" spans="1:19">
      <c r="A252" s="878"/>
      <c r="B252" s="125"/>
      <c r="C252" s="48">
        <f t="shared" si="38"/>
        <v>1</v>
      </c>
      <c r="D252" s="877"/>
      <c r="E252" s="48">
        <f t="shared" si="39"/>
        <v>1</v>
      </c>
      <c r="F252" s="877"/>
      <c r="G252" s="48">
        <f t="shared" si="40"/>
        <v>1</v>
      </c>
      <c r="H252" s="877"/>
      <c r="I252" s="48">
        <f t="shared" si="41"/>
        <v>1</v>
      </c>
      <c r="J252" s="877"/>
      <c r="K252" s="48">
        <f t="shared" si="42"/>
        <v>1</v>
      </c>
      <c r="L252" s="877"/>
      <c r="M252" s="48">
        <f t="shared" si="43"/>
        <v>1</v>
      </c>
      <c r="N252" s="877"/>
      <c r="O252" s="48">
        <f t="shared" si="44"/>
        <v>1</v>
      </c>
      <c r="P252" s="877"/>
      <c r="Q252" s="48">
        <f t="shared" si="45"/>
        <v>1</v>
      </c>
      <c r="R252" s="48">
        <f t="shared" si="46"/>
        <v>0</v>
      </c>
      <c r="S252" s="733">
        <f t="shared" si="47"/>
        <v>0</v>
      </c>
    </row>
    <row r="253" spans="1:19">
      <c r="A253" s="878"/>
      <c r="B253" s="125"/>
      <c r="C253" s="48">
        <f t="shared" si="38"/>
        <v>1</v>
      </c>
      <c r="D253" s="877"/>
      <c r="E253" s="48">
        <f t="shared" si="39"/>
        <v>1</v>
      </c>
      <c r="F253" s="877"/>
      <c r="G253" s="48">
        <f t="shared" si="40"/>
        <v>1</v>
      </c>
      <c r="H253" s="877"/>
      <c r="I253" s="48">
        <f t="shared" si="41"/>
        <v>1</v>
      </c>
      <c r="J253" s="877"/>
      <c r="K253" s="48">
        <f t="shared" si="42"/>
        <v>1</v>
      </c>
      <c r="L253" s="877"/>
      <c r="M253" s="48">
        <f t="shared" si="43"/>
        <v>1</v>
      </c>
      <c r="N253" s="877"/>
      <c r="O253" s="48">
        <f t="shared" si="44"/>
        <v>1</v>
      </c>
      <c r="P253" s="877"/>
      <c r="Q253" s="48">
        <f t="shared" si="45"/>
        <v>1</v>
      </c>
      <c r="R253" s="48">
        <f t="shared" si="46"/>
        <v>0</v>
      </c>
      <c r="S253" s="733">
        <f t="shared" si="47"/>
        <v>0</v>
      </c>
    </row>
    <row r="254" spans="1:19">
      <c r="A254" s="878"/>
      <c r="B254" s="125"/>
      <c r="C254" s="48">
        <f t="shared" si="38"/>
        <v>1</v>
      </c>
      <c r="D254" s="877"/>
      <c r="E254" s="48">
        <f t="shared" si="39"/>
        <v>1</v>
      </c>
      <c r="F254" s="877"/>
      <c r="G254" s="48">
        <f t="shared" si="40"/>
        <v>1</v>
      </c>
      <c r="H254" s="877"/>
      <c r="I254" s="48">
        <f t="shared" si="41"/>
        <v>1</v>
      </c>
      <c r="J254" s="877"/>
      <c r="K254" s="48">
        <f t="shared" si="42"/>
        <v>1</v>
      </c>
      <c r="L254" s="877"/>
      <c r="M254" s="48">
        <f t="shared" si="43"/>
        <v>1</v>
      </c>
      <c r="N254" s="877"/>
      <c r="O254" s="48">
        <f t="shared" si="44"/>
        <v>1</v>
      </c>
      <c r="P254" s="877"/>
      <c r="Q254" s="48">
        <f t="shared" si="45"/>
        <v>1</v>
      </c>
      <c r="R254" s="48">
        <f t="shared" si="46"/>
        <v>0</v>
      </c>
      <c r="S254" s="733">
        <f t="shared" si="47"/>
        <v>0</v>
      </c>
    </row>
    <row r="255" spans="1:19">
      <c r="A255" s="878"/>
      <c r="B255" s="125"/>
      <c r="C255" s="48">
        <f t="shared" si="38"/>
        <v>1</v>
      </c>
      <c r="D255" s="877"/>
      <c r="E255" s="48">
        <f t="shared" si="39"/>
        <v>1</v>
      </c>
      <c r="F255" s="877"/>
      <c r="G255" s="48">
        <f t="shared" si="40"/>
        <v>1</v>
      </c>
      <c r="H255" s="877"/>
      <c r="I255" s="48">
        <f t="shared" si="41"/>
        <v>1</v>
      </c>
      <c r="J255" s="877"/>
      <c r="K255" s="48">
        <f t="shared" si="42"/>
        <v>1</v>
      </c>
      <c r="L255" s="877"/>
      <c r="M255" s="48">
        <f t="shared" si="43"/>
        <v>1</v>
      </c>
      <c r="N255" s="877"/>
      <c r="O255" s="48">
        <f t="shared" si="44"/>
        <v>1</v>
      </c>
      <c r="P255" s="877"/>
      <c r="Q255" s="48">
        <f t="shared" si="45"/>
        <v>1</v>
      </c>
      <c r="R255" s="48">
        <f t="shared" si="46"/>
        <v>0</v>
      </c>
      <c r="S255" s="733">
        <f t="shared" si="47"/>
        <v>0</v>
      </c>
    </row>
    <row r="256" spans="1:19">
      <c r="A256" s="878"/>
      <c r="B256" s="125"/>
      <c r="C256" s="48">
        <f t="shared" si="38"/>
        <v>1</v>
      </c>
      <c r="D256" s="877"/>
      <c r="E256" s="48">
        <f t="shared" si="39"/>
        <v>1</v>
      </c>
      <c r="F256" s="877"/>
      <c r="G256" s="48">
        <f t="shared" si="40"/>
        <v>1</v>
      </c>
      <c r="H256" s="877"/>
      <c r="I256" s="48">
        <f t="shared" si="41"/>
        <v>1</v>
      </c>
      <c r="J256" s="877"/>
      <c r="K256" s="48">
        <f t="shared" si="42"/>
        <v>1</v>
      </c>
      <c r="L256" s="877"/>
      <c r="M256" s="48">
        <f t="shared" si="43"/>
        <v>1</v>
      </c>
      <c r="N256" s="877"/>
      <c r="O256" s="48">
        <f t="shared" si="44"/>
        <v>1</v>
      </c>
      <c r="P256" s="877"/>
      <c r="Q256" s="48">
        <f t="shared" si="45"/>
        <v>1</v>
      </c>
      <c r="R256" s="48">
        <f t="shared" si="46"/>
        <v>0</v>
      </c>
      <c r="S256" s="733">
        <f t="shared" si="47"/>
        <v>0</v>
      </c>
    </row>
    <row r="257" spans="1:19">
      <c r="A257" s="878"/>
      <c r="B257" s="125"/>
      <c r="C257" s="48">
        <f t="shared" si="38"/>
        <v>1</v>
      </c>
      <c r="D257" s="877"/>
      <c r="E257" s="48">
        <f t="shared" si="39"/>
        <v>1</v>
      </c>
      <c r="F257" s="877"/>
      <c r="G257" s="48">
        <f t="shared" si="40"/>
        <v>1</v>
      </c>
      <c r="H257" s="877"/>
      <c r="I257" s="48">
        <f t="shared" si="41"/>
        <v>1</v>
      </c>
      <c r="J257" s="877"/>
      <c r="K257" s="48">
        <f t="shared" si="42"/>
        <v>1</v>
      </c>
      <c r="L257" s="877"/>
      <c r="M257" s="48">
        <f t="shared" si="43"/>
        <v>1</v>
      </c>
      <c r="N257" s="877"/>
      <c r="O257" s="48">
        <f t="shared" si="44"/>
        <v>1</v>
      </c>
      <c r="P257" s="877"/>
      <c r="Q257" s="48">
        <f t="shared" si="45"/>
        <v>1</v>
      </c>
      <c r="R257" s="48">
        <f t="shared" si="46"/>
        <v>0</v>
      </c>
      <c r="S257" s="733">
        <f t="shared" si="47"/>
        <v>0</v>
      </c>
    </row>
    <row r="258" spans="1:19">
      <c r="A258" s="878"/>
      <c r="B258" s="125"/>
      <c r="C258" s="48">
        <f t="shared" si="38"/>
        <v>1</v>
      </c>
      <c r="D258" s="877"/>
      <c r="E258" s="48">
        <f t="shared" si="39"/>
        <v>1</v>
      </c>
      <c r="F258" s="877"/>
      <c r="G258" s="48">
        <f t="shared" si="40"/>
        <v>1</v>
      </c>
      <c r="H258" s="877"/>
      <c r="I258" s="48">
        <f t="shared" si="41"/>
        <v>1</v>
      </c>
      <c r="J258" s="877"/>
      <c r="K258" s="48">
        <f t="shared" si="42"/>
        <v>1</v>
      </c>
      <c r="L258" s="877"/>
      <c r="M258" s="48">
        <f t="shared" si="43"/>
        <v>1</v>
      </c>
      <c r="N258" s="877"/>
      <c r="O258" s="48">
        <f t="shared" si="44"/>
        <v>1</v>
      </c>
      <c r="P258" s="877"/>
      <c r="Q258" s="48">
        <f t="shared" si="45"/>
        <v>1</v>
      </c>
      <c r="R258" s="48">
        <f t="shared" si="46"/>
        <v>0</v>
      </c>
      <c r="S258" s="733">
        <f t="shared" si="47"/>
        <v>0</v>
      </c>
    </row>
    <row r="259" spans="1:19">
      <c r="A259" s="878"/>
      <c r="B259" s="125"/>
      <c r="C259" s="48">
        <f t="shared" si="38"/>
        <v>1</v>
      </c>
      <c r="D259" s="877"/>
      <c r="E259" s="48">
        <f t="shared" si="39"/>
        <v>1</v>
      </c>
      <c r="F259" s="877"/>
      <c r="G259" s="48">
        <f t="shared" si="40"/>
        <v>1</v>
      </c>
      <c r="H259" s="877"/>
      <c r="I259" s="48">
        <f t="shared" si="41"/>
        <v>1</v>
      </c>
      <c r="J259" s="877"/>
      <c r="K259" s="48">
        <f t="shared" si="42"/>
        <v>1</v>
      </c>
      <c r="L259" s="877"/>
      <c r="M259" s="48">
        <f t="shared" si="43"/>
        <v>1</v>
      </c>
      <c r="N259" s="877"/>
      <c r="O259" s="48">
        <f t="shared" si="44"/>
        <v>1</v>
      </c>
      <c r="P259" s="877"/>
      <c r="Q259" s="48">
        <f t="shared" si="45"/>
        <v>1</v>
      </c>
      <c r="R259" s="48">
        <f t="shared" si="46"/>
        <v>0</v>
      </c>
      <c r="S259" s="733">
        <f t="shared" si="47"/>
        <v>0</v>
      </c>
    </row>
    <row r="260" spans="1:19">
      <c r="A260" s="878"/>
      <c r="B260" s="125"/>
      <c r="C260" s="48">
        <f t="shared" si="38"/>
        <v>1</v>
      </c>
      <c r="D260" s="877"/>
      <c r="E260" s="48">
        <f t="shared" si="39"/>
        <v>1</v>
      </c>
      <c r="F260" s="877"/>
      <c r="G260" s="48">
        <f t="shared" si="40"/>
        <v>1</v>
      </c>
      <c r="H260" s="877"/>
      <c r="I260" s="48">
        <f t="shared" si="41"/>
        <v>1</v>
      </c>
      <c r="J260" s="877"/>
      <c r="K260" s="48">
        <f t="shared" si="42"/>
        <v>1</v>
      </c>
      <c r="L260" s="877"/>
      <c r="M260" s="48">
        <f t="shared" si="43"/>
        <v>1</v>
      </c>
      <c r="N260" s="877"/>
      <c r="O260" s="48">
        <f t="shared" si="44"/>
        <v>1</v>
      </c>
      <c r="P260" s="877"/>
      <c r="Q260" s="48">
        <f t="shared" si="45"/>
        <v>1</v>
      </c>
      <c r="R260" s="48">
        <f t="shared" si="46"/>
        <v>0</v>
      </c>
      <c r="S260" s="733">
        <f t="shared" si="47"/>
        <v>0</v>
      </c>
    </row>
    <row r="261" spans="1:19">
      <c r="A261" s="878"/>
      <c r="B261" s="125"/>
      <c r="C261" s="48">
        <f t="shared" si="38"/>
        <v>1</v>
      </c>
      <c r="D261" s="877"/>
      <c r="E261" s="48">
        <f t="shared" si="39"/>
        <v>1</v>
      </c>
      <c r="F261" s="877"/>
      <c r="G261" s="48">
        <f t="shared" si="40"/>
        <v>1</v>
      </c>
      <c r="H261" s="877"/>
      <c r="I261" s="48">
        <f t="shared" si="41"/>
        <v>1</v>
      </c>
      <c r="J261" s="877"/>
      <c r="K261" s="48">
        <f t="shared" si="42"/>
        <v>1</v>
      </c>
      <c r="L261" s="877"/>
      <c r="M261" s="48">
        <f t="shared" si="43"/>
        <v>1</v>
      </c>
      <c r="N261" s="877"/>
      <c r="O261" s="48">
        <f t="shared" si="44"/>
        <v>1</v>
      </c>
      <c r="P261" s="877"/>
      <c r="Q261" s="48">
        <f t="shared" si="45"/>
        <v>1</v>
      </c>
      <c r="R261" s="48">
        <f t="shared" si="46"/>
        <v>0</v>
      </c>
      <c r="S261" s="733">
        <f t="shared" si="47"/>
        <v>0</v>
      </c>
    </row>
    <row r="262" spans="1:19">
      <c r="A262" s="878"/>
      <c r="B262" s="125"/>
      <c r="C262" s="48">
        <f t="shared" si="38"/>
        <v>1</v>
      </c>
      <c r="D262" s="877"/>
      <c r="E262" s="48">
        <f t="shared" si="39"/>
        <v>1</v>
      </c>
      <c r="F262" s="877"/>
      <c r="G262" s="48">
        <f t="shared" si="40"/>
        <v>1</v>
      </c>
      <c r="H262" s="877"/>
      <c r="I262" s="48">
        <f t="shared" si="41"/>
        <v>1</v>
      </c>
      <c r="J262" s="877"/>
      <c r="K262" s="48">
        <f t="shared" si="42"/>
        <v>1</v>
      </c>
      <c r="L262" s="877"/>
      <c r="M262" s="48">
        <f t="shared" si="43"/>
        <v>1</v>
      </c>
      <c r="N262" s="877"/>
      <c r="O262" s="48">
        <f t="shared" si="44"/>
        <v>1</v>
      </c>
      <c r="P262" s="877"/>
      <c r="Q262" s="48">
        <f t="shared" si="45"/>
        <v>1</v>
      </c>
      <c r="R262" s="48">
        <f t="shared" si="46"/>
        <v>0</v>
      </c>
      <c r="S262" s="733">
        <f t="shared" si="47"/>
        <v>0</v>
      </c>
    </row>
    <row r="263" spans="1:19">
      <c r="A263" s="878"/>
      <c r="B263" s="125"/>
      <c r="C263" s="48">
        <f t="shared" si="38"/>
        <v>1</v>
      </c>
      <c r="D263" s="877"/>
      <c r="E263" s="48">
        <f t="shared" si="39"/>
        <v>1</v>
      </c>
      <c r="F263" s="877"/>
      <c r="G263" s="48">
        <f t="shared" si="40"/>
        <v>1</v>
      </c>
      <c r="H263" s="877"/>
      <c r="I263" s="48">
        <f t="shared" si="41"/>
        <v>1</v>
      </c>
      <c r="J263" s="877"/>
      <c r="K263" s="48">
        <f t="shared" si="42"/>
        <v>1</v>
      </c>
      <c r="L263" s="877"/>
      <c r="M263" s="48">
        <f t="shared" si="43"/>
        <v>1</v>
      </c>
      <c r="N263" s="877"/>
      <c r="O263" s="48">
        <f t="shared" si="44"/>
        <v>1</v>
      </c>
      <c r="P263" s="877"/>
      <c r="Q263" s="48">
        <f t="shared" si="45"/>
        <v>1</v>
      </c>
      <c r="R263" s="48">
        <f t="shared" si="46"/>
        <v>0</v>
      </c>
      <c r="S263" s="733">
        <f t="shared" si="47"/>
        <v>0</v>
      </c>
    </row>
    <row r="264" spans="1:19">
      <c r="A264" s="878"/>
      <c r="B264" s="125"/>
      <c r="C264" s="48">
        <f t="shared" si="38"/>
        <v>1</v>
      </c>
      <c r="D264" s="877"/>
      <c r="E264" s="48">
        <f t="shared" si="39"/>
        <v>1</v>
      </c>
      <c r="F264" s="877"/>
      <c r="G264" s="48">
        <f t="shared" si="40"/>
        <v>1</v>
      </c>
      <c r="H264" s="877"/>
      <c r="I264" s="48">
        <f t="shared" si="41"/>
        <v>1</v>
      </c>
      <c r="J264" s="877"/>
      <c r="K264" s="48">
        <f t="shared" si="42"/>
        <v>1</v>
      </c>
      <c r="L264" s="877"/>
      <c r="M264" s="48">
        <f t="shared" si="43"/>
        <v>1</v>
      </c>
      <c r="N264" s="877"/>
      <c r="O264" s="48">
        <f t="shared" si="44"/>
        <v>1</v>
      </c>
      <c r="P264" s="877"/>
      <c r="Q264" s="48">
        <f t="shared" si="45"/>
        <v>1</v>
      </c>
      <c r="R264" s="48">
        <f t="shared" si="46"/>
        <v>0</v>
      </c>
      <c r="S264" s="733">
        <f t="shared" si="47"/>
        <v>0</v>
      </c>
    </row>
    <row r="265" spans="1:19">
      <c r="A265" s="878"/>
      <c r="B265" s="125"/>
      <c r="C265" s="48">
        <f t="shared" si="38"/>
        <v>1</v>
      </c>
      <c r="D265" s="877"/>
      <c r="E265" s="48">
        <f t="shared" si="39"/>
        <v>1</v>
      </c>
      <c r="F265" s="877"/>
      <c r="G265" s="48">
        <f t="shared" si="40"/>
        <v>1</v>
      </c>
      <c r="H265" s="877"/>
      <c r="I265" s="48">
        <f t="shared" si="41"/>
        <v>1</v>
      </c>
      <c r="J265" s="877"/>
      <c r="K265" s="48">
        <f t="shared" si="42"/>
        <v>1</v>
      </c>
      <c r="L265" s="877"/>
      <c r="M265" s="48">
        <f t="shared" si="43"/>
        <v>1</v>
      </c>
      <c r="N265" s="877"/>
      <c r="O265" s="48">
        <f t="shared" si="44"/>
        <v>1</v>
      </c>
      <c r="P265" s="877"/>
      <c r="Q265" s="48">
        <f t="shared" si="45"/>
        <v>1</v>
      </c>
      <c r="R265" s="48">
        <f t="shared" si="46"/>
        <v>0</v>
      </c>
      <c r="S265" s="733">
        <f t="shared" si="47"/>
        <v>0</v>
      </c>
    </row>
    <row r="266" spans="1:19">
      <c r="A266" s="878"/>
      <c r="B266" s="125"/>
      <c r="C266" s="48">
        <f t="shared" si="38"/>
        <v>1</v>
      </c>
      <c r="D266" s="877"/>
      <c r="E266" s="48">
        <f t="shared" si="39"/>
        <v>1</v>
      </c>
      <c r="F266" s="877"/>
      <c r="G266" s="48">
        <f t="shared" si="40"/>
        <v>1</v>
      </c>
      <c r="H266" s="877"/>
      <c r="I266" s="48">
        <f t="shared" si="41"/>
        <v>1</v>
      </c>
      <c r="J266" s="877"/>
      <c r="K266" s="48">
        <f t="shared" si="42"/>
        <v>1</v>
      </c>
      <c r="L266" s="877"/>
      <c r="M266" s="48">
        <f t="shared" si="43"/>
        <v>1</v>
      </c>
      <c r="N266" s="877"/>
      <c r="O266" s="48">
        <f t="shared" si="44"/>
        <v>1</v>
      </c>
      <c r="P266" s="877"/>
      <c r="Q266" s="48">
        <f t="shared" si="45"/>
        <v>1</v>
      </c>
      <c r="R266" s="48">
        <f t="shared" si="46"/>
        <v>0</v>
      </c>
      <c r="S266" s="733">
        <f t="shared" si="47"/>
        <v>0</v>
      </c>
    </row>
    <row r="267" spans="1:19">
      <c r="A267" s="878"/>
      <c r="B267" s="125"/>
      <c r="C267" s="48">
        <f t="shared" si="38"/>
        <v>1</v>
      </c>
      <c r="D267" s="877"/>
      <c r="E267" s="48">
        <f t="shared" si="39"/>
        <v>1</v>
      </c>
      <c r="F267" s="877"/>
      <c r="G267" s="48">
        <f t="shared" si="40"/>
        <v>1</v>
      </c>
      <c r="H267" s="877"/>
      <c r="I267" s="48">
        <f t="shared" si="41"/>
        <v>1</v>
      </c>
      <c r="J267" s="877"/>
      <c r="K267" s="48">
        <f t="shared" si="42"/>
        <v>1</v>
      </c>
      <c r="L267" s="877"/>
      <c r="M267" s="48">
        <f t="shared" si="43"/>
        <v>1</v>
      </c>
      <c r="N267" s="877"/>
      <c r="O267" s="48">
        <f t="shared" si="44"/>
        <v>1</v>
      </c>
      <c r="P267" s="877"/>
      <c r="Q267" s="48">
        <f t="shared" si="45"/>
        <v>1</v>
      </c>
      <c r="R267" s="48">
        <f t="shared" si="46"/>
        <v>0</v>
      </c>
      <c r="S267" s="733">
        <f t="shared" si="47"/>
        <v>0</v>
      </c>
    </row>
    <row r="268" spans="1:19">
      <c r="A268" s="878"/>
      <c r="B268" s="125"/>
      <c r="C268" s="48">
        <f t="shared" si="38"/>
        <v>1</v>
      </c>
      <c r="D268" s="877"/>
      <c r="E268" s="48">
        <f t="shared" si="39"/>
        <v>1</v>
      </c>
      <c r="F268" s="877"/>
      <c r="G268" s="48">
        <f t="shared" si="40"/>
        <v>1</v>
      </c>
      <c r="H268" s="877"/>
      <c r="I268" s="48">
        <f t="shared" si="41"/>
        <v>1</v>
      </c>
      <c r="J268" s="877"/>
      <c r="K268" s="48">
        <f t="shared" si="42"/>
        <v>1</v>
      </c>
      <c r="L268" s="877"/>
      <c r="M268" s="48">
        <f t="shared" si="43"/>
        <v>1</v>
      </c>
      <c r="N268" s="877"/>
      <c r="O268" s="48">
        <f t="shared" si="44"/>
        <v>1</v>
      </c>
      <c r="P268" s="877"/>
      <c r="Q268" s="48">
        <f t="shared" si="45"/>
        <v>1</v>
      </c>
      <c r="R268" s="48">
        <f t="shared" si="46"/>
        <v>0</v>
      </c>
      <c r="S268" s="733">
        <f t="shared" si="47"/>
        <v>0</v>
      </c>
    </row>
    <row r="269" spans="1:19">
      <c r="A269" s="878"/>
      <c r="B269" s="125"/>
      <c r="C269" s="48">
        <f t="shared" si="38"/>
        <v>1</v>
      </c>
      <c r="D269" s="877"/>
      <c r="E269" s="48">
        <f t="shared" si="39"/>
        <v>1</v>
      </c>
      <c r="F269" s="877"/>
      <c r="G269" s="48">
        <f t="shared" si="40"/>
        <v>1</v>
      </c>
      <c r="H269" s="877"/>
      <c r="I269" s="48">
        <f t="shared" si="41"/>
        <v>1</v>
      </c>
      <c r="J269" s="877"/>
      <c r="K269" s="48">
        <f t="shared" si="42"/>
        <v>1</v>
      </c>
      <c r="L269" s="877"/>
      <c r="M269" s="48">
        <f t="shared" si="43"/>
        <v>1</v>
      </c>
      <c r="N269" s="877"/>
      <c r="O269" s="48">
        <f t="shared" si="44"/>
        <v>1</v>
      </c>
      <c r="P269" s="877"/>
      <c r="Q269" s="48">
        <f t="shared" si="45"/>
        <v>1</v>
      </c>
      <c r="R269" s="48">
        <f t="shared" si="46"/>
        <v>0</v>
      </c>
      <c r="S269" s="733">
        <f t="shared" si="47"/>
        <v>0</v>
      </c>
    </row>
    <row r="270" spans="1:19">
      <c r="A270" s="878"/>
      <c r="B270" s="125"/>
      <c r="C270" s="48">
        <f t="shared" si="38"/>
        <v>1</v>
      </c>
      <c r="D270" s="877"/>
      <c r="E270" s="48">
        <f t="shared" si="39"/>
        <v>1</v>
      </c>
      <c r="F270" s="877"/>
      <c r="G270" s="48">
        <f t="shared" si="40"/>
        <v>1</v>
      </c>
      <c r="H270" s="877"/>
      <c r="I270" s="48">
        <f t="shared" si="41"/>
        <v>1</v>
      </c>
      <c r="J270" s="877"/>
      <c r="K270" s="48">
        <f t="shared" si="42"/>
        <v>1</v>
      </c>
      <c r="L270" s="877"/>
      <c r="M270" s="48">
        <f t="shared" si="43"/>
        <v>1</v>
      </c>
      <c r="N270" s="877"/>
      <c r="O270" s="48">
        <f t="shared" si="44"/>
        <v>1</v>
      </c>
      <c r="P270" s="877"/>
      <c r="Q270" s="48">
        <f t="shared" si="45"/>
        <v>1</v>
      </c>
      <c r="R270" s="48">
        <f t="shared" si="46"/>
        <v>0</v>
      </c>
      <c r="S270" s="733">
        <f t="shared" si="47"/>
        <v>0</v>
      </c>
    </row>
    <row r="271" spans="1:19">
      <c r="A271" s="878"/>
      <c r="B271" s="125"/>
      <c r="C271" s="48">
        <f t="shared" si="38"/>
        <v>1</v>
      </c>
      <c r="D271" s="877"/>
      <c r="E271" s="48">
        <f t="shared" si="39"/>
        <v>1</v>
      </c>
      <c r="F271" s="877"/>
      <c r="G271" s="48">
        <f t="shared" si="40"/>
        <v>1</v>
      </c>
      <c r="H271" s="877"/>
      <c r="I271" s="48">
        <f t="shared" si="41"/>
        <v>1</v>
      </c>
      <c r="J271" s="877"/>
      <c r="K271" s="48">
        <f t="shared" si="42"/>
        <v>1</v>
      </c>
      <c r="L271" s="877"/>
      <c r="M271" s="48">
        <f t="shared" si="43"/>
        <v>1</v>
      </c>
      <c r="N271" s="877"/>
      <c r="O271" s="48">
        <f t="shared" si="44"/>
        <v>1</v>
      </c>
      <c r="P271" s="877"/>
      <c r="Q271" s="48">
        <f t="shared" si="45"/>
        <v>1</v>
      </c>
      <c r="R271" s="48">
        <f t="shared" si="46"/>
        <v>0</v>
      </c>
      <c r="S271" s="733">
        <f t="shared" si="47"/>
        <v>0</v>
      </c>
    </row>
    <row r="272" spans="1:19">
      <c r="A272" s="878"/>
      <c r="B272" s="125"/>
      <c r="C272" s="48">
        <f t="shared" si="38"/>
        <v>1</v>
      </c>
      <c r="D272" s="877"/>
      <c r="E272" s="48">
        <f t="shared" si="39"/>
        <v>1</v>
      </c>
      <c r="F272" s="877"/>
      <c r="G272" s="48">
        <f t="shared" si="40"/>
        <v>1</v>
      </c>
      <c r="H272" s="877"/>
      <c r="I272" s="48">
        <f t="shared" si="41"/>
        <v>1</v>
      </c>
      <c r="J272" s="877"/>
      <c r="K272" s="48">
        <f t="shared" si="42"/>
        <v>1</v>
      </c>
      <c r="L272" s="877"/>
      <c r="M272" s="48">
        <f t="shared" si="43"/>
        <v>1</v>
      </c>
      <c r="N272" s="877"/>
      <c r="O272" s="48">
        <f t="shared" si="44"/>
        <v>1</v>
      </c>
      <c r="P272" s="877"/>
      <c r="Q272" s="48">
        <f t="shared" si="45"/>
        <v>1</v>
      </c>
      <c r="R272" s="48">
        <f t="shared" si="46"/>
        <v>0</v>
      </c>
      <c r="S272" s="733">
        <f t="shared" si="47"/>
        <v>0</v>
      </c>
    </row>
    <row r="273" spans="1:19">
      <c r="A273" s="878"/>
      <c r="B273" s="125"/>
      <c r="C273" s="48">
        <f t="shared" si="38"/>
        <v>1</v>
      </c>
      <c r="D273" s="877"/>
      <c r="E273" s="48">
        <f t="shared" si="39"/>
        <v>1</v>
      </c>
      <c r="F273" s="877"/>
      <c r="G273" s="48">
        <f t="shared" si="40"/>
        <v>1</v>
      </c>
      <c r="H273" s="877"/>
      <c r="I273" s="48">
        <f t="shared" si="41"/>
        <v>1</v>
      </c>
      <c r="J273" s="877"/>
      <c r="K273" s="48">
        <f t="shared" si="42"/>
        <v>1</v>
      </c>
      <c r="L273" s="877"/>
      <c r="M273" s="48">
        <f t="shared" si="43"/>
        <v>1</v>
      </c>
      <c r="N273" s="877"/>
      <c r="O273" s="48">
        <f t="shared" si="44"/>
        <v>1</v>
      </c>
      <c r="P273" s="877"/>
      <c r="Q273" s="48">
        <f t="shared" si="45"/>
        <v>1</v>
      </c>
      <c r="R273" s="48">
        <f t="shared" si="46"/>
        <v>0</v>
      </c>
      <c r="S273" s="733">
        <f t="shared" si="47"/>
        <v>0</v>
      </c>
    </row>
    <row r="274" spans="1:19">
      <c r="A274" s="878"/>
      <c r="B274" s="125"/>
      <c r="C274" s="48">
        <f t="shared" si="38"/>
        <v>1</v>
      </c>
      <c r="D274" s="877"/>
      <c r="E274" s="48">
        <f t="shared" si="39"/>
        <v>1</v>
      </c>
      <c r="F274" s="877"/>
      <c r="G274" s="48">
        <f t="shared" si="40"/>
        <v>1</v>
      </c>
      <c r="H274" s="877"/>
      <c r="I274" s="48">
        <f t="shared" si="41"/>
        <v>1</v>
      </c>
      <c r="J274" s="877"/>
      <c r="K274" s="48">
        <f t="shared" si="42"/>
        <v>1</v>
      </c>
      <c r="L274" s="877"/>
      <c r="M274" s="48">
        <f t="shared" si="43"/>
        <v>1</v>
      </c>
      <c r="N274" s="877"/>
      <c r="O274" s="48">
        <f t="shared" si="44"/>
        <v>1</v>
      </c>
      <c r="P274" s="877"/>
      <c r="Q274" s="48">
        <f t="shared" si="45"/>
        <v>1</v>
      </c>
      <c r="R274" s="48">
        <f t="shared" si="46"/>
        <v>0</v>
      </c>
      <c r="S274" s="733">
        <f t="shared" si="47"/>
        <v>0</v>
      </c>
    </row>
    <row r="275" spans="1:19">
      <c r="A275" s="878"/>
      <c r="B275" s="125"/>
      <c r="C275" s="48">
        <f t="shared" si="38"/>
        <v>1</v>
      </c>
      <c r="D275" s="877"/>
      <c r="E275" s="48">
        <f t="shared" si="39"/>
        <v>1</v>
      </c>
      <c r="F275" s="877"/>
      <c r="G275" s="48">
        <f t="shared" si="40"/>
        <v>1</v>
      </c>
      <c r="H275" s="877"/>
      <c r="I275" s="48">
        <f t="shared" si="41"/>
        <v>1</v>
      </c>
      <c r="J275" s="877"/>
      <c r="K275" s="48">
        <f t="shared" si="42"/>
        <v>1</v>
      </c>
      <c r="L275" s="877"/>
      <c r="M275" s="48">
        <f t="shared" si="43"/>
        <v>1</v>
      </c>
      <c r="N275" s="877"/>
      <c r="O275" s="48">
        <f t="shared" si="44"/>
        <v>1</v>
      </c>
      <c r="P275" s="877"/>
      <c r="Q275" s="48">
        <f t="shared" si="45"/>
        <v>1</v>
      </c>
      <c r="R275" s="48">
        <f t="shared" si="46"/>
        <v>0</v>
      </c>
      <c r="S275" s="733">
        <f t="shared" si="47"/>
        <v>0</v>
      </c>
    </row>
    <row r="276" spans="1:19">
      <c r="A276" s="878"/>
      <c r="B276" s="125"/>
      <c r="C276" s="48">
        <f t="shared" si="38"/>
        <v>1</v>
      </c>
      <c r="D276" s="877"/>
      <c r="E276" s="48">
        <f t="shared" si="39"/>
        <v>1</v>
      </c>
      <c r="F276" s="877"/>
      <c r="G276" s="48">
        <f t="shared" si="40"/>
        <v>1</v>
      </c>
      <c r="H276" s="877"/>
      <c r="I276" s="48">
        <f t="shared" si="41"/>
        <v>1</v>
      </c>
      <c r="J276" s="877"/>
      <c r="K276" s="48">
        <f t="shared" si="42"/>
        <v>1</v>
      </c>
      <c r="L276" s="877"/>
      <c r="M276" s="48">
        <f t="shared" si="43"/>
        <v>1</v>
      </c>
      <c r="N276" s="877"/>
      <c r="O276" s="48">
        <f t="shared" si="44"/>
        <v>1</v>
      </c>
      <c r="P276" s="877"/>
      <c r="Q276" s="48">
        <f t="shared" si="45"/>
        <v>1</v>
      </c>
      <c r="R276" s="48">
        <f t="shared" si="46"/>
        <v>0</v>
      </c>
      <c r="S276" s="733">
        <f t="shared" si="47"/>
        <v>0</v>
      </c>
    </row>
    <row r="277" spans="1:19">
      <c r="A277" s="878"/>
      <c r="B277" s="125"/>
      <c r="C277" s="48">
        <f t="shared" si="38"/>
        <v>1</v>
      </c>
      <c r="D277" s="877"/>
      <c r="E277" s="48">
        <f t="shared" si="39"/>
        <v>1</v>
      </c>
      <c r="F277" s="877"/>
      <c r="G277" s="48">
        <f t="shared" si="40"/>
        <v>1</v>
      </c>
      <c r="H277" s="877"/>
      <c r="I277" s="48">
        <f t="shared" si="41"/>
        <v>1</v>
      </c>
      <c r="J277" s="877"/>
      <c r="K277" s="48">
        <f t="shared" si="42"/>
        <v>1</v>
      </c>
      <c r="L277" s="877"/>
      <c r="M277" s="48">
        <f t="shared" si="43"/>
        <v>1</v>
      </c>
      <c r="N277" s="877"/>
      <c r="O277" s="48">
        <f t="shared" si="44"/>
        <v>1</v>
      </c>
      <c r="P277" s="877"/>
      <c r="Q277" s="48">
        <f t="shared" si="45"/>
        <v>1</v>
      </c>
      <c r="R277" s="48">
        <f t="shared" si="46"/>
        <v>0</v>
      </c>
      <c r="S277" s="733">
        <f t="shared" si="47"/>
        <v>0</v>
      </c>
    </row>
    <row r="278" spans="1:19">
      <c r="A278" s="878"/>
      <c r="B278" s="125"/>
      <c r="C278" s="48">
        <f t="shared" si="38"/>
        <v>1</v>
      </c>
      <c r="D278" s="877"/>
      <c r="E278" s="48">
        <f t="shared" si="39"/>
        <v>1</v>
      </c>
      <c r="F278" s="877"/>
      <c r="G278" s="48">
        <f t="shared" si="40"/>
        <v>1</v>
      </c>
      <c r="H278" s="877"/>
      <c r="I278" s="48">
        <f t="shared" si="41"/>
        <v>1</v>
      </c>
      <c r="J278" s="877"/>
      <c r="K278" s="48">
        <f t="shared" si="42"/>
        <v>1</v>
      </c>
      <c r="L278" s="877"/>
      <c r="M278" s="48">
        <f t="shared" si="43"/>
        <v>1</v>
      </c>
      <c r="N278" s="877"/>
      <c r="O278" s="48">
        <f t="shared" si="44"/>
        <v>1</v>
      </c>
      <c r="P278" s="877"/>
      <c r="Q278" s="48">
        <f t="shared" si="45"/>
        <v>1</v>
      </c>
      <c r="R278" s="48">
        <f t="shared" si="46"/>
        <v>0</v>
      </c>
      <c r="S278" s="733">
        <f t="shared" si="47"/>
        <v>0</v>
      </c>
    </row>
    <row r="279" spans="1:19">
      <c r="A279" s="878"/>
      <c r="B279" s="125"/>
      <c r="C279" s="48">
        <f t="shared" si="38"/>
        <v>1</v>
      </c>
      <c r="D279" s="877"/>
      <c r="E279" s="48">
        <f t="shared" si="39"/>
        <v>1</v>
      </c>
      <c r="F279" s="877"/>
      <c r="G279" s="48">
        <f t="shared" si="40"/>
        <v>1</v>
      </c>
      <c r="H279" s="877"/>
      <c r="I279" s="48">
        <f t="shared" si="41"/>
        <v>1</v>
      </c>
      <c r="J279" s="877"/>
      <c r="K279" s="48">
        <f t="shared" si="42"/>
        <v>1</v>
      </c>
      <c r="L279" s="877"/>
      <c r="M279" s="48">
        <f t="shared" si="43"/>
        <v>1</v>
      </c>
      <c r="N279" s="877"/>
      <c r="O279" s="48">
        <f t="shared" si="44"/>
        <v>1</v>
      </c>
      <c r="P279" s="877"/>
      <c r="Q279" s="48">
        <f t="shared" si="45"/>
        <v>1</v>
      </c>
      <c r="R279" s="48">
        <f t="shared" si="46"/>
        <v>0</v>
      </c>
      <c r="S279" s="733">
        <f t="shared" si="47"/>
        <v>0</v>
      </c>
    </row>
    <row r="280" spans="1:19">
      <c r="A280" s="878"/>
      <c r="B280" s="125"/>
      <c r="C280" s="48">
        <f t="shared" si="38"/>
        <v>1</v>
      </c>
      <c r="D280" s="877"/>
      <c r="E280" s="48">
        <f t="shared" si="39"/>
        <v>1</v>
      </c>
      <c r="F280" s="877"/>
      <c r="G280" s="48">
        <f t="shared" si="40"/>
        <v>1</v>
      </c>
      <c r="H280" s="877"/>
      <c r="I280" s="48">
        <f t="shared" si="41"/>
        <v>1</v>
      </c>
      <c r="J280" s="877"/>
      <c r="K280" s="48">
        <f t="shared" si="42"/>
        <v>1</v>
      </c>
      <c r="L280" s="877"/>
      <c r="M280" s="48">
        <f t="shared" si="43"/>
        <v>1</v>
      </c>
      <c r="N280" s="877"/>
      <c r="O280" s="48">
        <f t="shared" si="44"/>
        <v>1</v>
      </c>
      <c r="P280" s="877"/>
      <c r="Q280" s="48">
        <f t="shared" si="45"/>
        <v>1</v>
      </c>
      <c r="R280" s="48">
        <f t="shared" si="46"/>
        <v>0</v>
      </c>
      <c r="S280" s="733">
        <f t="shared" si="47"/>
        <v>0</v>
      </c>
    </row>
    <row r="281" spans="1:19">
      <c r="A281" s="878"/>
      <c r="B281" s="125"/>
      <c r="C281" s="48">
        <f t="shared" si="38"/>
        <v>1</v>
      </c>
      <c r="D281" s="877"/>
      <c r="E281" s="48">
        <f t="shared" si="39"/>
        <v>1</v>
      </c>
      <c r="F281" s="877"/>
      <c r="G281" s="48">
        <f t="shared" si="40"/>
        <v>1</v>
      </c>
      <c r="H281" s="877"/>
      <c r="I281" s="48">
        <f t="shared" si="41"/>
        <v>1</v>
      </c>
      <c r="J281" s="877"/>
      <c r="K281" s="48">
        <f t="shared" si="42"/>
        <v>1</v>
      </c>
      <c r="L281" s="877"/>
      <c r="M281" s="48">
        <f t="shared" si="43"/>
        <v>1</v>
      </c>
      <c r="N281" s="877"/>
      <c r="O281" s="48">
        <f t="shared" si="44"/>
        <v>1</v>
      </c>
      <c r="P281" s="877"/>
      <c r="Q281" s="48">
        <f t="shared" si="45"/>
        <v>1</v>
      </c>
      <c r="R281" s="48">
        <f t="shared" si="46"/>
        <v>0</v>
      </c>
      <c r="S281" s="733">
        <f t="shared" si="47"/>
        <v>0</v>
      </c>
    </row>
    <row r="282" spans="1:19">
      <c r="A282" s="878"/>
      <c r="B282" s="125"/>
      <c r="C282" s="48">
        <f t="shared" ref="C282:C345" si="48">IF(B282="",1,(LOOKUP(B282,$3:$3,$4:$4)-LOOKUP($B$24,$3:$3,$4:$4)+100)/100)</f>
        <v>1</v>
      </c>
      <c r="D282" s="877"/>
      <c r="E282" s="48">
        <f t="shared" ref="E282:E345" si="49">(SUMIF($5:$5,D282,$6:$6)-SUMIF($5:$5,$D$24,$6:$6)+100)/100</f>
        <v>1</v>
      </c>
      <c r="F282" s="877"/>
      <c r="G282" s="48">
        <f t="shared" ref="G282:G345" si="50">(SUMIF($7:$7,F282,$8:$8)-SUMIF($7:$7,$F$24,$8:$8)+100)/100</f>
        <v>1</v>
      </c>
      <c r="H282" s="877"/>
      <c r="I282" s="48">
        <f t="shared" ref="I282:I345" si="51">(SUMIF($9:$9,H282,$10:$10)-SUMIF($9:$9,$H$24,$10:$10)+100)/100</f>
        <v>1</v>
      </c>
      <c r="J282" s="877"/>
      <c r="K282" s="48">
        <f t="shared" ref="K282:K345" si="52">(SUMIF($11:$11,J282,$12:$12)-SUMIF($11:$11,$J$24,$12:$12)+100)/100</f>
        <v>1</v>
      </c>
      <c r="L282" s="877"/>
      <c r="M282" s="48">
        <f t="shared" ref="M282:M345" si="53">(SUMIF($13:$13,L282,$14:$14)-SUMIF($13:$13,$L$24,$14:$14)+100)/100</f>
        <v>1</v>
      </c>
      <c r="N282" s="877"/>
      <c r="O282" s="48">
        <f t="shared" ref="O282:O345" si="54">(SUMIF($15:$15,N282,$16:$16)-SUMIF($15:$15,$N$24,$16:$16)+100)/100</f>
        <v>1</v>
      </c>
      <c r="P282" s="877"/>
      <c r="Q282" s="48">
        <f t="shared" ref="Q282:Q345" si="55">(SUMIF($17:$17,P282,$18:$18)-SUMIF($17:$17,$P$24,$18:$18)+100)/100</f>
        <v>1</v>
      </c>
      <c r="R282" s="48">
        <f t="shared" ref="R282:R345" si="56">IF(B282="",0,ROUND($R$24*C282*E282*G282*I282*K282*M282*O282*Q282,0))</f>
        <v>0</v>
      </c>
      <c r="S282" s="733">
        <f t="shared" si="47"/>
        <v>0</v>
      </c>
    </row>
    <row r="283" spans="1:19">
      <c r="A283" s="878"/>
      <c r="B283" s="125"/>
      <c r="C283" s="48">
        <f t="shared" si="48"/>
        <v>1</v>
      </c>
      <c r="D283" s="877"/>
      <c r="E283" s="48">
        <f t="shared" si="49"/>
        <v>1</v>
      </c>
      <c r="F283" s="877"/>
      <c r="G283" s="48">
        <f t="shared" si="50"/>
        <v>1</v>
      </c>
      <c r="H283" s="877"/>
      <c r="I283" s="48">
        <f t="shared" si="51"/>
        <v>1</v>
      </c>
      <c r="J283" s="877"/>
      <c r="K283" s="48">
        <f t="shared" si="52"/>
        <v>1</v>
      </c>
      <c r="L283" s="877"/>
      <c r="M283" s="48">
        <f t="shared" si="53"/>
        <v>1</v>
      </c>
      <c r="N283" s="877"/>
      <c r="O283" s="48">
        <f t="shared" si="54"/>
        <v>1</v>
      </c>
      <c r="P283" s="877"/>
      <c r="Q283" s="48">
        <f t="shared" si="55"/>
        <v>1</v>
      </c>
      <c r="R283" s="48">
        <f t="shared" si="56"/>
        <v>0</v>
      </c>
      <c r="S283" s="733">
        <f t="shared" si="47"/>
        <v>0</v>
      </c>
    </row>
    <row r="284" spans="1:19">
      <c r="A284" s="878"/>
      <c r="B284" s="125"/>
      <c r="C284" s="48">
        <f t="shared" si="48"/>
        <v>1</v>
      </c>
      <c r="D284" s="877"/>
      <c r="E284" s="48">
        <f t="shared" si="49"/>
        <v>1</v>
      </c>
      <c r="F284" s="877"/>
      <c r="G284" s="48">
        <f t="shared" si="50"/>
        <v>1</v>
      </c>
      <c r="H284" s="877"/>
      <c r="I284" s="48">
        <f t="shared" si="51"/>
        <v>1</v>
      </c>
      <c r="J284" s="877"/>
      <c r="K284" s="48">
        <f t="shared" si="52"/>
        <v>1</v>
      </c>
      <c r="L284" s="877"/>
      <c r="M284" s="48">
        <f t="shared" si="53"/>
        <v>1</v>
      </c>
      <c r="N284" s="877"/>
      <c r="O284" s="48">
        <f t="shared" si="54"/>
        <v>1</v>
      </c>
      <c r="P284" s="877"/>
      <c r="Q284" s="48">
        <f t="shared" si="55"/>
        <v>1</v>
      </c>
      <c r="R284" s="48">
        <f t="shared" si="56"/>
        <v>0</v>
      </c>
      <c r="S284" s="733">
        <f t="shared" si="47"/>
        <v>0</v>
      </c>
    </row>
    <row r="285" spans="1:19">
      <c r="A285" s="878"/>
      <c r="B285" s="125"/>
      <c r="C285" s="48">
        <f t="shared" si="48"/>
        <v>1</v>
      </c>
      <c r="D285" s="877"/>
      <c r="E285" s="48">
        <f t="shared" si="49"/>
        <v>1</v>
      </c>
      <c r="F285" s="877"/>
      <c r="G285" s="48">
        <f t="shared" si="50"/>
        <v>1</v>
      </c>
      <c r="H285" s="877"/>
      <c r="I285" s="48">
        <f t="shared" si="51"/>
        <v>1</v>
      </c>
      <c r="J285" s="877"/>
      <c r="K285" s="48">
        <f t="shared" si="52"/>
        <v>1</v>
      </c>
      <c r="L285" s="877"/>
      <c r="M285" s="48">
        <f t="shared" si="53"/>
        <v>1</v>
      </c>
      <c r="N285" s="877"/>
      <c r="O285" s="48">
        <f t="shared" si="54"/>
        <v>1</v>
      </c>
      <c r="P285" s="877"/>
      <c r="Q285" s="48">
        <f t="shared" si="55"/>
        <v>1</v>
      </c>
      <c r="R285" s="48">
        <f t="shared" si="56"/>
        <v>0</v>
      </c>
      <c r="S285" s="733">
        <f t="shared" si="47"/>
        <v>0</v>
      </c>
    </row>
    <row r="286" spans="1:19">
      <c r="A286" s="878"/>
      <c r="B286" s="125"/>
      <c r="C286" s="48">
        <f t="shared" si="48"/>
        <v>1</v>
      </c>
      <c r="D286" s="877"/>
      <c r="E286" s="48">
        <f t="shared" si="49"/>
        <v>1</v>
      </c>
      <c r="F286" s="877"/>
      <c r="G286" s="48">
        <f t="shared" si="50"/>
        <v>1</v>
      </c>
      <c r="H286" s="877"/>
      <c r="I286" s="48">
        <f t="shared" si="51"/>
        <v>1</v>
      </c>
      <c r="J286" s="877"/>
      <c r="K286" s="48">
        <f t="shared" si="52"/>
        <v>1</v>
      </c>
      <c r="L286" s="877"/>
      <c r="M286" s="48">
        <f t="shared" si="53"/>
        <v>1</v>
      </c>
      <c r="N286" s="877"/>
      <c r="O286" s="48">
        <f t="shared" si="54"/>
        <v>1</v>
      </c>
      <c r="P286" s="877"/>
      <c r="Q286" s="48">
        <f t="shared" si="55"/>
        <v>1</v>
      </c>
      <c r="R286" s="48">
        <f t="shared" si="56"/>
        <v>0</v>
      </c>
      <c r="S286" s="733">
        <f t="shared" si="47"/>
        <v>0</v>
      </c>
    </row>
    <row r="287" spans="1:19">
      <c r="A287" s="878"/>
      <c r="B287" s="125"/>
      <c r="C287" s="48">
        <f t="shared" si="48"/>
        <v>1</v>
      </c>
      <c r="D287" s="877"/>
      <c r="E287" s="48">
        <f t="shared" si="49"/>
        <v>1</v>
      </c>
      <c r="F287" s="877"/>
      <c r="G287" s="48">
        <f t="shared" si="50"/>
        <v>1</v>
      </c>
      <c r="H287" s="877"/>
      <c r="I287" s="48">
        <f t="shared" si="51"/>
        <v>1</v>
      </c>
      <c r="J287" s="877"/>
      <c r="K287" s="48">
        <f t="shared" si="52"/>
        <v>1</v>
      </c>
      <c r="L287" s="877"/>
      <c r="M287" s="48">
        <f t="shared" si="53"/>
        <v>1</v>
      </c>
      <c r="N287" s="877"/>
      <c r="O287" s="48">
        <f t="shared" si="54"/>
        <v>1</v>
      </c>
      <c r="P287" s="877"/>
      <c r="Q287" s="48">
        <f t="shared" si="55"/>
        <v>1</v>
      </c>
      <c r="R287" s="48">
        <f t="shared" si="56"/>
        <v>0</v>
      </c>
      <c r="S287" s="733">
        <f t="shared" ref="S287:S320" si="57">ROUND(R287*B287/10000,0)</f>
        <v>0</v>
      </c>
    </row>
    <row r="288" spans="1:19">
      <c r="A288" s="878"/>
      <c r="B288" s="125"/>
      <c r="C288" s="48">
        <f t="shared" si="48"/>
        <v>1</v>
      </c>
      <c r="D288" s="877"/>
      <c r="E288" s="48">
        <f t="shared" si="49"/>
        <v>1</v>
      </c>
      <c r="F288" s="877"/>
      <c r="G288" s="48">
        <f t="shared" si="50"/>
        <v>1</v>
      </c>
      <c r="H288" s="877"/>
      <c r="I288" s="48">
        <f t="shared" si="51"/>
        <v>1</v>
      </c>
      <c r="J288" s="877"/>
      <c r="K288" s="48">
        <f t="shared" si="52"/>
        <v>1</v>
      </c>
      <c r="L288" s="877"/>
      <c r="M288" s="48">
        <f t="shared" si="53"/>
        <v>1</v>
      </c>
      <c r="N288" s="877"/>
      <c r="O288" s="48">
        <f t="shared" si="54"/>
        <v>1</v>
      </c>
      <c r="P288" s="877"/>
      <c r="Q288" s="48">
        <f t="shared" si="55"/>
        <v>1</v>
      </c>
      <c r="R288" s="48">
        <f t="shared" si="56"/>
        <v>0</v>
      </c>
      <c r="S288" s="733">
        <f t="shared" si="57"/>
        <v>0</v>
      </c>
    </row>
    <row r="289" spans="1:19">
      <c r="A289" s="878"/>
      <c r="B289" s="125"/>
      <c r="C289" s="48">
        <f t="shared" si="48"/>
        <v>1</v>
      </c>
      <c r="D289" s="877"/>
      <c r="E289" s="48">
        <f t="shared" si="49"/>
        <v>1</v>
      </c>
      <c r="F289" s="877"/>
      <c r="G289" s="48">
        <f t="shared" si="50"/>
        <v>1</v>
      </c>
      <c r="H289" s="877"/>
      <c r="I289" s="48">
        <f t="shared" si="51"/>
        <v>1</v>
      </c>
      <c r="J289" s="877"/>
      <c r="K289" s="48">
        <f t="shared" si="52"/>
        <v>1</v>
      </c>
      <c r="L289" s="877"/>
      <c r="M289" s="48">
        <f t="shared" si="53"/>
        <v>1</v>
      </c>
      <c r="N289" s="877"/>
      <c r="O289" s="48">
        <f t="shared" si="54"/>
        <v>1</v>
      </c>
      <c r="P289" s="877"/>
      <c r="Q289" s="48">
        <f t="shared" si="55"/>
        <v>1</v>
      </c>
      <c r="R289" s="48">
        <f t="shared" si="56"/>
        <v>0</v>
      </c>
      <c r="S289" s="733">
        <f t="shared" si="57"/>
        <v>0</v>
      </c>
    </row>
    <row r="290" spans="1:19">
      <c r="A290" s="878"/>
      <c r="B290" s="125"/>
      <c r="C290" s="48">
        <f t="shared" si="48"/>
        <v>1</v>
      </c>
      <c r="D290" s="877"/>
      <c r="E290" s="48">
        <f t="shared" si="49"/>
        <v>1</v>
      </c>
      <c r="F290" s="877"/>
      <c r="G290" s="48">
        <f t="shared" si="50"/>
        <v>1</v>
      </c>
      <c r="H290" s="877"/>
      <c r="I290" s="48">
        <f t="shared" si="51"/>
        <v>1</v>
      </c>
      <c r="J290" s="877"/>
      <c r="K290" s="48">
        <f t="shared" si="52"/>
        <v>1</v>
      </c>
      <c r="L290" s="877"/>
      <c r="M290" s="48">
        <f t="shared" si="53"/>
        <v>1</v>
      </c>
      <c r="N290" s="877"/>
      <c r="O290" s="48">
        <f t="shared" si="54"/>
        <v>1</v>
      </c>
      <c r="P290" s="877"/>
      <c r="Q290" s="48">
        <f t="shared" si="55"/>
        <v>1</v>
      </c>
      <c r="R290" s="48">
        <f t="shared" si="56"/>
        <v>0</v>
      </c>
      <c r="S290" s="733">
        <f t="shared" si="57"/>
        <v>0</v>
      </c>
    </row>
    <row r="291" spans="1:19">
      <c r="A291" s="878"/>
      <c r="B291" s="125"/>
      <c r="C291" s="48">
        <f t="shared" si="48"/>
        <v>1</v>
      </c>
      <c r="D291" s="877"/>
      <c r="E291" s="48">
        <f t="shared" si="49"/>
        <v>1</v>
      </c>
      <c r="F291" s="877"/>
      <c r="G291" s="48">
        <f t="shared" si="50"/>
        <v>1</v>
      </c>
      <c r="H291" s="877"/>
      <c r="I291" s="48">
        <f t="shared" si="51"/>
        <v>1</v>
      </c>
      <c r="J291" s="877"/>
      <c r="K291" s="48">
        <f t="shared" si="52"/>
        <v>1</v>
      </c>
      <c r="L291" s="877"/>
      <c r="M291" s="48">
        <f t="shared" si="53"/>
        <v>1</v>
      </c>
      <c r="N291" s="877"/>
      <c r="O291" s="48">
        <f t="shared" si="54"/>
        <v>1</v>
      </c>
      <c r="P291" s="877"/>
      <c r="Q291" s="48">
        <f t="shared" si="55"/>
        <v>1</v>
      </c>
      <c r="R291" s="48">
        <f t="shared" si="56"/>
        <v>0</v>
      </c>
      <c r="S291" s="733">
        <f t="shared" si="57"/>
        <v>0</v>
      </c>
    </row>
    <row r="292" spans="1:19">
      <c r="A292" s="878"/>
      <c r="B292" s="125"/>
      <c r="C292" s="48">
        <f t="shared" si="48"/>
        <v>1</v>
      </c>
      <c r="D292" s="877"/>
      <c r="E292" s="48">
        <f t="shared" si="49"/>
        <v>1</v>
      </c>
      <c r="F292" s="877"/>
      <c r="G292" s="48">
        <f t="shared" si="50"/>
        <v>1</v>
      </c>
      <c r="H292" s="877"/>
      <c r="I292" s="48">
        <f t="shared" si="51"/>
        <v>1</v>
      </c>
      <c r="J292" s="877"/>
      <c r="K292" s="48">
        <f t="shared" si="52"/>
        <v>1</v>
      </c>
      <c r="L292" s="877"/>
      <c r="M292" s="48">
        <f t="shared" si="53"/>
        <v>1</v>
      </c>
      <c r="N292" s="877"/>
      <c r="O292" s="48">
        <f t="shared" si="54"/>
        <v>1</v>
      </c>
      <c r="P292" s="877"/>
      <c r="Q292" s="48">
        <f t="shared" si="55"/>
        <v>1</v>
      </c>
      <c r="R292" s="48">
        <f t="shared" si="56"/>
        <v>0</v>
      </c>
      <c r="S292" s="733">
        <f t="shared" si="57"/>
        <v>0</v>
      </c>
    </row>
    <row r="293" spans="1:19">
      <c r="A293" s="878"/>
      <c r="B293" s="125"/>
      <c r="C293" s="48">
        <f t="shared" si="48"/>
        <v>1</v>
      </c>
      <c r="D293" s="877"/>
      <c r="E293" s="48">
        <f t="shared" si="49"/>
        <v>1</v>
      </c>
      <c r="F293" s="877"/>
      <c r="G293" s="48">
        <f t="shared" si="50"/>
        <v>1</v>
      </c>
      <c r="H293" s="877"/>
      <c r="I293" s="48">
        <f t="shared" si="51"/>
        <v>1</v>
      </c>
      <c r="J293" s="877"/>
      <c r="K293" s="48">
        <f t="shared" si="52"/>
        <v>1</v>
      </c>
      <c r="L293" s="877"/>
      <c r="M293" s="48">
        <f t="shared" si="53"/>
        <v>1</v>
      </c>
      <c r="N293" s="877"/>
      <c r="O293" s="48">
        <f t="shared" si="54"/>
        <v>1</v>
      </c>
      <c r="P293" s="877"/>
      <c r="Q293" s="48">
        <f t="shared" si="55"/>
        <v>1</v>
      </c>
      <c r="R293" s="48">
        <f t="shared" si="56"/>
        <v>0</v>
      </c>
      <c r="S293" s="733">
        <f t="shared" si="57"/>
        <v>0</v>
      </c>
    </row>
    <row r="294" spans="1:19">
      <c r="A294" s="878"/>
      <c r="B294" s="125"/>
      <c r="C294" s="48">
        <f t="shared" si="48"/>
        <v>1</v>
      </c>
      <c r="D294" s="877"/>
      <c r="E294" s="48">
        <f t="shared" si="49"/>
        <v>1</v>
      </c>
      <c r="F294" s="877"/>
      <c r="G294" s="48">
        <f t="shared" si="50"/>
        <v>1</v>
      </c>
      <c r="H294" s="877"/>
      <c r="I294" s="48">
        <f t="shared" si="51"/>
        <v>1</v>
      </c>
      <c r="J294" s="877"/>
      <c r="K294" s="48">
        <f t="shared" si="52"/>
        <v>1</v>
      </c>
      <c r="L294" s="877"/>
      <c r="M294" s="48">
        <f t="shared" si="53"/>
        <v>1</v>
      </c>
      <c r="N294" s="877"/>
      <c r="O294" s="48">
        <f t="shared" si="54"/>
        <v>1</v>
      </c>
      <c r="P294" s="877"/>
      <c r="Q294" s="48">
        <f t="shared" si="55"/>
        <v>1</v>
      </c>
      <c r="R294" s="48">
        <f t="shared" si="56"/>
        <v>0</v>
      </c>
      <c r="S294" s="733">
        <f t="shared" si="57"/>
        <v>0</v>
      </c>
    </row>
    <row r="295" spans="1:19">
      <c r="A295" s="878"/>
      <c r="B295" s="125"/>
      <c r="C295" s="48">
        <f t="shared" si="48"/>
        <v>1</v>
      </c>
      <c r="D295" s="877"/>
      <c r="E295" s="48">
        <f t="shared" si="49"/>
        <v>1</v>
      </c>
      <c r="F295" s="877"/>
      <c r="G295" s="48">
        <f t="shared" si="50"/>
        <v>1</v>
      </c>
      <c r="H295" s="877"/>
      <c r="I295" s="48">
        <f t="shared" si="51"/>
        <v>1</v>
      </c>
      <c r="J295" s="877"/>
      <c r="K295" s="48">
        <f t="shared" si="52"/>
        <v>1</v>
      </c>
      <c r="L295" s="877"/>
      <c r="M295" s="48">
        <f t="shared" si="53"/>
        <v>1</v>
      </c>
      <c r="N295" s="877"/>
      <c r="O295" s="48">
        <f t="shared" si="54"/>
        <v>1</v>
      </c>
      <c r="P295" s="877"/>
      <c r="Q295" s="48">
        <f t="shared" si="55"/>
        <v>1</v>
      </c>
      <c r="R295" s="48">
        <f t="shared" si="56"/>
        <v>0</v>
      </c>
      <c r="S295" s="733">
        <f t="shared" si="57"/>
        <v>0</v>
      </c>
    </row>
    <row r="296" spans="1:19">
      <c r="A296" s="878"/>
      <c r="B296" s="125"/>
      <c r="C296" s="48">
        <f t="shared" si="48"/>
        <v>1</v>
      </c>
      <c r="D296" s="877"/>
      <c r="E296" s="48">
        <f t="shared" si="49"/>
        <v>1</v>
      </c>
      <c r="F296" s="877"/>
      <c r="G296" s="48">
        <f t="shared" si="50"/>
        <v>1</v>
      </c>
      <c r="H296" s="877"/>
      <c r="I296" s="48">
        <f t="shared" si="51"/>
        <v>1</v>
      </c>
      <c r="J296" s="877"/>
      <c r="K296" s="48">
        <f t="shared" si="52"/>
        <v>1</v>
      </c>
      <c r="L296" s="877"/>
      <c r="M296" s="48">
        <f t="shared" si="53"/>
        <v>1</v>
      </c>
      <c r="N296" s="877"/>
      <c r="O296" s="48">
        <f t="shared" si="54"/>
        <v>1</v>
      </c>
      <c r="P296" s="877"/>
      <c r="Q296" s="48">
        <f t="shared" si="55"/>
        <v>1</v>
      </c>
      <c r="R296" s="48">
        <f t="shared" si="56"/>
        <v>0</v>
      </c>
      <c r="S296" s="733">
        <f t="shared" si="57"/>
        <v>0</v>
      </c>
    </row>
    <row r="297" spans="1:19">
      <c r="A297" s="878"/>
      <c r="B297" s="125"/>
      <c r="C297" s="48">
        <f t="shared" si="48"/>
        <v>1</v>
      </c>
      <c r="D297" s="877"/>
      <c r="E297" s="48">
        <f t="shared" si="49"/>
        <v>1</v>
      </c>
      <c r="F297" s="877"/>
      <c r="G297" s="48">
        <f t="shared" si="50"/>
        <v>1</v>
      </c>
      <c r="H297" s="877"/>
      <c r="I297" s="48">
        <f t="shared" si="51"/>
        <v>1</v>
      </c>
      <c r="J297" s="877"/>
      <c r="K297" s="48">
        <f t="shared" si="52"/>
        <v>1</v>
      </c>
      <c r="L297" s="877"/>
      <c r="M297" s="48">
        <f t="shared" si="53"/>
        <v>1</v>
      </c>
      <c r="N297" s="877"/>
      <c r="O297" s="48">
        <f t="shared" si="54"/>
        <v>1</v>
      </c>
      <c r="P297" s="877"/>
      <c r="Q297" s="48">
        <f t="shared" si="55"/>
        <v>1</v>
      </c>
      <c r="R297" s="48">
        <f t="shared" si="56"/>
        <v>0</v>
      </c>
      <c r="S297" s="733">
        <f t="shared" si="57"/>
        <v>0</v>
      </c>
    </row>
    <row r="298" spans="1:19">
      <c r="A298" s="878"/>
      <c r="B298" s="125"/>
      <c r="C298" s="48">
        <f t="shared" si="48"/>
        <v>1</v>
      </c>
      <c r="D298" s="877"/>
      <c r="E298" s="48">
        <f t="shared" si="49"/>
        <v>1</v>
      </c>
      <c r="F298" s="877"/>
      <c r="G298" s="48">
        <f t="shared" si="50"/>
        <v>1</v>
      </c>
      <c r="H298" s="877"/>
      <c r="I298" s="48">
        <f t="shared" si="51"/>
        <v>1</v>
      </c>
      <c r="J298" s="877"/>
      <c r="K298" s="48">
        <f t="shared" si="52"/>
        <v>1</v>
      </c>
      <c r="L298" s="877"/>
      <c r="M298" s="48">
        <f t="shared" si="53"/>
        <v>1</v>
      </c>
      <c r="N298" s="877"/>
      <c r="O298" s="48">
        <f t="shared" si="54"/>
        <v>1</v>
      </c>
      <c r="P298" s="877"/>
      <c r="Q298" s="48">
        <f t="shared" si="55"/>
        <v>1</v>
      </c>
      <c r="R298" s="48">
        <f t="shared" si="56"/>
        <v>0</v>
      </c>
      <c r="S298" s="733">
        <f t="shared" si="57"/>
        <v>0</v>
      </c>
    </row>
    <row r="299" spans="1:19">
      <c r="A299" s="878"/>
      <c r="B299" s="125"/>
      <c r="C299" s="48">
        <f t="shared" si="48"/>
        <v>1</v>
      </c>
      <c r="D299" s="877"/>
      <c r="E299" s="48">
        <f t="shared" si="49"/>
        <v>1</v>
      </c>
      <c r="F299" s="877"/>
      <c r="G299" s="48">
        <f t="shared" si="50"/>
        <v>1</v>
      </c>
      <c r="H299" s="877"/>
      <c r="I299" s="48">
        <f t="shared" si="51"/>
        <v>1</v>
      </c>
      <c r="J299" s="877"/>
      <c r="K299" s="48">
        <f t="shared" si="52"/>
        <v>1</v>
      </c>
      <c r="L299" s="877"/>
      <c r="M299" s="48">
        <f t="shared" si="53"/>
        <v>1</v>
      </c>
      <c r="N299" s="877"/>
      <c r="O299" s="48">
        <f t="shared" si="54"/>
        <v>1</v>
      </c>
      <c r="P299" s="877"/>
      <c r="Q299" s="48">
        <f t="shared" si="55"/>
        <v>1</v>
      </c>
      <c r="R299" s="48">
        <f t="shared" si="56"/>
        <v>0</v>
      </c>
      <c r="S299" s="733">
        <f t="shared" si="57"/>
        <v>0</v>
      </c>
    </row>
    <row r="300" spans="1:19">
      <c r="A300" s="878"/>
      <c r="B300" s="125"/>
      <c r="C300" s="48">
        <f t="shared" si="48"/>
        <v>1</v>
      </c>
      <c r="D300" s="877"/>
      <c r="E300" s="48">
        <f t="shared" si="49"/>
        <v>1</v>
      </c>
      <c r="F300" s="877"/>
      <c r="G300" s="48">
        <f t="shared" si="50"/>
        <v>1</v>
      </c>
      <c r="H300" s="877"/>
      <c r="I300" s="48">
        <f t="shared" si="51"/>
        <v>1</v>
      </c>
      <c r="J300" s="877"/>
      <c r="K300" s="48">
        <f t="shared" si="52"/>
        <v>1</v>
      </c>
      <c r="L300" s="877"/>
      <c r="M300" s="48">
        <f t="shared" si="53"/>
        <v>1</v>
      </c>
      <c r="N300" s="877"/>
      <c r="O300" s="48">
        <f t="shared" si="54"/>
        <v>1</v>
      </c>
      <c r="P300" s="877"/>
      <c r="Q300" s="48">
        <f t="shared" si="55"/>
        <v>1</v>
      </c>
      <c r="R300" s="48">
        <f t="shared" si="56"/>
        <v>0</v>
      </c>
      <c r="S300" s="733">
        <f t="shared" si="57"/>
        <v>0</v>
      </c>
    </row>
    <row r="301" spans="1:19">
      <c r="A301" s="878"/>
      <c r="B301" s="125"/>
      <c r="C301" s="48">
        <f t="shared" si="48"/>
        <v>1</v>
      </c>
      <c r="D301" s="877"/>
      <c r="E301" s="48">
        <f t="shared" si="49"/>
        <v>1</v>
      </c>
      <c r="F301" s="877"/>
      <c r="G301" s="48">
        <f t="shared" si="50"/>
        <v>1</v>
      </c>
      <c r="H301" s="877"/>
      <c r="I301" s="48">
        <f t="shared" si="51"/>
        <v>1</v>
      </c>
      <c r="J301" s="877"/>
      <c r="K301" s="48">
        <f t="shared" si="52"/>
        <v>1</v>
      </c>
      <c r="L301" s="877"/>
      <c r="M301" s="48">
        <f t="shared" si="53"/>
        <v>1</v>
      </c>
      <c r="N301" s="877"/>
      <c r="O301" s="48">
        <f t="shared" si="54"/>
        <v>1</v>
      </c>
      <c r="P301" s="877"/>
      <c r="Q301" s="48">
        <f t="shared" si="55"/>
        <v>1</v>
      </c>
      <c r="R301" s="48">
        <f t="shared" si="56"/>
        <v>0</v>
      </c>
      <c r="S301" s="733">
        <f t="shared" si="57"/>
        <v>0</v>
      </c>
    </row>
    <row r="302" spans="1:19">
      <c r="A302" s="878"/>
      <c r="B302" s="125"/>
      <c r="C302" s="48">
        <f t="shared" si="48"/>
        <v>1</v>
      </c>
      <c r="D302" s="877"/>
      <c r="E302" s="48">
        <f t="shared" si="49"/>
        <v>1</v>
      </c>
      <c r="F302" s="877"/>
      <c r="G302" s="48">
        <f t="shared" si="50"/>
        <v>1</v>
      </c>
      <c r="H302" s="877"/>
      <c r="I302" s="48">
        <f t="shared" si="51"/>
        <v>1</v>
      </c>
      <c r="J302" s="877"/>
      <c r="K302" s="48">
        <f t="shared" si="52"/>
        <v>1</v>
      </c>
      <c r="L302" s="877"/>
      <c r="M302" s="48">
        <f t="shared" si="53"/>
        <v>1</v>
      </c>
      <c r="N302" s="877"/>
      <c r="O302" s="48">
        <f t="shared" si="54"/>
        <v>1</v>
      </c>
      <c r="P302" s="877"/>
      <c r="Q302" s="48">
        <f t="shared" si="55"/>
        <v>1</v>
      </c>
      <c r="R302" s="48">
        <f t="shared" si="56"/>
        <v>0</v>
      </c>
      <c r="S302" s="733">
        <f t="shared" si="57"/>
        <v>0</v>
      </c>
    </row>
    <row r="303" spans="1:19">
      <c r="A303" s="878"/>
      <c r="B303" s="125"/>
      <c r="C303" s="48">
        <f t="shared" si="48"/>
        <v>1</v>
      </c>
      <c r="D303" s="877"/>
      <c r="E303" s="48">
        <f t="shared" si="49"/>
        <v>1</v>
      </c>
      <c r="F303" s="877"/>
      <c r="G303" s="48">
        <f t="shared" si="50"/>
        <v>1</v>
      </c>
      <c r="H303" s="877"/>
      <c r="I303" s="48">
        <f t="shared" si="51"/>
        <v>1</v>
      </c>
      <c r="J303" s="877"/>
      <c r="K303" s="48">
        <f t="shared" si="52"/>
        <v>1</v>
      </c>
      <c r="L303" s="877"/>
      <c r="M303" s="48">
        <f t="shared" si="53"/>
        <v>1</v>
      </c>
      <c r="N303" s="877"/>
      <c r="O303" s="48">
        <f t="shared" si="54"/>
        <v>1</v>
      </c>
      <c r="P303" s="877"/>
      <c r="Q303" s="48">
        <f t="shared" si="55"/>
        <v>1</v>
      </c>
      <c r="R303" s="48">
        <f t="shared" si="56"/>
        <v>0</v>
      </c>
      <c r="S303" s="733">
        <f t="shared" si="57"/>
        <v>0</v>
      </c>
    </row>
    <row r="304" spans="1:19">
      <c r="A304" s="878"/>
      <c r="B304" s="125"/>
      <c r="C304" s="48">
        <f t="shared" si="48"/>
        <v>1</v>
      </c>
      <c r="D304" s="877"/>
      <c r="E304" s="48">
        <f t="shared" si="49"/>
        <v>1</v>
      </c>
      <c r="F304" s="877"/>
      <c r="G304" s="48">
        <f t="shared" si="50"/>
        <v>1</v>
      </c>
      <c r="H304" s="877"/>
      <c r="I304" s="48">
        <f t="shared" si="51"/>
        <v>1</v>
      </c>
      <c r="J304" s="877"/>
      <c r="K304" s="48">
        <f t="shared" si="52"/>
        <v>1</v>
      </c>
      <c r="L304" s="877"/>
      <c r="M304" s="48">
        <f t="shared" si="53"/>
        <v>1</v>
      </c>
      <c r="N304" s="877"/>
      <c r="O304" s="48">
        <f t="shared" si="54"/>
        <v>1</v>
      </c>
      <c r="P304" s="877"/>
      <c r="Q304" s="48">
        <f t="shared" si="55"/>
        <v>1</v>
      </c>
      <c r="R304" s="48">
        <f t="shared" si="56"/>
        <v>0</v>
      </c>
      <c r="S304" s="733">
        <f t="shared" si="57"/>
        <v>0</v>
      </c>
    </row>
    <row r="305" spans="1:19">
      <c r="A305" s="878"/>
      <c r="B305" s="125"/>
      <c r="C305" s="48">
        <f t="shared" si="48"/>
        <v>1</v>
      </c>
      <c r="D305" s="877"/>
      <c r="E305" s="48">
        <f t="shared" si="49"/>
        <v>1</v>
      </c>
      <c r="F305" s="877"/>
      <c r="G305" s="48">
        <f t="shared" si="50"/>
        <v>1</v>
      </c>
      <c r="H305" s="877"/>
      <c r="I305" s="48">
        <f t="shared" si="51"/>
        <v>1</v>
      </c>
      <c r="J305" s="877"/>
      <c r="K305" s="48">
        <f t="shared" si="52"/>
        <v>1</v>
      </c>
      <c r="L305" s="877"/>
      <c r="M305" s="48">
        <f t="shared" si="53"/>
        <v>1</v>
      </c>
      <c r="N305" s="877"/>
      <c r="O305" s="48">
        <f t="shared" si="54"/>
        <v>1</v>
      </c>
      <c r="P305" s="877"/>
      <c r="Q305" s="48">
        <f t="shared" si="55"/>
        <v>1</v>
      </c>
      <c r="R305" s="48">
        <f t="shared" si="56"/>
        <v>0</v>
      </c>
      <c r="S305" s="733">
        <f t="shared" si="57"/>
        <v>0</v>
      </c>
    </row>
    <row r="306" spans="1:19">
      <c r="A306" s="878"/>
      <c r="B306" s="125"/>
      <c r="C306" s="48">
        <f t="shared" si="48"/>
        <v>1</v>
      </c>
      <c r="D306" s="877"/>
      <c r="E306" s="48">
        <f t="shared" si="49"/>
        <v>1</v>
      </c>
      <c r="F306" s="877"/>
      <c r="G306" s="48">
        <f t="shared" si="50"/>
        <v>1</v>
      </c>
      <c r="H306" s="877"/>
      <c r="I306" s="48">
        <f t="shared" si="51"/>
        <v>1</v>
      </c>
      <c r="J306" s="877"/>
      <c r="K306" s="48">
        <f t="shared" si="52"/>
        <v>1</v>
      </c>
      <c r="L306" s="877"/>
      <c r="M306" s="48">
        <f t="shared" si="53"/>
        <v>1</v>
      </c>
      <c r="N306" s="877"/>
      <c r="O306" s="48">
        <f t="shared" si="54"/>
        <v>1</v>
      </c>
      <c r="P306" s="877"/>
      <c r="Q306" s="48">
        <f t="shared" si="55"/>
        <v>1</v>
      </c>
      <c r="R306" s="48">
        <f t="shared" si="56"/>
        <v>0</v>
      </c>
      <c r="S306" s="733">
        <f t="shared" si="57"/>
        <v>0</v>
      </c>
    </row>
    <row r="307" spans="1:19">
      <c r="A307" s="878"/>
      <c r="B307" s="125"/>
      <c r="C307" s="48">
        <f t="shared" si="48"/>
        <v>1</v>
      </c>
      <c r="D307" s="877"/>
      <c r="E307" s="48">
        <f t="shared" si="49"/>
        <v>1</v>
      </c>
      <c r="F307" s="877"/>
      <c r="G307" s="48">
        <f t="shared" si="50"/>
        <v>1</v>
      </c>
      <c r="H307" s="877"/>
      <c r="I307" s="48">
        <f t="shared" si="51"/>
        <v>1</v>
      </c>
      <c r="J307" s="877"/>
      <c r="K307" s="48">
        <f t="shared" si="52"/>
        <v>1</v>
      </c>
      <c r="L307" s="877"/>
      <c r="M307" s="48">
        <f t="shared" si="53"/>
        <v>1</v>
      </c>
      <c r="N307" s="877"/>
      <c r="O307" s="48">
        <f t="shared" si="54"/>
        <v>1</v>
      </c>
      <c r="P307" s="877"/>
      <c r="Q307" s="48">
        <f t="shared" si="55"/>
        <v>1</v>
      </c>
      <c r="R307" s="48">
        <f t="shared" si="56"/>
        <v>0</v>
      </c>
      <c r="S307" s="733">
        <f t="shared" si="57"/>
        <v>0</v>
      </c>
    </row>
    <row r="308" spans="1:19">
      <c r="A308" s="878"/>
      <c r="B308" s="125"/>
      <c r="C308" s="48">
        <f t="shared" si="48"/>
        <v>1</v>
      </c>
      <c r="D308" s="877"/>
      <c r="E308" s="48">
        <f t="shared" si="49"/>
        <v>1</v>
      </c>
      <c r="F308" s="877"/>
      <c r="G308" s="48">
        <f t="shared" si="50"/>
        <v>1</v>
      </c>
      <c r="H308" s="877"/>
      <c r="I308" s="48">
        <f t="shared" si="51"/>
        <v>1</v>
      </c>
      <c r="J308" s="877"/>
      <c r="K308" s="48">
        <f t="shared" si="52"/>
        <v>1</v>
      </c>
      <c r="L308" s="877"/>
      <c r="M308" s="48">
        <f t="shared" si="53"/>
        <v>1</v>
      </c>
      <c r="N308" s="877"/>
      <c r="O308" s="48">
        <f t="shared" si="54"/>
        <v>1</v>
      </c>
      <c r="P308" s="877"/>
      <c r="Q308" s="48">
        <f t="shared" si="55"/>
        <v>1</v>
      </c>
      <c r="R308" s="48">
        <f t="shared" si="56"/>
        <v>0</v>
      </c>
      <c r="S308" s="733">
        <f t="shared" si="57"/>
        <v>0</v>
      </c>
    </row>
    <row r="309" spans="1:19">
      <c r="A309" s="878"/>
      <c r="B309" s="125"/>
      <c r="C309" s="48">
        <f t="shared" si="48"/>
        <v>1</v>
      </c>
      <c r="D309" s="877"/>
      <c r="E309" s="48">
        <f t="shared" si="49"/>
        <v>1</v>
      </c>
      <c r="F309" s="877"/>
      <c r="G309" s="48">
        <f t="shared" si="50"/>
        <v>1</v>
      </c>
      <c r="H309" s="877"/>
      <c r="I309" s="48">
        <f t="shared" si="51"/>
        <v>1</v>
      </c>
      <c r="J309" s="877"/>
      <c r="K309" s="48">
        <f t="shared" si="52"/>
        <v>1</v>
      </c>
      <c r="L309" s="877"/>
      <c r="M309" s="48">
        <f t="shared" si="53"/>
        <v>1</v>
      </c>
      <c r="N309" s="877"/>
      <c r="O309" s="48">
        <f t="shared" si="54"/>
        <v>1</v>
      </c>
      <c r="P309" s="877"/>
      <c r="Q309" s="48">
        <f t="shared" si="55"/>
        <v>1</v>
      </c>
      <c r="R309" s="48">
        <f t="shared" si="56"/>
        <v>0</v>
      </c>
      <c r="S309" s="733">
        <f t="shared" si="57"/>
        <v>0</v>
      </c>
    </row>
    <row r="310" spans="1:19">
      <c r="A310" s="878"/>
      <c r="B310" s="125"/>
      <c r="C310" s="48">
        <f t="shared" si="48"/>
        <v>1</v>
      </c>
      <c r="D310" s="877"/>
      <c r="E310" s="48">
        <f t="shared" si="49"/>
        <v>1</v>
      </c>
      <c r="F310" s="877"/>
      <c r="G310" s="48">
        <f t="shared" si="50"/>
        <v>1</v>
      </c>
      <c r="H310" s="877"/>
      <c r="I310" s="48">
        <f t="shared" si="51"/>
        <v>1</v>
      </c>
      <c r="J310" s="877"/>
      <c r="K310" s="48">
        <f t="shared" si="52"/>
        <v>1</v>
      </c>
      <c r="L310" s="877"/>
      <c r="M310" s="48">
        <f t="shared" si="53"/>
        <v>1</v>
      </c>
      <c r="N310" s="877"/>
      <c r="O310" s="48">
        <f t="shared" si="54"/>
        <v>1</v>
      </c>
      <c r="P310" s="877"/>
      <c r="Q310" s="48">
        <f t="shared" si="55"/>
        <v>1</v>
      </c>
      <c r="R310" s="48">
        <f t="shared" si="56"/>
        <v>0</v>
      </c>
      <c r="S310" s="733">
        <f t="shared" si="57"/>
        <v>0</v>
      </c>
    </row>
    <row r="311" spans="1:19">
      <c r="A311" s="878"/>
      <c r="B311" s="125"/>
      <c r="C311" s="48">
        <f t="shared" si="48"/>
        <v>1</v>
      </c>
      <c r="D311" s="877"/>
      <c r="E311" s="48">
        <f t="shared" si="49"/>
        <v>1</v>
      </c>
      <c r="F311" s="877"/>
      <c r="G311" s="48">
        <f t="shared" si="50"/>
        <v>1</v>
      </c>
      <c r="H311" s="877"/>
      <c r="I311" s="48">
        <f t="shared" si="51"/>
        <v>1</v>
      </c>
      <c r="J311" s="877"/>
      <c r="K311" s="48">
        <f t="shared" si="52"/>
        <v>1</v>
      </c>
      <c r="L311" s="877"/>
      <c r="M311" s="48">
        <f t="shared" si="53"/>
        <v>1</v>
      </c>
      <c r="N311" s="877"/>
      <c r="O311" s="48">
        <f t="shared" si="54"/>
        <v>1</v>
      </c>
      <c r="P311" s="877"/>
      <c r="Q311" s="48">
        <f t="shared" si="55"/>
        <v>1</v>
      </c>
      <c r="R311" s="48">
        <f t="shared" si="56"/>
        <v>0</v>
      </c>
      <c r="S311" s="733">
        <f t="shared" si="57"/>
        <v>0</v>
      </c>
    </row>
    <row r="312" spans="1:19">
      <c r="A312" s="878"/>
      <c r="B312" s="125"/>
      <c r="C312" s="48">
        <f t="shared" si="48"/>
        <v>1</v>
      </c>
      <c r="D312" s="877"/>
      <c r="E312" s="48">
        <f t="shared" si="49"/>
        <v>1</v>
      </c>
      <c r="F312" s="877"/>
      <c r="G312" s="48">
        <f t="shared" si="50"/>
        <v>1</v>
      </c>
      <c r="H312" s="877"/>
      <c r="I312" s="48">
        <f t="shared" si="51"/>
        <v>1</v>
      </c>
      <c r="J312" s="877"/>
      <c r="K312" s="48">
        <f t="shared" si="52"/>
        <v>1</v>
      </c>
      <c r="L312" s="877"/>
      <c r="M312" s="48">
        <f t="shared" si="53"/>
        <v>1</v>
      </c>
      <c r="N312" s="877"/>
      <c r="O312" s="48">
        <f t="shared" si="54"/>
        <v>1</v>
      </c>
      <c r="P312" s="877"/>
      <c r="Q312" s="48">
        <f t="shared" si="55"/>
        <v>1</v>
      </c>
      <c r="R312" s="48">
        <f t="shared" si="56"/>
        <v>0</v>
      </c>
      <c r="S312" s="733">
        <f t="shared" si="57"/>
        <v>0</v>
      </c>
    </row>
    <row r="313" spans="1:19">
      <c r="A313" s="878"/>
      <c r="B313" s="125"/>
      <c r="C313" s="48">
        <f t="shared" si="48"/>
        <v>1</v>
      </c>
      <c r="D313" s="877"/>
      <c r="E313" s="48">
        <f t="shared" si="49"/>
        <v>1</v>
      </c>
      <c r="F313" s="877"/>
      <c r="G313" s="48">
        <f t="shared" si="50"/>
        <v>1</v>
      </c>
      <c r="H313" s="877"/>
      <c r="I313" s="48">
        <f t="shared" si="51"/>
        <v>1</v>
      </c>
      <c r="J313" s="877"/>
      <c r="K313" s="48">
        <f t="shared" si="52"/>
        <v>1</v>
      </c>
      <c r="L313" s="877"/>
      <c r="M313" s="48">
        <f t="shared" si="53"/>
        <v>1</v>
      </c>
      <c r="N313" s="877"/>
      <c r="O313" s="48">
        <f t="shared" si="54"/>
        <v>1</v>
      </c>
      <c r="P313" s="877"/>
      <c r="Q313" s="48">
        <f t="shared" si="55"/>
        <v>1</v>
      </c>
      <c r="R313" s="48">
        <f t="shared" si="56"/>
        <v>0</v>
      </c>
      <c r="S313" s="733">
        <f t="shared" si="57"/>
        <v>0</v>
      </c>
    </row>
    <row r="314" spans="1:19">
      <c r="A314" s="878"/>
      <c r="B314" s="125"/>
      <c r="C314" s="48">
        <f t="shared" si="48"/>
        <v>1</v>
      </c>
      <c r="D314" s="877"/>
      <c r="E314" s="48">
        <f t="shared" si="49"/>
        <v>1</v>
      </c>
      <c r="F314" s="877"/>
      <c r="G314" s="48">
        <f t="shared" si="50"/>
        <v>1</v>
      </c>
      <c r="H314" s="877"/>
      <c r="I314" s="48">
        <f t="shared" si="51"/>
        <v>1</v>
      </c>
      <c r="J314" s="877"/>
      <c r="K314" s="48">
        <f t="shared" si="52"/>
        <v>1</v>
      </c>
      <c r="L314" s="877"/>
      <c r="M314" s="48">
        <f t="shared" si="53"/>
        <v>1</v>
      </c>
      <c r="N314" s="877"/>
      <c r="O314" s="48">
        <f t="shared" si="54"/>
        <v>1</v>
      </c>
      <c r="P314" s="877"/>
      <c r="Q314" s="48">
        <f t="shared" si="55"/>
        <v>1</v>
      </c>
      <c r="R314" s="48">
        <f t="shared" si="56"/>
        <v>0</v>
      </c>
      <c r="S314" s="733">
        <f t="shared" si="57"/>
        <v>0</v>
      </c>
    </row>
    <row r="315" spans="1:19">
      <c r="A315" s="878"/>
      <c r="B315" s="125"/>
      <c r="C315" s="48">
        <f t="shared" si="48"/>
        <v>1</v>
      </c>
      <c r="D315" s="877"/>
      <c r="E315" s="48">
        <f t="shared" si="49"/>
        <v>1</v>
      </c>
      <c r="F315" s="877"/>
      <c r="G315" s="48">
        <f t="shared" si="50"/>
        <v>1</v>
      </c>
      <c r="H315" s="877"/>
      <c r="I315" s="48">
        <f t="shared" si="51"/>
        <v>1</v>
      </c>
      <c r="J315" s="877"/>
      <c r="K315" s="48">
        <f t="shared" si="52"/>
        <v>1</v>
      </c>
      <c r="L315" s="877"/>
      <c r="M315" s="48">
        <f t="shared" si="53"/>
        <v>1</v>
      </c>
      <c r="N315" s="877"/>
      <c r="O315" s="48">
        <f t="shared" si="54"/>
        <v>1</v>
      </c>
      <c r="P315" s="877"/>
      <c r="Q315" s="48">
        <f t="shared" si="55"/>
        <v>1</v>
      </c>
      <c r="R315" s="48">
        <f t="shared" si="56"/>
        <v>0</v>
      </c>
      <c r="S315" s="733">
        <f t="shared" si="57"/>
        <v>0</v>
      </c>
    </row>
    <row r="316" spans="1:19">
      <c r="A316" s="878"/>
      <c r="B316" s="125"/>
      <c r="C316" s="48">
        <f t="shared" si="48"/>
        <v>1</v>
      </c>
      <c r="D316" s="877"/>
      <c r="E316" s="48">
        <f t="shared" si="49"/>
        <v>1</v>
      </c>
      <c r="F316" s="877"/>
      <c r="G316" s="48">
        <f t="shared" si="50"/>
        <v>1</v>
      </c>
      <c r="H316" s="877"/>
      <c r="I316" s="48">
        <f t="shared" si="51"/>
        <v>1</v>
      </c>
      <c r="J316" s="877"/>
      <c r="K316" s="48">
        <f t="shared" si="52"/>
        <v>1</v>
      </c>
      <c r="L316" s="877"/>
      <c r="M316" s="48">
        <f t="shared" si="53"/>
        <v>1</v>
      </c>
      <c r="N316" s="877"/>
      <c r="O316" s="48">
        <f t="shared" si="54"/>
        <v>1</v>
      </c>
      <c r="P316" s="877"/>
      <c r="Q316" s="48">
        <f t="shared" si="55"/>
        <v>1</v>
      </c>
      <c r="R316" s="48">
        <f t="shared" si="56"/>
        <v>0</v>
      </c>
      <c r="S316" s="733">
        <f t="shared" si="57"/>
        <v>0</v>
      </c>
    </row>
    <row r="317" spans="1:19">
      <c r="A317" s="878"/>
      <c r="B317" s="125"/>
      <c r="C317" s="48">
        <f t="shared" si="48"/>
        <v>1</v>
      </c>
      <c r="D317" s="877"/>
      <c r="E317" s="48">
        <f t="shared" si="49"/>
        <v>1</v>
      </c>
      <c r="F317" s="877"/>
      <c r="G317" s="48">
        <f t="shared" si="50"/>
        <v>1</v>
      </c>
      <c r="H317" s="877"/>
      <c r="I317" s="48">
        <f t="shared" si="51"/>
        <v>1</v>
      </c>
      <c r="J317" s="877"/>
      <c r="K317" s="48">
        <f t="shared" si="52"/>
        <v>1</v>
      </c>
      <c r="L317" s="877"/>
      <c r="M317" s="48">
        <f t="shared" si="53"/>
        <v>1</v>
      </c>
      <c r="N317" s="877"/>
      <c r="O317" s="48">
        <f t="shared" si="54"/>
        <v>1</v>
      </c>
      <c r="P317" s="877"/>
      <c r="Q317" s="48">
        <f t="shared" si="55"/>
        <v>1</v>
      </c>
      <c r="R317" s="48">
        <f t="shared" si="56"/>
        <v>0</v>
      </c>
      <c r="S317" s="733">
        <f t="shared" si="57"/>
        <v>0</v>
      </c>
    </row>
    <row r="318" spans="1:19">
      <c r="A318" s="878"/>
      <c r="B318" s="125"/>
      <c r="C318" s="48">
        <f t="shared" si="48"/>
        <v>1</v>
      </c>
      <c r="D318" s="877"/>
      <c r="E318" s="48">
        <f t="shared" si="49"/>
        <v>1</v>
      </c>
      <c r="F318" s="877"/>
      <c r="G318" s="48">
        <f t="shared" si="50"/>
        <v>1</v>
      </c>
      <c r="H318" s="877"/>
      <c r="I318" s="48">
        <f t="shared" si="51"/>
        <v>1</v>
      </c>
      <c r="J318" s="877"/>
      <c r="K318" s="48">
        <f t="shared" si="52"/>
        <v>1</v>
      </c>
      <c r="L318" s="877"/>
      <c r="M318" s="48">
        <f t="shared" si="53"/>
        <v>1</v>
      </c>
      <c r="N318" s="877"/>
      <c r="O318" s="48">
        <f t="shared" si="54"/>
        <v>1</v>
      </c>
      <c r="P318" s="877"/>
      <c r="Q318" s="48">
        <f t="shared" si="55"/>
        <v>1</v>
      </c>
      <c r="R318" s="48">
        <f t="shared" si="56"/>
        <v>0</v>
      </c>
      <c r="S318" s="733">
        <f t="shared" si="57"/>
        <v>0</v>
      </c>
    </row>
    <row r="319" spans="1:19">
      <c r="A319" s="878"/>
      <c r="B319" s="125"/>
      <c r="C319" s="48">
        <f t="shared" si="48"/>
        <v>1</v>
      </c>
      <c r="D319" s="877"/>
      <c r="E319" s="48">
        <f t="shared" si="49"/>
        <v>1</v>
      </c>
      <c r="F319" s="877"/>
      <c r="G319" s="48">
        <f t="shared" si="50"/>
        <v>1</v>
      </c>
      <c r="H319" s="877"/>
      <c r="I319" s="48">
        <f t="shared" si="51"/>
        <v>1</v>
      </c>
      <c r="J319" s="877"/>
      <c r="K319" s="48">
        <f t="shared" si="52"/>
        <v>1</v>
      </c>
      <c r="L319" s="877"/>
      <c r="M319" s="48">
        <f t="shared" si="53"/>
        <v>1</v>
      </c>
      <c r="N319" s="877"/>
      <c r="O319" s="48">
        <f t="shared" si="54"/>
        <v>1</v>
      </c>
      <c r="P319" s="877"/>
      <c r="Q319" s="48">
        <f t="shared" si="55"/>
        <v>1</v>
      </c>
      <c r="R319" s="48">
        <f t="shared" si="56"/>
        <v>0</v>
      </c>
      <c r="S319" s="733">
        <f t="shared" si="57"/>
        <v>0</v>
      </c>
    </row>
    <row r="320" spans="1:19">
      <c r="A320" s="878"/>
      <c r="B320" s="125"/>
      <c r="C320" s="48">
        <f t="shared" si="48"/>
        <v>1</v>
      </c>
      <c r="D320" s="877"/>
      <c r="E320" s="48">
        <f t="shared" si="49"/>
        <v>1</v>
      </c>
      <c r="F320" s="877"/>
      <c r="G320" s="48">
        <f t="shared" si="50"/>
        <v>1</v>
      </c>
      <c r="H320" s="877"/>
      <c r="I320" s="48">
        <f t="shared" si="51"/>
        <v>1</v>
      </c>
      <c r="J320" s="877"/>
      <c r="K320" s="48">
        <f t="shared" si="52"/>
        <v>1</v>
      </c>
      <c r="L320" s="877"/>
      <c r="M320" s="48">
        <f t="shared" si="53"/>
        <v>1</v>
      </c>
      <c r="N320" s="877"/>
      <c r="O320" s="48">
        <f t="shared" si="54"/>
        <v>1</v>
      </c>
      <c r="P320" s="877"/>
      <c r="Q320" s="48">
        <f t="shared" si="55"/>
        <v>1</v>
      </c>
      <c r="R320" s="48">
        <f t="shared" si="56"/>
        <v>0</v>
      </c>
      <c r="S320" s="733">
        <f t="shared" si="57"/>
        <v>0</v>
      </c>
    </row>
    <row r="321" spans="1:19">
      <c r="A321" s="878"/>
      <c r="B321" s="125"/>
      <c r="C321" s="48">
        <f t="shared" si="48"/>
        <v>1</v>
      </c>
      <c r="D321" s="877"/>
      <c r="E321" s="48">
        <f t="shared" si="49"/>
        <v>1</v>
      </c>
      <c r="F321" s="877"/>
      <c r="G321" s="48">
        <f t="shared" si="50"/>
        <v>1</v>
      </c>
      <c r="H321" s="877"/>
      <c r="I321" s="48">
        <f t="shared" si="51"/>
        <v>1</v>
      </c>
      <c r="J321" s="877"/>
      <c r="K321" s="48">
        <f t="shared" si="52"/>
        <v>1</v>
      </c>
      <c r="L321" s="877"/>
      <c r="M321" s="48">
        <f t="shared" si="53"/>
        <v>1</v>
      </c>
      <c r="N321" s="877"/>
      <c r="O321" s="48">
        <f t="shared" si="54"/>
        <v>1</v>
      </c>
      <c r="P321" s="877"/>
      <c r="Q321" s="48">
        <f t="shared" si="55"/>
        <v>1</v>
      </c>
      <c r="R321" s="48">
        <f t="shared" si="56"/>
        <v>0</v>
      </c>
      <c r="S321" s="733">
        <f t="shared" ref="S321:S384" si="58">ROUND(R321*B321/10000,0)</f>
        <v>0</v>
      </c>
    </row>
    <row r="322" spans="1:19">
      <c r="A322" s="878"/>
      <c r="B322" s="125"/>
      <c r="C322" s="48">
        <f t="shared" si="48"/>
        <v>1</v>
      </c>
      <c r="D322" s="877"/>
      <c r="E322" s="48">
        <f t="shared" si="49"/>
        <v>1</v>
      </c>
      <c r="F322" s="877"/>
      <c r="G322" s="48">
        <f t="shared" si="50"/>
        <v>1</v>
      </c>
      <c r="H322" s="877"/>
      <c r="I322" s="48">
        <f t="shared" si="51"/>
        <v>1</v>
      </c>
      <c r="J322" s="877"/>
      <c r="K322" s="48">
        <f t="shared" si="52"/>
        <v>1</v>
      </c>
      <c r="L322" s="877"/>
      <c r="M322" s="48">
        <f t="shared" si="53"/>
        <v>1</v>
      </c>
      <c r="N322" s="877"/>
      <c r="O322" s="48">
        <f t="shared" si="54"/>
        <v>1</v>
      </c>
      <c r="P322" s="877"/>
      <c r="Q322" s="48">
        <f t="shared" si="55"/>
        <v>1</v>
      </c>
      <c r="R322" s="48">
        <f t="shared" si="56"/>
        <v>0</v>
      </c>
      <c r="S322" s="733">
        <f t="shared" si="58"/>
        <v>0</v>
      </c>
    </row>
    <row r="323" spans="1:19">
      <c r="A323" s="878"/>
      <c r="B323" s="125"/>
      <c r="C323" s="48">
        <f t="shared" si="48"/>
        <v>1</v>
      </c>
      <c r="D323" s="877"/>
      <c r="E323" s="48">
        <f t="shared" si="49"/>
        <v>1</v>
      </c>
      <c r="F323" s="877"/>
      <c r="G323" s="48">
        <f t="shared" si="50"/>
        <v>1</v>
      </c>
      <c r="H323" s="877"/>
      <c r="I323" s="48">
        <f t="shared" si="51"/>
        <v>1</v>
      </c>
      <c r="J323" s="877"/>
      <c r="K323" s="48">
        <f t="shared" si="52"/>
        <v>1</v>
      </c>
      <c r="L323" s="877"/>
      <c r="M323" s="48">
        <f t="shared" si="53"/>
        <v>1</v>
      </c>
      <c r="N323" s="877"/>
      <c r="O323" s="48">
        <f t="shared" si="54"/>
        <v>1</v>
      </c>
      <c r="P323" s="877"/>
      <c r="Q323" s="48">
        <f t="shared" si="55"/>
        <v>1</v>
      </c>
      <c r="R323" s="48">
        <f t="shared" si="56"/>
        <v>0</v>
      </c>
      <c r="S323" s="733">
        <f t="shared" si="58"/>
        <v>0</v>
      </c>
    </row>
    <row r="324" spans="1:19">
      <c r="A324" s="878"/>
      <c r="B324" s="125"/>
      <c r="C324" s="48">
        <f t="shared" si="48"/>
        <v>1</v>
      </c>
      <c r="D324" s="877"/>
      <c r="E324" s="48">
        <f t="shared" si="49"/>
        <v>1</v>
      </c>
      <c r="F324" s="877"/>
      <c r="G324" s="48">
        <f t="shared" si="50"/>
        <v>1</v>
      </c>
      <c r="H324" s="877"/>
      <c r="I324" s="48">
        <f t="shared" si="51"/>
        <v>1</v>
      </c>
      <c r="J324" s="877"/>
      <c r="K324" s="48">
        <f t="shared" si="52"/>
        <v>1</v>
      </c>
      <c r="L324" s="877"/>
      <c r="M324" s="48">
        <f t="shared" si="53"/>
        <v>1</v>
      </c>
      <c r="N324" s="877"/>
      <c r="O324" s="48">
        <f t="shared" si="54"/>
        <v>1</v>
      </c>
      <c r="P324" s="877"/>
      <c r="Q324" s="48">
        <f t="shared" si="55"/>
        <v>1</v>
      </c>
      <c r="R324" s="48">
        <f t="shared" si="56"/>
        <v>0</v>
      </c>
      <c r="S324" s="733">
        <f t="shared" si="58"/>
        <v>0</v>
      </c>
    </row>
    <row r="325" spans="1:19">
      <c r="A325" s="878"/>
      <c r="B325" s="125"/>
      <c r="C325" s="48">
        <f t="shared" si="48"/>
        <v>1</v>
      </c>
      <c r="D325" s="877"/>
      <c r="E325" s="48">
        <f t="shared" si="49"/>
        <v>1</v>
      </c>
      <c r="F325" s="877"/>
      <c r="G325" s="48">
        <f t="shared" si="50"/>
        <v>1</v>
      </c>
      <c r="H325" s="877"/>
      <c r="I325" s="48">
        <f t="shared" si="51"/>
        <v>1</v>
      </c>
      <c r="J325" s="877"/>
      <c r="K325" s="48">
        <f t="shared" si="52"/>
        <v>1</v>
      </c>
      <c r="L325" s="877"/>
      <c r="M325" s="48">
        <f t="shared" si="53"/>
        <v>1</v>
      </c>
      <c r="N325" s="877"/>
      <c r="O325" s="48">
        <f t="shared" si="54"/>
        <v>1</v>
      </c>
      <c r="P325" s="877"/>
      <c r="Q325" s="48">
        <f t="shared" si="55"/>
        <v>1</v>
      </c>
      <c r="R325" s="48">
        <f t="shared" si="56"/>
        <v>0</v>
      </c>
      <c r="S325" s="733">
        <f t="shared" si="58"/>
        <v>0</v>
      </c>
    </row>
    <row r="326" spans="1:19">
      <c r="A326" s="878"/>
      <c r="B326" s="125"/>
      <c r="C326" s="48">
        <f t="shared" si="48"/>
        <v>1</v>
      </c>
      <c r="D326" s="877"/>
      <c r="E326" s="48">
        <f t="shared" si="49"/>
        <v>1</v>
      </c>
      <c r="F326" s="877"/>
      <c r="G326" s="48">
        <f t="shared" si="50"/>
        <v>1</v>
      </c>
      <c r="H326" s="877"/>
      <c r="I326" s="48">
        <f t="shared" si="51"/>
        <v>1</v>
      </c>
      <c r="J326" s="877"/>
      <c r="K326" s="48">
        <f t="shared" si="52"/>
        <v>1</v>
      </c>
      <c r="L326" s="877"/>
      <c r="M326" s="48">
        <f t="shared" si="53"/>
        <v>1</v>
      </c>
      <c r="N326" s="877"/>
      <c r="O326" s="48">
        <f t="shared" si="54"/>
        <v>1</v>
      </c>
      <c r="P326" s="877"/>
      <c r="Q326" s="48">
        <f t="shared" si="55"/>
        <v>1</v>
      </c>
      <c r="R326" s="48">
        <f t="shared" si="56"/>
        <v>0</v>
      </c>
      <c r="S326" s="733">
        <f t="shared" si="58"/>
        <v>0</v>
      </c>
    </row>
    <row r="327" spans="1:19">
      <c r="A327" s="878"/>
      <c r="B327" s="125"/>
      <c r="C327" s="48">
        <f t="shared" si="48"/>
        <v>1</v>
      </c>
      <c r="D327" s="877"/>
      <c r="E327" s="48">
        <f t="shared" si="49"/>
        <v>1</v>
      </c>
      <c r="F327" s="877"/>
      <c r="G327" s="48">
        <f t="shared" si="50"/>
        <v>1</v>
      </c>
      <c r="H327" s="877"/>
      <c r="I327" s="48">
        <f t="shared" si="51"/>
        <v>1</v>
      </c>
      <c r="J327" s="877"/>
      <c r="K327" s="48">
        <f t="shared" si="52"/>
        <v>1</v>
      </c>
      <c r="L327" s="877"/>
      <c r="M327" s="48">
        <f t="shared" si="53"/>
        <v>1</v>
      </c>
      <c r="N327" s="877"/>
      <c r="O327" s="48">
        <f t="shared" si="54"/>
        <v>1</v>
      </c>
      <c r="P327" s="877"/>
      <c r="Q327" s="48">
        <f t="shared" si="55"/>
        <v>1</v>
      </c>
      <c r="R327" s="48">
        <f t="shared" si="56"/>
        <v>0</v>
      </c>
      <c r="S327" s="733">
        <f t="shared" si="58"/>
        <v>0</v>
      </c>
    </row>
    <row r="328" spans="1:19">
      <c r="A328" s="878"/>
      <c r="B328" s="125"/>
      <c r="C328" s="48">
        <f t="shared" si="48"/>
        <v>1</v>
      </c>
      <c r="D328" s="877"/>
      <c r="E328" s="48">
        <f t="shared" si="49"/>
        <v>1</v>
      </c>
      <c r="F328" s="877"/>
      <c r="G328" s="48">
        <f t="shared" si="50"/>
        <v>1</v>
      </c>
      <c r="H328" s="877"/>
      <c r="I328" s="48">
        <f t="shared" si="51"/>
        <v>1</v>
      </c>
      <c r="J328" s="877"/>
      <c r="K328" s="48">
        <f t="shared" si="52"/>
        <v>1</v>
      </c>
      <c r="L328" s="877"/>
      <c r="M328" s="48">
        <f t="shared" si="53"/>
        <v>1</v>
      </c>
      <c r="N328" s="877"/>
      <c r="O328" s="48">
        <f t="shared" si="54"/>
        <v>1</v>
      </c>
      <c r="P328" s="877"/>
      <c r="Q328" s="48">
        <f t="shared" si="55"/>
        <v>1</v>
      </c>
      <c r="R328" s="48">
        <f t="shared" si="56"/>
        <v>0</v>
      </c>
      <c r="S328" s="733">
        <f t="shared" si="58"/>
        <v>0</v>
      </c>
    </row>
    <row r="329" spans="1:19">
      <c r="A329" s="878"/>
      <c r="B329" s="125"/>
      <c r="C329" s="48">
        <f t="shared" si="48"/>
        <v>1</v>
      </c>
      <c r="D329" s="877"/>
      <c r="E329" s="48">
        <f t="shared" si="49"/>
        <v>1</v>
      </c>
      <c r="F329" s="877"/>
      <c r="G329" s="48">
        <f t="shared" si="50"/>
        <v>1</v>
      </c>
      <c r="H329" s="877"/>
      <c r="I329" s="48">
        <f t="shared" si="51"/>
        <v>1</v>
      </c>
      <c r="J329" s="877"/>
      <c r="K329" s="48">
        <f t="shared" si="52"/>
        <v>1</v>
      </c>
      <c r="L329" s="877"/>
      <c r="M329" s="48">
        <f t="shared" si="53"/>
        <v>1</v>
      </c>
      <c r="N329" s="877"/>
      <c r="O329" s="48">
        <f t="shared" si="54"/>
        <v>1</v>
      </c>
      <c r="P329" s="877"/>
      <c r="Q329" s="48">
        <f t="shared" si="55"/>
        <v>1</v>
      </c>
      <c r="R329" s="48">
        <f t="shared" si="56"/>
        <v>0</v>
      </c>
      <c r="S329" s="733">
        <f t="shared" si="58"/>
        <v>0</v>
      </c>
    </row>
    <row r="330" spans="1:19">
      <c r="A330" s="878"/>
      <c r="B330" s="125"/>
      <c r="C330" s="48">
        <f t="shared" si="48"/>
        <v>1</v>
      </c>
      <c r="D330" s="877"/>
      <c r="E330" s="48">
        <f t="shared" si="49"/>
        <v>1</v>
      </c>
      <c r="F330" s="877"/>
      <c r="G330" s="48">
        <f t="shared" si="50"/>
        <v>1</v>
      </c>
      <c r="H330" s="877"/>
      <c r="I330" s="48">
        <f t="shared" si="51"/>
        <v>1</v>
      </c>
      <c r="J330" s="877"/>
      <c r="K330" s="48">
        <f t="shared" si="52"/>
        <v>1</v>
      </c>
      <c r="L330" s="877"/>
      <c r="M330" s="48">
        <f t="shared" si="53"/>
        <v>1</v>
      </c>
      <c r="N330" s="877"/>
      <c r="O330" s="48">
        <f t="shared" si="54"/>
        <v>1</v>
      </c>
      <c r="P330" s="877"/>
      <c r="Q330" s="48">
        <f t="shared" si="55"/>
        <v>1</v>
      </c>
      <c r="R330" s="48">
        <f t="shared" si="56"/>
        <v>0</v>
      </c>
      <c r="S330" s="733">
        <f t="shared" si="58"/>
        <v>0</v>
      </c>
    </row>
    <row r="331" spans="1:19">
      <c r="A331" s="878"/>
      <c r="B331" s="125"/>
      <c r="C331" s="48">
        <f t="shared" si="48"/>
        <v>1</v>
      </c>
      <c r="D331" s="877"/>
      <c r="E331" s="48">
        <f t="shared" si="49"/>
        <v>1</v>
      </c>
      <c r="F331" s="877"/>
      <c r="G331" s="48">
        <f t="shared" si="50"/>
        <v>1</v>
      </c>
      <c r="H331" s="877"/>
      <c r="I331" s="48">
        <f t="shared" si="51"/>
        <v>1</v>
      </c>
      <c r="J331" s="877"/>
      <c r="K331" s="48">
        <f t="shared" si="52"/>
        <v>1</v>
      </c>
      <c r="L331" s="877"/>
      <c r="M331" s="48">
        <f t="shared" si="53"/>
        <v>1</v>
      </c>
      <c r="N331" s="877"/>
      <c r="O331" s="48">
        <f t="shared" si="54"/>
        <v>1</v>
      </c>
      <c r="P331" s="877"/>
      <c r="Q331" s="48">
        <f t="shared" si="55"/>
        <v>1</v>
      </c>
      <c r="R331" s="48">
        <f t="shared" si="56"/>
        <v>0</v>
      </c>
      <c r="S331" s="733">
        <f t="shared" si="58"/>
        <v>0</v>
      </c>
    </row>
    <row r="332" spans="1:19">
      <c r="A332" s="878"/>
      <c r="B332" s="125"/>
      <c r="C332" s="48">
        <f t="shared" si="48"/>
        <v>1</v>
      </c>
      <c r="D332" s="877"/>
      <c r="E332" s="48">
        <f t="shared" si="49"/>
        <v>1</v>
      </c>
      <c r="F332" s="877"/>
      <c r="G332" s="48">
        <f t="shared" si="50"/>
        <v>1</v>
      </c>
      <c r="H332" s="877"/>
      <c r="I332" s="48">
        <f t="shared" si="51"/>
        <v>1</v>
      </c>
      <c r="J332" s="877"/>
      <c r="K332" s="48">
        <f t="shared" si="52"/>
        <v>1</v>
      </c>
      <c r="L332" s="877"/>
      <c r="M332" s="48">
        <f t="shared" si="53"/>
        <v>1</v>
      </c>
      <c r="N332" s="877"/>
      <c r="O332" s="48">
        <f t="shared" si="54"/>
        <v>1</v>
      </c>
      <c r="P332" s="877"/>
      <c r="Q332" s="48">
        <f t="shared" si="55"/>
        <v>1</v>
      </c>
      <c r="R332" s="48">
        <f t="shared" si="56"/>
        <v>0</v>
      </c>
      <c r="S332" s="733">
        <f t="shared" si="58"/>
        <v>0</v>
      </c>
    </row>
    <row r="333" spans="1:19">
      <c r="A333" s="878"/>
      <c r="B333" s="125"/>
      <c r="C333" s="48">
        <f t="shared" si="48"/>
        <v>1</v>
      </c>
      <c r="D333" s="877"/>
      <c r="E333" s="48">
        <f t="shared" si="49"/>
        <v>1</v>
      </c>
      <c r="F333" s="877"/>
      <c r="G333" s="48">
        <f t="shared" si="50"/>
        <v>1</v>
      </c>
      <c r="H333" s="877"/>
      <c r="I333" s="48">
        <f t="shared" si="51"/>
        <v>1</v>
      </c>
      <c r="J333" s="877"/>
      <c r="K333" s="48">
        <f t="shared" si="52"/>
        <v>1</v>
      </c>
      <c r="L333" s="877"/>
      <c r="M333" s="48">
        <f t="shared" si="53"/>
        <v>1</v>
      </c>
      <c r="N333" s="877"/>
      <c r="O333" s="48">
        <f t="shared" si="54"/>
        <v>1</v>
      </c>
      <c r="P333" s="877"/>
      <c r="Q333" s="48">
        <f t="shared" si="55"/>
        <v>1</v>
      </c>
      <c r="R333" s="48">
        <f t="shared" si="56"/>
        <v>0</v>
      </c>
      <c r="S333" s="733">
        <f t="shared" si="58"/>
        <v>0</v>
      </c>
    </row>
    <row r="334" spans="1:19">
      <c r="A334" s="878"/>
      <c r="B334" s="125"/>
      <c r="C334" s="48">
        <f t="shared" si="48"/>
        <v>1</v>
      </c>
      <c r="D334" s="877"/>
      <c r="E334" s="48">
        <f t="shared" si="49"/>
        <v>1</v>
      </c>
      <c r="F334" s="877"/>
      <c r="G334" s="48">
        <f t="shared" si="50"/>
        <v>1</v>
      </c>
      <c r="H334" s="877"/>
      <c r="I334" s="48">
        <f t="shared" si="51"/>
        <v>1</v>
      </c>
      <c r="J334" s="877"/>
      <c r="K334" s="48">
        <f t="shared" si="52"/>
        <v>1</v>
      </c>
      <c r="L334" s="877"/>
      <c r="M334" s="48">
        <f t="shared" si="53"/>
        <v>1</v>
      </c>
      <c r="N334" s="877"/>
      <c r="O334" s="48">
        <f t="shared" si="54"/>
        <v>1</v>
      </c>
      <c r="P334" s="877"/>
      <c r="Q334" s="48">
        <f t="shared" si="55"/>
        <v>1</v>
      </c>
      <c r="R334" s="48">
        <f t="shared" si="56"/>
        <v>0</v>
      </c>
      <c r="S334" s="733">
        <f t="shared" si="58"/>
        <v>0</v>
      </c>
    </row>
    <row r="335" spans="1:19">
      <c r="A335" s="878"/>
      <c r="B335" s="125"/>
      <c r="C335" s="48">
        <f t="shared" si="48"/>
        <v>1</v>
      </c>
      <c r="D335" s="877"/>
      <c r="E335" s="48">
        <f t="shared" si="49"/>
        <v>1</v>
      </c>
      <c r="F335" s="877"/>
      <c r="G335" s="48">
        <f t="shared" si="50"/>
        <v>1</v>
      </c>
      <c r="H335" s="877"/>
      <c r="I335" s="48">
        <f t="shared" si="51"/>
        <v>1</v>
      </c>
      <c r="J335" s="877"/>
      <c r="K335" s="48">
        <f t="shared" si="52"/>
        <v>1</v>
      </c>
      <c r="L335" s="877"/>
      <c r="M335" s="48">
        <f t="shared" si="53"/>
        <v>1</v>
      </c>
      <c r="N335" s="877"/>
      <c r="O335" s="48">
        <f t="shared" si="54"/>
        <v>1</v>
      </c>
      <c r="P335" s="877"/>
      <c r="Q335" s="48">
        <f t="shared" si="55"/>
        <v>1</v>
      </c>
      <c r="R335" s="48">
        <f t="shared" si="56"/>
        <v>0</v>
      </c>
      <c r="S335" s="733">
        <f t="shared" si="58"/>
        <v>0</v>
      </c>
    </row>
    <row r="336" spans="1:19">
      <c r="A336" s="878"/>
      <c r="B336" s="125"/>
      <c r="C336" s="48">
        <f t="shared" si="48"/>
        <v>1</v>
      </c>
      <c r="D336" s="877"/>
      <c r="E336" s="48">
        <f t="shared" si="49"/>
        <v>1</v>
      </c>
      <c r="F336" s="877"/>
      <c r="G336" s="48">
        <f t="shared" si="50"/>
        <v>1</v>
      </c>
      <c r="H336" s="877"/>
      <c r="I336" s="48">
        <f t="shared" si="51"/>
        <v>1</v>
      </c>
      <c r="J336" s="877"/>
      <c r="K336" s="48">
        <f t="shared" si="52"/>
        <v>1</v>
      </c>
      <c r="L336" s="877"/>
      <c r="M336" s="48">
        <f t="shared" si="53"/>
        <v>1</v>
      </c>
      <c r="N336" s="877"/>
      <c r="O336" s="48">
        <f t="shared" si="54"/>
        <v>1</v>
      </c>
      <c r="P336" s="877"/>
      <c r="Q336" s="48">
        <f t="shared" si="55"/>
        <v>1</v>
      </c>
      <c r="R336" s="48">
        <f t="shared" si="56"/>
        <v>0</v>
      </c>
      <c r="S336" s="733">
        <f t="shared" si="58"/>
        <v>0</v>
      </c>
    </row>
    <row r="337" spans="1:19">
      <c r="A337" s="878"/>
      <c r="B337" s="125"/>
      <c r="C337" s="48">
        <f t="shared" si="48"/>
        <v>1</v>
      </c>
      <c r="D337" s="877"/>
      <c r="E337" s="48">
        <f t="shared" si="49"/>
        <v>1</v>
      </c>
      <c r="F337" s="877"/>
      <c r="G337" s="48">
        <f t="shared" si="50"/>
        <v>1</v>
      </c>
      <c r="H337" s="877"/>
      <c r="I337" s="48">
        <f t="shared" si="51"/>
        <v>1</v>
      </c>
      <c r="J337" s="877"/>
      <c r="K337" s="48">
        <f t="shared" si="52"/>
        <v>1</v>
      </c>
      <c r="L337" s="877"/>
      <c r="M337" s="48">
        <f t="shared" si="53"/>
        <v>1</v>
      </c>
      <c r="N337" s="877"/>
      <c r="O337" s="48">
        <f t="shared" si="54"/>
        <v>1</v>
      </c>
      <c r="P337" s="877"/>
      <c r="Q337" s="48">
        <f t="shared" si="55"/>
        <v>1</v>
      </c>
      <c r="R337" s="48">
        <f t="shared" si="56"/>
        <v>0</v>
      </c>
      <c r="S337" s="733">
        <f t="shared" si="58"/>
        <v>0</v>
      </c>
    </row>
    <row r="338" spans="1:19">
      <c r="A338" s="878"/>
      <c r="B338" s="125"/>
      <c r="C338" s="48">
        <f t="shared" si="48"/>
        <v>1</v>
      </c>
      <c r="D338" s="877"/>
      <c r="E338" s="48">
        <f t="shared" si="49"/>
        <v>1</v>
      </c>
      <c r="F338" s="877"/>
      <c r="G338" s="48">
        <f t="shared" si="50"/>
        <v>1</v>
      </c>
      <c r="H338" s="877"/>
      <c r="I338" s="48">
        <f t="shared" si="51"/>
        <v>1</v>
      </c>
      <c r="J338" s="877"/>
      <c r="K338" s="48">
        <f t="shared" si="52"/>
        <v>1</v>
      </c>
      <c r="L338" s="877"/>
      <c r="M338" s="48">
        <f t="shared" si="53"/>
        <v>1</v>
      </c>
      <c r="N338" s="877"/>
      <c r="O338" s="48">
        <f t="shared" si="54"/>
        <v>1</v>
      </c>
      <c r="P338" s="877"/>
      <c r="Q338" s="48">
        <f t="shared" si="55"/>
        <v>1</v>
      </c>
      <c r="R338" s="48">
        <f t="shared" si="56"/>
        <v>0</v>
      </c>
      <c r="S338" s="733">
        <f t="shared" si="58"/>
        <v>0</v>
      </c>
    </row>
    <row r="339" spans="1:19">
      <c r="A339" s="878"/>
      <c r="B339" s="125"/>
      <c r="C339" s="48">
        <f t="shared" si="48"/>
        <v>1</v>
      </c>
      <c r="D339" s="877"/>
      <c r="E339" s="48">
        <f t="shared" si="49"/>
        <v>1</v>
      </c>
      <c r="F339" s="877"/>
      <c r="G339" s="48">
        <f t="shared" si="50"/>
        <v>1</v>
      </c>
      <c r="H339" s="877"/>
      <c r="I339" s="48">
        <f t="shared" si="51"/>
        <v>1</v>
      </c>
      <c r="J339" s="877"/>
      <c r="K339" s="48">
        <f t="shared" si="52"/>
        <v>1</v>
      </c>
      <c r="L339" s="877"/>
      <c r="M339" s="48">
        <f t="shared" si="53"/>
        <v>1</v>
      </c>
      <c r="N339" s="877"/>
      <c r="O339" s="48">
        <f t="shared" si="54"/>
        <v>1</v>
      </c>
      <c r="P339" s="877"/>
      <c r="Q339" s="48">
        <f t="shared" si="55"/>
        <v>1</v>
      </c>
      <c r="R339" s="48">
        <f t="shared" si="56"/>
        <v>0</v>
      </c>
      <c r="S339" s="733">
        <f t="shared" si="58"/>
        <v>0</v>
      </c>
    </row>
    <row r="340" spans="1:19">
      <c r="A340" s="878"/>
      <c r="B340" s="125"/>
      <c r="C340" s="48">
        <f t="shared" si="48"/>
        <v>1</v>
      </c>
      <c r="D340" s="877"/>
      <c r="E340" s="48">
        <f t="shared" si="49"/>
        <v>1</v>
      </c>
      <c r="F340" s="877"/>
      <c r="G340" s="48">
        <f t="shared" si="50"/>
        <v>1</v>
      </c>
      <c r="H340" s="877"/>
      <c r="I340" s="48">
        <f t="shared" si="51"/>
        <v>1</v>
      </c>
      <c r="J340" s="877"/>
      <c r="K340" s="48">
        <f t="shared" si="52"/>
        <v>1</v>
      </c>
      <c r="L340" s="877"/>
      <c r="M340" s="48">
        <f t="shared" si="53"/>
        <v>1</v>
      </c>
      <c r="N340" s="877"/>
      <c r="O340" s="48">
        <f t="shared" si="54"/>
        <v>1</v>
      </c>
      <c r="P340" s="877"/>
      <c r="Q340" s="48">
        <f t="shared" si="55"/>
        <v>1</v>
      </c>
      <c r="R340" s="48">
        <f t="shared" si="56"/>
        <v>0</v>
      </c>
      <c r="S340" s="733">
        <f t="shared" si="58"/>
        <v>0</v>
      </c>
    </row>
    <row r="341" spans="1:19">
      <c r="A341" s="878"/>
      <c r="B341" s="125"/>
      <c r="C341" s="48">
        <f t="shared" si="48"/>
        <v>1</v>
      </c>
      <c r="D341" s="877"/>
      <c r="E341" s="48">
        <f t="shared" si="49"/>
        <v>1</v>
      </c>
      <c r="F341" s="877"/>
      <c r="G341" s="48">
        <f t="shared" si="50"/>
        <v>1</v>
      </c>
      <c r="H341" s="877"/>
      <c r="I341" s="48">
        <f t="shared" si="51"/>
        <v>1</v>
      </c>
      <c r="J341" s="877"/>
      <c r="K341" s="48">
        <f t="shared" si="52"/>
        <v>1</v>
      </c>
      <c r="L341" s="877"/>
      <c r="M341" s="48">
        <f t="shared" si="53"/>
        <v>1</v>
      </c>
      <c r="N341" s="877"/>
      <c r="O341" s="48">
        <f t="shared" si="54"/>
        <v>1</v>
      </c>
      <c r="P341" s="877"/>
      <c r="Q341" s="48">
        <f t="shared" si="55"/>
        <v>1</v>
      </c>
      <c r="R341" s="48">
        <f t="shared" si="56"/>
        <v>0</v>
      </c>
      <c r="S341" s="733">
        <f t="shared" si="58"/>
        <v>0</v>
      </c>
    </row>
    <row r="342" spans="1:19">
      <c r="A342" s="878"/>
      <c r="B342" s="125"/>
      <c r="C342" s="48">
        <f t="shared" si="48"/>
        <v>1</v>
      </c>
      <c r="D342" s="877"/>
      <c r="E342" s="48">
        <f t="shared" si="49"/>
        <v>1</v>
      </c>
      <c r="F342" s="877"/>
      <c r="G342" s="48">
        <f t="shared" si="50"/>
        <v>1</v>
      </c>
      <c r="H342" s="877"/>
      <c r="I342" s="48">
        <f t="shared" si="51"/>
        <v>1</v>
      </c>
      <c r="J342" s="877"/>
      <c r="K342" s="48">
        <f t="shared" si="52"/>
        <v>1</v>
      </c>
      <c r="L342" s="877"/>
      <c r="M342" s="48">
        <f t="shared" si="53"/>
        <v>1</v>
      </c>
      <c r="N342" s="877"/>
      <c r="O342" s="48">
        <f t="shared" si="54"/>
        <v>1</v>
      </c>
      <c r="P342" s="877"/>
      <c r="Q342" s="48">
        <f t="shared" si="55"/>
        <v>1</v>
      </c>
      <c r="R342" s="48">
        <f t="shared" si="56"/>
        <v>0</v>
      </c>
      <c r="S342" s="733">
        <f t="shared" si="58"/>
        <v>0</v>
      </c>
    </row>
    <row r="343" spans="1:19">
      <c r="A343" s="878"/>
      <c r="B343" s="125"/>
      <c r="C343" s="48">
        <f t="shared" si="48"/>
        <v>1</v>
      </c>
      <c r="D343" s="877"/>
      <c r="E343" s="48">
        <f t="shared" si="49"/>
        <v>1</v>
      </c>
      <c r="F343" s="877"/>
      <c r="G343" s="48">
        <f t="shared" si="50"/>
        <v>1</v>
      </c>
      <c r="H343" s="877"/>
      <c r="I343" s="48">
        <f t="shared" si="51"/>
        <v>1</v>
      </c>
      <c r="J343" s="877"/>
      <c r="K343" s="48">
        <f t="shared" si="52"/>
        <v>1</v>
      </c>
      <c r="L343" s="877"/>
      <c r="M343" s="48">
        <f t="shared" si="53"/>
        <v>1</v>
      </c>
      <c r="N343" s="877"/>
      <c r="O343" s="48">
        <f t="shared" si="54"/>
        <v>1</v>
      </c>
      <c r="P343" s="877"/>
      <c r="Q343" s="48">
        <f t="shared" si="55"/>
        <v>1</v>
      </c>
      <c r="R343" s="48">
        <f t="shared" si="56"/>
        <v>0</v>
      </c>
      <c r="S343" s="733">
        <f t="shared" si="58"/>
        <v>0</v>
      </c>
    </row>
    <row r="344" spans="1:19">
      <c r="A344" s="878"/>
      <c r="B344" s="125"/>
      <c r="C344" s="48">
        <f t="shared" si="48"/>
        <v>1</v>
      </c>
      <c r="D344" s="877"/>
      <c r="E344" s="48">
        <f t="shared" si="49"/>
        <v>1</v>
      </c>
      <c r="F344" s="877"/>
      <c r="G344" s="48">
        <f t="shared" si="50"/>
        <v>1</v>
      </c>
      <c r="H344" s="877"/>
      <c r="I344" s="48">
        <f t="shared" si="51"/>
        <v>1</v>
      </c>
      <c r="J344" s="877"/>
      <c r="K344" s="48">
        <f t="shared" si="52"/>
        <v>1</v>
      </c>
      <c r="L344" s="877"/>
      <c r="M344" s="48">
        <f t="shared" si="53"/>
        <v>1</v>
      </c>
      <c r="N344" s="877"/>
      <c r="O344" s="48">
        <f t="shared" si="54"/>
        <v>1</v>
      </c>
      <c r="P344" s="877"/>
      <c r="Q344" s="48">
        <f t="shared" si="55"/>
        <v>1</v>
      </c>
      <c r="R344" s="48">
        <f t="shared" si="56"/>
        <v>0</v>
      </c>
      <c r="S344" s="733">
        <f t="shared" si="58"/>
        <v>0</v>
      </c>
    </row>
    <row r="345" spans="1:19">
      <c r="A345" s="878"/>
      <c r="B345" s="125"/>
      <c r="C345" s="48">
        <f t="shared" si="48"/>
        <v>1</v>
      </c>
      <c r="D345" s="877"/>
      <c r="E345" s="48">
        <f t="shared" si="49"/>
        <v>1</v>
      </c>
      <c r="F345" s="877"/>
      <c r="G345" s="48">
        <f t="shared" si="50"/>
        <v>1</v>
      </c>
      <c r="H345" s="877"/>
      <c r="I345" s="48">
        <f t="shared" si="51"/>
        <v>1</v>
      </c>
      <c r="J345" s="877"/>
      <c r="K345" s="48">
        <f t="shared" si="52"/>
        <v>1</v>
      </c>
      <c r="L345" s="877"/>
      <c r="M345" s="48">
        <f t="shared" si="53"/>
        <v>1</v>
      </c>
      <c r="N345" s="877"/>
      <c r="O345" s="48">
        <f t="shared" si="54"/>
        <v>1</v>
      </c>
      <c r="P345" s="877"/>
      <c r="Q345" s="48">
        <f t="shared" si="55"/>
        <v>1</v>
      </c>
      <c r="R345" s="48">
        <f t="shared" si="56"/>
        <v>0</v>
      </c>
      <c r="S345" s="733">
        <f t="shared" si="58"/>
        <v>0</v>
      </c>
    </row>
    <row r="346" spans="1:19">
      <c r="A346" s="878"/>
      <c r="B346" s="125"/>
      <c r="C346" s="48">
        <f t="shared" ref="C346:C409" si="59">IF(B346="",1,(LOOKUP(B346,$3:$3,$4:$4)-LOOKUP($B$24,$3:$3,$4:$4)+100)/100)</f>
        <v>1</v>
      </c>
      <c r="D346" s="877"/>
      <c r="E346" s="48">
        <f t="shared" ref="E346:E409" si="60">(SUMIF($5:$5,D346,$6:$6)-SUMIF($5:$5,$D$24,$6:$6)+100)/100</f>
        <v>1</v>
      </c>
      <c r="F346" s="877"/>
      <c r="G346" s="48">
        <f t="shared" ref="G346:G409" si="61">(SUMIF($7:$7,F346,$8:$8)-SUMIF($7:$7,$F$24,$8:$8)+100)/100</f>
        <v>1</v>
      </c>
      <c r="H346" s="877"/>
      <c r="I346" s="48">
        <f t="shared" ref="I346:I409" si="62">(SUMIF($9:$9,H346,$10:$10)-SUMIF($9:$9,$H$24,$10:$10)+100)/100</f>
        <v>1</v>
      </c>
      <c r="J346" s="877"/>
      <c r="K346" s="48">
        <f t="shared" ref="K346:K409" si="63">(SUMIF($11:$11,J346,$12:$12)-SUMIF($11:$11,$J$24,$12:$12)+100)/100</f>
        <v>1</v>
      </c>
      <c r="L346" s="877"/>
      <c r="M346" s="48">
        <f t="shared" ref="M346:M409" si="64">(SUMIF($13:$13,L346,$14:$14)-SUMIF($13:$13,$L$24,$14:$14)+100)/100</f>
        <v>1</v>
      </c>
      <c r="N346" s="877"/>
      <c r="O346" s="48">
        <f t="shared" ref="O346:O409" si="65">(SUMIF($15:$15,N346,$16:$16)-SUMIF($15:$15,$N$24,$16:$16)+100)/100</f>
        <v>1</v>
      </c>
      <c r="P346" s="877"/>
      <c r="Q346" s="48">
        <f t="shared" ref="Q346:Q409" si="66">(SUMIF($17:$17,P346,$18:$18)-SUMIF($17:$17,$P$24,$18:$18)+100)/100</f>
        <v>1</v>
      </c>
      <c r="R346" s="48">
        <f t="shared" ref="R346:R409" si="67">IF(B346="",0,ROUND($R$24*C346*E346*G346*I346*K346*M346*O346*Q346,0))</f>
        <v>0</v>
      </c>
      <c r="S346" s="733">
        <f t="shared" si="58"/>
        <v>0</v>
      </c>
    </row>
    <row r="347" spans="1:19">
      <c r="A347" s="878"/>
      <c r="B347" s="125"/>
      <c r="C347" s="48">
        <f t="shared" si="59"/>
        <v>1</v>
      </c>
      <c r="D347" s="877"/>
      <c r="E347" s="48">
        <f t="shared" si="60"/>
        <v>1</v>
      </c>
      <c r="F347" s="877"/>
      <c r="G347" s="48">
        <f t="shared" si="61"/>
        <v>1</v>
      </c>
      <c r="H347" s="877"/>
      <c r="I347" s="48">
        <f t="shared" si="62"/>
        <v>1</v>
      </c>
      <c r="J347" s="877"/>
      <c r="K347" s="48">
        <f t="shared" si="63"/>
        <v>1</v>
      </c>
      <c r="L347" s="877"/>
      <c r="M347" s="48">
        <f t="shared" si="64"/>
        <v>1</v>
      </c>
      <c r="N347" s="877"/>
      <c r="O347" s="48">
        <f t="shared" si="65"/>
        <v>1</v>
      </c>
      <c r="P347" s="877"/>
      <c r="Q347" s="48">
        <f t="shared" si="66"/>
        <v>1</v>
      </c>
      <c r="R347" s="48">
        <f t="shared" si="67"/>
        <v>0</v>
      </c>
      <c r="S347" s="733">
        <f t="shared" si="58"/>
        <v>0</v>
      </c>
    </row>
    <row r="348" spans="1:19">
      <c r="A348" s="878"/>
      <c r="B348" s="125"/>
      <c r="C348" s="48">
        <f t="shared" si="59"/>
        <v>1</v>
      </c>
      <c r="D348" s="877"/>
      <c r="E348" s="48">
        <f t="shared" si="60"/>
        <v>1</v>
      </c>
      <c r="F348" s="877"/>
      <c r="G348" s="48">
        <f t="shared" si="61"/>
        <v>1</v>
      </c>
      <c r="H348" s="877"/>
      <c r="I348" s="48">
        <f t="shared" si="62"/>
        <v>1</v>
      </c>
      <c r="J348" s="877"/>
      <c r="K348" s="48">
        <f t="shared" si="63"/>
        <v>1</v>
      </c>
      <c r="L348" s="877"/>
      <c r="M348" s="48">
        <f t="shared" si="64"/>
        <v>1</v>
      </c>
      <c r="N348" s="877"/>
      <c r="O348" s="48">
        <f t="shared" si="65"/>
        <v>1</v>
      </c>
      <c r="P348" s="877"/>
      <c r="Q348" s="48">
        <f t="shared" si="66"/>
        <v>1</v>
      </c>
      <c r="R348" s="48">
        <f t="shared" si="67"/>
        <v>0</v>
      </c>
      <c r="S348" s="733">
        <f t="shared" si="58"/>
        <v>0</v>
      </c>
    </row>
    <row r="349" spans="1:19">
      <c r="A349" s="878"/>
      <c r="B349" s="125"/>
      <c r="C349" s="48">
        <f t="shared" si="59"/>
        <v>1</v>
      </c>
      <c r="D349" s="877"/>
      <c r="E349" s="48">
        <f t="shared" si="60"/>
        <v>1</v>
      </c>
      <c r="F349" s="877"/>
      <c r="G349" s="48">
        <f t="shared" si="61"/>
        <v>1</v>
      </c>
      <c r="H349" s="877"/>
      <c r="I349" s="48">
        <f t="shared" si="62"/>
        <v>1</v>
      </c>
      <c r="J349" s="877"/>
      <c r="K349" s="48">
        <f t="shared" si="63"/>
        <v>1</v>
      </c>
      <c r="L349" s="877"/>
      <c r="M349" s="48">
        <f t="shared" si="64"/>
        <v>1</v>
      </c>
      <c r="N349" s="877"/>
      <c r="O349" s="48">
        <f t="shared" si="65"/>
        <v>1</v>
      </c>
      <c r="P349" s="877"/>
      <c r="Q349" s="48">
        <f t="shared" si="66"/>
        <v>1</v>
      </c>
      <c r="R349" s="48">
        <f t="shared" si="67"/>
        <v>0</v>
      </c>
      <c r="S349" s="733">
        <f t="shared" si="58"/>
        <v>0</v>
      </c>
    </row>
    <row r="350" spans="1:19">
      <c r="A350" s="878"/>
      <c r="B350" s="125"/>
      <c r="C350" s="48">
        <f t="shared" si="59"/>
        <v>1</v>
      </c>
      <c r="D350" s="877"/>
      <c r="E350" s="48">
        <f t="shared" si="60"/>
        <v>1</v>
      </c>
      <c r="F350" s="877"/>
      <c r="G350" s="48">
        <f t="shared" si="61"/>
        <v>1</v>
      </c>
      <c r="H350" s="877"/>
      <c r="I350" s="48">
        <f t="shared" si="62"/>
        <v>1</v>
      </c>
      <c r="J350" s="877"/>
      <c r="K350" s="48">
        <f t="shared" si="63"/>
        <v>1</v>
      </c>
      <c r="L350" s="877"/>
      <c r="M350" s="48">
        <f t="shared" si="64"/>
        <v>1</v>
      </c>
      <c r="N350" s="877"/>
      <c r="O350" s="48">
        <f t="shared" si="65"/>
        <v>1</v>
      </c>
      <c r="P350" s="877"/>
      <c r="Q350" s="48">
        <f t="shared" si="66"/>
        <v>1</v>
      </c>
      <c r="R350" s="48">
        <f t="shared" si="67"/>
        <v>0</v>
      </c>
      <c r="S350" s="733">
        <f t="shared" si="58"/>
        <v>0</v>
      </c>
    </row>
    <row r="351" spans="1:19">
      <c r="A351" s="878"/>
      <c r="B351" s="125"/>
      <c r="C351" s="48">
        <f t="shared" si="59"/>
        <v>1</v>
      </c>
      <c r="D351" s="877"/>
      <c r="E351" s="48">
        <f t="shared" si="60"/>
        <v>1</v>
      </c>
      <c r="F351" s="877"/>
      <c r="G351" s="48">
        <f t="shared" si="61"/>
        <v>1</v>
      </c>
      <c r="H351" s="877"/>
      <c r="I351" s="48">
        <f t="shared" si="62"/>
        <v>1</v>
      </c>
      <c r="J351" s="877"/>
      <c r="K351" s="48">
        <f t="shared" si="63"/>
        <v>1</v>
      </c>
      <c r="L351" s="877"/>
      <c r="M351" s="48">
        <f t="shared" si="64"/>
        <v>1</v>
      </c>
      <c r="N351" s="877"/>
      <c r="O351" s="48">
        <f t="shared" si="65"/>
        <v>1</v>
      </c>
      <c r="P351" s="877"/>
      <c r="Q351" s="48">
        <f t="shared" si="66"/>
        <v>1</v>
      </c>
      <c r="R351" s="48">
        <f t="shared" si="67"/>
        <v>0</v>
      </c>
      <c r="S351" s="733">
        <f t="shared" si="58"/>
        <v>0</v>
      </c>
    </row>
    <row r="352" spans="1:19">
      <c r="A352" s="878"/>
      <c r="B352" s="125"/>
      <c r="C352" s="48">
        <f t="shared" si="59"/>
        <v>1</v>
      </c>
      <c r="D352" s="877"/>
      <c r="E352" s="48">
        <f t="shared" si="60"/>
        <v>1</v>
      </c>
      <c r="F352" s="877"/>
      <c r="G352" s="48">
        <f t="shared" si="61"/>
        <v>1</v>
      </c>
      <c r="H352" s="877"/>
      <c r="I352" s="48">
        <f t="shared" si="62"/>
        <v>1</v>
      </c>
      <c r="J352" s="877"/>
      <c r="K352" s="48">
        <f t="shared" si="63"/>
        <v>1</v>
      </c>
      <c r="L352" s="877"/>
      <c r="M352" s="48">
        <f t="shared" si="64"/>
        <v>1</v>
      </c>
      <c r="N352" s="877"/>
      <c r="O352" s="48">
        <f t="shared" si="65"/>
        <v>1</v>
      </c>
      <c r="P352" s="877"/>
      <c r="Q352" s="48">
        <f t="shared" si="66"/>
        <v>1</v>
      </c>
      <c r="R352" s="48">
        <f t="shared" si="67"/>
        <v>0</v>
      </c>
      <c r="S352" s="733">
        <f t="shared" si="58"/>
        <v>0</v>
      </c>
    </row>
    <row r="353" spans="1:19">
      <c r="A353" s="878"/>
      <c r="B353" s="125"/>
      <c r="C353" s="48">
        <f t="shared" si="59"/>
        <v>1</v>
      </c>
      <c r="D353" s="877"/>
      <c r="E353" s="48">
        <f t="shared" si="60"/>
        <v>1</v>
      </c>
      <c r="F353" s="877"/>
      <c r="G353" s="48">
        <f t="shared" si="61"/>
        <v>1</v>
      </c>
      <c r="H353" s="877"/>
      <c r="I353" s="48">
        <f t="shared" si="62"/>
        <v>1</v>
      </c>
      <c r="J353" s="877"/>
      <c r="K353" s="48">
        <f t="shared" si="63"/>
        <v>1</v>
      </c>
      <c r="L353" s="877"/>
      <c r="M353" s="48">
        <f t="shared" si="64"/>
        <v>1</v>
      </c>
      <c r="N353" s="877"/>
      <c r="O353" s="48">
        <f t="shared" si="65"/>
        <v>1</v>
      </c>
      <c r="P353" s="877"/>
      <c r="Q353" s="48">
        <f t="shared" si="66"/>
        <v>1</v>
      </c>
      <c r="R353" s="48">
        <f t="shared" si="67"/>
        <v>0</v>
      </c>
      <c r="S353" s="733">
        <f t="shared" si="58"/>
        <v>0</v>
      </c>
    </row>
    <row r="354" spans="1:19">
      <c r="A354" s="878"/>
      <c r="B354" s="125"/>
      <c r="C354" s="48">
        <f t="shared" si="59"/>
        <v>1</v>
      </c>
      <c r="D354" s="877"/>
      <c r="E354" s="48">
        <f t="shared" si="60"/>
        <v>1</v>
      </c>
      <c r="F354" s="877"/>
      <c r="G354" s="48">
        <f t="shared" si="61"/>
        <v>1</v>
      </c>
      <c r="H354" s="877"/>
      <c r="I354" s="48">
        <f t="shared" si="62"/>
        <v>1</v>
      </c>
      <c r="J354" s="877"/>
      <c r="K354" s="48">
        <f t="shared" si="63"/>
        <v>1</v>
      </c>
      <c r="L354" s="877"/>
      <c r="M354" s="48">
        <f t="shared" si="64"/>
        <v>1</v>
      </c>
      <c r="N354" s="877"/>
      <c r="O354" s="48">
        <f t="shared" si="65"/>
        <v>1</v>
      </c>
      <c r="P354" s="877"/>
      <c r="Q354" s="48">
        <f t="shared" si="66"/>
        <v>1</v>
      </c>
      <c r="R354" s="48">
        <f t="shared" si="67"/>
        <v>0</v>
      </c>
      <c r="S354" s="733">
        <f t="shared" si="58"/>
        <v>0</v>
      </c>
    </row>
    <row r="355" spans="1:19">
      <c r="A355" s="878"/>
      <c r="B355" s="125"/>
      <c r="C355" s="48">
        <f t="shared" si="59"/>
        <v>1</v>
      </c>
      <c r="D355" s="877"/>
      <c r="E355" s="48">
        <f t="shared" si="60"/>
        <v>1</v>
      </c>
      <c r="F355" s="877"/>
      <c r="G355" s="48">
        <f t="shared" si="61"/>
        <v>1</v>
      </c>
      <c r="H355" s="877"/>
      <c r="I355" s="48">
        <f t="shared" si="62"/>
        <v>1</v>
      </c>
      <c r="J355" s="877"/>
      <c r="K355" s="48">
        <f t="shared" si="63"/>
        <v>1</v>
      </c>
      <c r="L355" s="877"/>
      <c r="M355" s="48">
        <f t="shared" si="64"/>
        <v>1</v>
      </c>
      <c r="N355" s="877"/>
      <c r="O355" s="48">
        <f t="shared" si="65"/>
        <v>1</v>
      </c>
      <c r="P355" s="877"/>
      <c r="Q355" s="48">
        <f t="shared" si="66"/>
        <v>1</v>
      </c>
      <c r="R355" s="48">
        <f t="shared" si="67"/>
        <v>0</v>
      </c>
      <c r="S355" s="733">
        <f t="shared" si="58"/>
        <v>0</v>
      </c>
    </row>
    <row r="356" spans="1:19">
      <c r="A356" s="878"/>
      <c r="B356" s="125"/>
      <c r="C356" s="48">
        <f t="shared" si="59"/>
        <v>1</v>
      </c>
      <c r="D356" s="877"/>
      <c r="E356" s="48">
        <f t="shared" si="60"/>
        <v>1</v>
      </c>
      <c r="F356" s="877"/>
      <c r="G356" s="48">
        <f t="shared" si="61"/>
        <v>1</v>
      </c>
      <c r="H356" s="877"/>
      <c r="I356" s="48">
        <f t="shared" si="62"/>
        <v>1</v>
      </c>
      <c r="J356" s="877"/>
      <c r="K356" s="48">
        <f t="shared" si="63"/>
        <v>1</v>
      </c>
      <c r="L356" s="877"/>
      <c r="M356" s="48">
        <f t="shared" si="64"/>
        <v>1</v>
      </c>
      <c r="N356" s="877"/>
      <c r="O356" s="48">
        <f t="shared" si="65"/>
        <v>1</v>
      </c>
      <c r="P356" s="877"/>
      <c r="Q356" s="48">
        <f t="shared" si="66"/>
        <v>1</v>
      </c>
      <c r="R356" s="48">
        <f t="shared" si="67"/>
        <v>0</v>
      </c>
      <c r="S356" s="733">
        <f t="shared" si="58"/>
        <v>0</v>
      </c>
    </row>
    <row r="357" spans="1:19">
      <c r="A357" s="878"/>
      <c r="B357" s="125"/>
      <c r="C357" s="48">
        <f t="shared" si="59"/>
        <v>1</v>
      </c>
      <c r="D357" s="877"/>
      <c r="E357" s="48">
        <f t="shared" si="60"/>
        <v>1</v>
      </c>
      <c r="F357" s="877"/>
      <c r="G357" s="48">
        <f t="shared" si="61"/>
        <v>1</v>
      </c>
      <c r="H357" s="877"/>
      <c r="I357" s="48">
        <f t="shared" si="62"/>
        <v>1</v>
      </c>
      <c r="J357" s="877"/>
      <c r="K357" s="48">
        <f t="shared" si="63"/>
        <v>1</v>
      </c>
      <c r="L357" s="877"/>
      <c r="M357" s="48">
        <f t="shared" si="64"/>
        <v>1</v>
      </c>
      <c r="N357" s="877"/>
      <c r="O357" s="48">
        <f t="shared" si="65"/>
        <v>1</v>
      </c>
      <c r="P357" s="877"/>
      <c r="Q357" s="48">
        <f t="shared" si="66"/>
        <v>1</v>
      </c>
      <c r="R357" s="48">
        <f t="shared" si="67"/>
        <v>0</v>
      </c>
      <c r="S357" s="733">
        <f t="shared" si="58"/>
        <v>0</v>
      </c>
    </row>
    <row r="358" spans="1:19">
      <c r="A358" s="878"/>
      <c r="B358" s="125"/>
      <c r="C358" s="48">
        <f t="shared" si="59"/>
        <v>1</v>
      </c>
      <c r="D358" s="877"/>
      <c r="E358" s="48">
        <f t="shared" si="60"/>
        <v>1</v>
      </c>
      <c r="F358" s="877"/>
      <c r="G358" s="48">
        <f t="shared" si="61"/>
        <v>1</v>
      </c>
      <c r="H358" s="877"/>
      <c r="I358" s="48">
        <f t="shared" si="62"/>
        <v>1</v>
      </c>
      <c r="J358" s="877"/>
      <c r="K358" s="48">
        <f t="shared" si="63"/>
        <v>1</v>
      </c>
      <c r="L358" s="877"/>
      <c r="M358" s="48">
        <f t="shared" si="64"/>
        <v>1</v>
      </c>
      <c r="N358" s="877"/>
      <c r="O358" s="48">
        <f t="shared" si="65"/>
        <v>1</v>
      </c>
      <c r="P358" s="877"/>
      <c r="Q358" s="48">
        <f t="shared" si="66"/>
        <v>1</v>
      </c>
      <c r="R358" s="48">
        <f t="shared" si="67"/>
        <v>0</v>
      </c>
      <c r="S358" s="733">
        <f t="shared" si="58"/>
        <v>0</v>
      </c>
    </row>
    <row r="359" spans="1:19">
      <c r="A359" s="878"/>
      <c r="B359" s="125"/>
      <c r="C359" s="48">
        <f t="shared" si="59"/>
        <v>1</v>
      </c>
      <c r="D359" s="877"/>
      <c r="E359" s="48">
        <f t="shared" si="60"/>
        <v>1</v>
      </c>
      <c r="F359" s="877"/>
      <c r="G359" s="48">
        <f t="shared" si="61"/>
        <v>1</v>
      </c>
      <c r="H359" s="877"/>
      <c r="I359" s="48">
        <f t="shared" si="62"/>
        <v>1</v>
      </c>
      <c r="J359" s="877"/>
      <c r="K359" s="48">
        <f t="shared" si="63"/>
        <v>1</v>
      </c>
      <c r="L359" s="877"/>
      <c r="M359" s="48">
        <f t="shared" si="64"/>
        <v>1</v>
      </c>
      <c r="N359" s="877"/>
      <c r="O359" s="48">
        <f t="shared" si="65"/>
        <v>1</v>
      </c>
      <c r="P359" s="877"/>
      <c r="Q359" s="48">
        <f t="shared" si="66"/>
        <v>1</v>
      </c>
      <c r="R359" s="48">
        <f t="shared" si="67"/>
        <v>0</v>
      </c>
      <c r="S359" s="733">
        <f t="shared" si="58"/>
        <v>0</v>
      </c>
    </row>
    <row r="360" spans="1:19">
      <c r="A360" s="878"/>
      <c r="B360" s="125"/>
      <c r="C360" s="48">
        <f t="shared" si="59"/>
        <v>1</v>
      </c>
      <c r="D360" s="877"/>
      <c r="E360" s="48">
        <f t="shared" si="60"/>
        <v>1</v>
      </c>
      <c r="F360" s="877"/>
      <c r="G360" s="48">
        <f t="shared" si="61"/>
        <v>1</v>
      </c>
      <c r="H360" s="877"/>
      <c r="I360" s="48">
        <f t="shared" si="62"/>
        <v>1</v>
      </c>
      <c r="J360" s="877"/>
      <c r="K360" s="48">
        <f t="shared" si="63"/>
        <v>1</v>
      </c>
      <c r="L360" s="877"/>
      <c r="M360" s="48">
        <f t="shared" si="64"/>
        <v>1</v>
      </c>
      <c r="N360" s="877"/>
      <c r="O360" s="48">
        <f t="shared" si="65"/>
        <v>1</v>
      </c>
      <c r="P360" s="877"/>
      <c r="Q360" s="48">
        <f t="shared" si="66"/>
        <v>1</v>
      </c>
      <c r="R360" s="48">
        <f t="shared" si="67"/>
        <v>0</v>
      </c>
      <c r="S360" s="733">
        <f t="shared" si="58"/>
        <v>0</v>
      </c>
    </row>
    <row r="361" spans="1:19">
      <c r="A361" s="878"/>
      <c r="B361" s="125"/>
      <c r="C361" s="48">
        <f t="shared" si="59"/>
        <v>1</v>
      </c>
      <c r="D361" s="877"/>
      <c r="E361" s="48">
        <f t="shared" si="60"/>
        <v>1</v>
      </c>
      <c r="F361" s="877"/>
      <c r="G361" s="48">
        <f t="shared" si="61"/>
        <v>1</v>
      </c>
      <c r="H361" s="877"/>
      <c r="I361" s="48">
        <f t="shared" si="62"/>
        <v>1</v>
      </c>
      <c r="J361" s="877"/>
      <c r="K361" s="48">
        <f t="shared" si="63"/>
        <v>1</v>
      </c>
      <c r="L361" s="877"/>
      <c r="M361" s="48">
        <f t="shared" si="64"/>
        <v>1</v>
      </c>
      <c r="N361" s="877"/>
      <c r="O361" s="48">
        <f t="shared" si="65"/>
        <v>1</v>
      </c>
      <c r="P361" s="877"/>
      <c r="Q361" s="48">
        <f t="shared" si="66"/>
        <v>1</v>
      </c>
      <c r="R361" s="48">
        <f t="shared" si="67"/>
        <v>0</v>
      </c>
      <c r="S361" s="733">
        <f t="shared" si="58"/>
        <v>0</v>
      </c>
    </row>
    <row r="362" spans="1:19">
      <c r="A362" s="878"/>
      <c r="B362" s="125"/>
      <c r="C362" s="48">
        <f t="shared" si="59"/>
        <v>1</v>
      </c>
      <c r="D362" s="877"/>
      <c r="E362" s="48">
        <f t="shared" si="60"/>
        <v>1</v>
      </c>
      <c r="F362" s="877"/>
      <c r="G362" s="48">
        <f t="shared" si="61"/>
        <v>1</v>
      </c>
      <c r="H362" s="877"/>
      <c r="I362" s="48">
        <f t="shared" si="62"/>
        <v>1</v>
      </c>
      <c r="J362" s="877"/>
      <c r="K362" s="48">
        <f t="shared" si="63"/>
        <v>1</v>
      </c>
      <c r="L362" s="877"/>
      <c r="M362" s="48">
        <f t="shared" si="64"/>
        <v>1</v>
      </c>
      <c r="N362" s="877"/>
      <c r="O362" s="48">
        <f t="shared" si="65"/>
        <v>1</v>
      </c>
      <c r="P362" s="877"/>
      <c r="Q362" s="48">
        <f t="shared" si="66"/>
        <v>1</v>
      </c>
      <c r="R362" s="48">
        <f t="shared" si="67"/>
        <v>0</v>
      </c>
      <c r="S362" s="733">
        <f t="shared" si="58"/>
        <v>0</v>
      </c>
    </row>
    <row r="363" spans="1:19">
      <c r="A363" s="878"/>
      <c r="B363" s="125"/>
      <c r="C363" s="48">
        <f t="shared" si="59"/>
        <v>1</v>
      </c>
      <c r="D363" s="877"/>
      <c r="E363" s="48">
        <f t="shared" si="60"/>
        <v>1</v>
      </c>
      <c r="F363" s="877"/>
      <c r="G363" s="48">
        <f t="shared" si="61"/>
        <v>1</v>
      </c>
      <c r="H363" s="877"/>
      <c r="I363" s="48">
        <f t="shared" si="62"/>
        <v>1</v>
      </c>
      <c r="J363" s="877"/>
      <c r="K363" s="48">
        <f t="shared" si="63"/>
        <v>1</v>
      </c>
      <c r="L363" s="877"/>
      <c r="M363" s="48">
        <f t="shared" si="64"/>
        <v>1</v>
      </c>
      <c r="N363" s="877"/>
      <c r="O363" s="48">
        <f t="shared" si="65"/>
        <v>1</v>
      </c>
      <c r="P363" s="877"/>
      <c r="Q363" s="48">
        <f t="shared" si="66"/>
        <v>1</v>
      </c>
      <c r="R363" s="48">
        <f t="shared" si="67"/>
        <v>0</v>
      </c>
      <c r="S363" s="733">
        <f t="shared" si="58"/>
        <v>0</v>
      </c>
    </row>
    <row r="364" spans="1:19">
      <c r="A364" s="878"/>
      <c r="B364" s="125"/>
      <c r="C364" s="48">
        <f t="shared" si="59"/>
        <v>1</v>
      </c>
      <c r="D364" s="877"/>
      <c r="E364" s="48">
        <f t="shared" si="60"/>
        <v>1</v>
      </c>
      <c r="F364" s="877"/>
      <c r="G364" s="48">
        <f t="shared" si="61"/>
        <v>1</v>
      </c>
      <c r="H364" s="877"/>
      <c r="I364" s="48">
        <f t="shared" si="62"/>
        <v>1</v>
      </c>
      <c r="J364" s="877"/>
      <c r="K364" s="48">
        <f t="shared" si="63"/>
        <v>1</v>
      </c>
      <c r="L364" s="877"/>
      <c r="M364" s="48">
        <f t="shared" si="64"/>
        <v>1</v>
      </c>
      <c r="N364" s="877"/>
      <c r="O364" s="48">
        <f t="shared" si="65"/>
        <v>1</v>
      </c>
      <c r="P364" s="877"/>
      <c r="Q364" s="48">
        <f t="shared" si="66"/>
        <v>1</v>
      </c>
      <c r="R364" s="48">
        <f t="shared" si="67"/>
        <v>0</v>
      </c>
      <c r="S364" s="733">
        <f t="shared" si="58"/>
        <v>0</v>
      </c>
    </row>
    <row r="365" spans="1:19">
      <c r="A365" s="878"/>
      <c r="B365" s="125"/>
      <c r="C365" s="48">
        <f t="shared" si="59"/>
        <v>1</v>
      </c>
      <c r="D365" s="877"/>
      <c r="E365" s="48">
        <f t="shared" si="60"/>
        <v>1</v>
      </c>
      <c r="F365" s="877"/>
      <c r="G365" s="48">
        <f t="shared" si="61"/>
        <v>1</v>
      </c>
      <c r="H365" s="877"/>
      <c r="I365" s="48">
        <f t="shared" si="62"/>
        <v>1</v>
      </c>
      <c r="J365" s="877"/>
      <c r="K365" s="48">
        <f t="shared" si="63"/>
        <v>1</v>
      </c>
      <c r="L365" s="877"/>
      <c r="M365" s="48">
        <f t="shared" si="64"/>
        <v>1</v>
      </c>
      <c r="N365" s="877"/>
      <c r="O365" s="48">
        <f t="shared" si="65"/>
        <v>1</v>
      </c>
      <c r="P365" s="877"/>
      <c r="Q365" s="48">
        <f t="shared" si="66"/>
        <v>1</v>
      </c>
      <c r="R365" s="48">
        <f t="shared" si="67"/>
        <v>0</v>
      </c>
      <c r="S365" s="733">
        <f t="shared" si="58"/>
        <v>0</v>
      </c>
    </row>
    <row r="366" spans="1:19">
      <c r="A366" s="878"/>
      <c r="B366" s="125"/>
      <c r="C366" s="48">
        <f t="shared" si="59"/>
        <v>1</v>
      </c>
      <c r="D366" s="877"/>
      <c r="E366" s="48">
        <f t="shared" si="60"/>
        <v>1</v>
      </c>
      <c r="F366" s="877"/>
      <c r="G366" s="48">
        <f t="shared" si="61"/>
        <v>1</v>
      </c>
      <c r="H366" s="877"/>
      <c r="I366" s="48">
        <f t="shared" si="62"/>
        <v>1</v>
      </c>
      <c r="J366" s="877"/>
      <c r="K366" s="48">
        <f t="shared" si="63"/>
        <v>1</v>
      </c>
      <c r="L366" s="877"/>
      <c r="M366" s="48">
        <f t="shared" si="64"/>
        <v>1</v>
      </c>
      <c r="N366" s="877"/>
      <c r="O366" s="48">
        <f t="shared" si="65"/>
        <v>1</v>
      </c>
      <c r="P366" s="877"/>
      <c r="Q366" s="48">
        <f t="shared" si="66"/>
        <v>1</v>
      </c>
      <c r="R366" s="48">
        <f t="shared" si="67"/>
        <v>0</v>
      </c>
      <c r="S366" s="733">
        <f t="shared" si="58"/>
        <v>0</v>
      </c>
    </row>
    <row r="367" spans="1:19">
      <c r="A367" s="878"/>
      <c r="B367" s="125"/>
      <c r="C367" s="48">
        <f t="shared" si="59"/>
        <v>1</v>
      </c>
      <c r="D367" s="877"/>
      <c r="E367" s="48">
        <f t="shared" si="60"/>
        <v>1</v>
      </c>
      <c r="F367" s="877"/>
      <c r="G367" s="48">
        <f t="shared" si="61"/>
        <v>1</v>
      </c>
      <c r="H367" s="877"/>
      <c r="I367" s="48">
        <f t="shared" si="62"/>
        <v>1</v>
      </c>
      <c r="J367" s="877"/>
      <c r="K367" s="48">
        <f t="shared" si="63"/>
        <v>1</v>
      </c>
      <c r="L367" s="877"/>
      <c r="M367" s="48">
        <f t="shared" si="64"/>
        <v>1</v>
      </c>
      <c r="N367" s="877"/>
      <c r="O367" s="48">
        <f t="shared" si="65"/>
        <v>1</v>
      </c>
      <c r="P367" s="877"/>
      <c r="Q367" s="48">
        <f t="shared" si="66"/>
        <v>1</v>
      </c>
      <c r="R367" s="48">
        <f t="shared" si="67"/>
        <v>0</v>
      </c>
      <c r="S367" s="733">
        <f t="shared" si="58"/>
        <v>0</v>
      </c>
    </row>
    <row r="368" spans="1:19">
      <c r="A368" s="878"/>
      <c r="B368" s="125"/>
      <c r="C368" s="48">
        <f t="shared" si="59"/>
        <v>1</v>
      </c>
      <c r="D368" s="877"/>
      <c r="E368" s="48">
        <f t="shared" si="60"/>
        <v>1</v>
      </c>
      <c r="F368" s="877"/>
      <c r="G368" s="48">
        <f t="shared" si="61"/>
        <v>1</v>
      </c>
      <c r="H368" s="877"/>
      <c r="I368" s="48">
        <f t="shared" si="62"/>
        <v>1</v>
      </c>
      <c r="J368" s="877"/>
      <c r="K368" s="48">
        <f t="shared" si="63"/>
        <v>1</v>
      </c>
      <c r="L368" s="877"/>
      <c r="M368" s="48">
        <f t="shared" si="64"/>
        <v>1</v>
      </c>
      <c r="N368" s="877"/>
      <c r="O368" s="48">
        <f t="shared" si="65"/>
        <v>1</v>
      </c>
      <c r="P368" s="877"/>
      <c r="Q368" s="48">
        <f t="shared" si="66"/>
        <v>1</v>
      </c>
      <c r="R368" s="48">
        <f t="shared" si="67"/>
        <v>0</v>
      </c>
      <c r="S368" s="733">
        <f t="shared" si="58"/>
        <v>0</v>
      </c>
    </row>
    <row r="369" spans="1:19">
      <c r="A369" s="878"/>
      <c r="B369" s="125"/>
      <c r="C369" s="48">
        <f t="shared" si="59"/>
        <v>1</v>
      </c>
      <c r="D369" s="877"/>
      <c r="E369" s="48">
        <f t="shared" si="60"/>
        <v>1</v>
      </c>
      <c r="F369" s="877"/>
      <c r="G369" s="48">
        <f t="shared" si="61"/>
        <v>1</v>
      </c>
      <c r="H369" s="877"/>
      <c r="I369" s="48">
        <f t="shared" si="62"/>
        <v>1</v>
      </c>
      <c r="J369" s="877"/>
      <c r="K369" s="48">
        <f t="shared" si="63"/>
        <v>1</v>
      </c>
      <c r="L369" s="877"/>
      <c r="M369" s="48">
        <f t="shared" si="64"/>
        <v>1</v>
      </c>
      <c r="N369" s="877"/>
      <c r="O369" s="48">
        <f t="shared" si="65"/>
        <v>1</v>
      </c>
      <c r="P369" s="877"/>
      <c r="Q369" s="48">
        <f t="shared" si="66"/>
        <v>1</v>
      </c>
      <c r="R369" s="48">
        <f t="shared" si="67"/>
        <v>0</v>
      </c>
      <c r="S369" s="733">
        <f t="shared" si="58"/>
        <v>0</v>
      </c>
    </row>
    <row r="370" spans="1:19">
      <c r="A370" s="878"/>
      <c r="B370" s="125"/>
      <c r="C370" s="48">
        <f t="shared" si="59"/>
        <v>1</v>
      </c>
      <c r="D370" s="877"/>
      <c r="E370" s="48">
        <f t="shared" si="60"/>
        <v>1</v>
      </c>
      <c r="F370" s="877"/>
      <c r="G370" s="48">
        <f t="shared" si="61"/>
        <v>1</v>
      </c>
      <c r="H370" s="877"/>
      <c r="I370" s="48">
        <f t="shared" si="62"/>
        <v>1</v>
      </c>
      <c r="J370" s="877"/>
      <c r="K370" s="48">
        <f t="shared" si="63"/>
        <v>1</v>
      </c>
      <c r="L370" s="877"/>
      <c r="M370" s="48">
        <f t="shared" si="64"/>
        <v>1</v>
      </c>
      <c r="N370" s="877"/>
      <c r="O370" s="48">
        <f t="shared" si="65"/>
        <v>1</v>
      </c>
      <c r="P370" s="877"/>
      <c r="Q370" s="48">
        <f t="shared" si="66"/>
        <v>1</v>
      </c>
      <c r="R370" s="48">
        <f t="shared" si="67"/>
        <v>0</v>
      </c>
      <c r="S370" s="733">
        <f t="shared" si="58"/>
        <v>0</v>
      </c>
    </row>
    <row r="371" spans="1:19">
      <c r="A371" s="878"/>
      <c r="B371" s="125"/>
      <c r="C371" s="48">
        <f t="shared" si="59"/>
        <v>1</v>
      </c>
      <c r="D371" s="877"/>
      <c r="E371" s="48">
        <f t="shared" si="60"/>
        <v>1</v>
      </c>
      <c r="F371" s="877"/>
      <c r="G371" s="48">
        <f t="shared" si="61"/>
        <v>1</v>
      </c>
      <c r="H371" s="877"/>
      <c r="I371" s="48">
        <f t="shared" si="62"/>
        <v>1</v>
      </c>
      <c r="J371" s="877"/>
      <c r="K371" s="48">
        <f t="shared" si="63"/>
        <v>1</v>
      </c>
      <c r="L371" s="877"/>
      <c r="M371" s="48">
        <f t="shared" si="64"/>
        <v>1</v>
      </c>
      <c r="N371" s="877"/>
      <c r="O371" s="48">
        <f t="shared" si="65"/>
        <v>1</v>
      </c>
      <c r="P371" s="877"/>
      <c r="Q371" s="48">
        <f t="shared" si="66"/>
        <v>1</v>
      </c>
      <c r="R371" s="48">
        <f t="shared" si="67"/>
        <v>0</v>
      </c>
      <c r="S371" s="733">
        <f t="shared" si="58"/>
        <v>0</v>
      </c>
    </row>
    <row r="372" spans="1:19">
      <c r="A372" s="878"/>
      <c r="B372" s="125"/>
      <c r="C372" s="48">
        <f t="shared" si="59"/>
        <v>1</v>
      </c>
      <c r="D372" s="877"/>
      <c r="E372" s="48">
        <f t="shared" si="60"/>
        <v>1</v>
      </c>
      <c r="F372" s="877"/>
      <c r="G372" s="48">
        <f t="shared" si="61"/>
        <v>1</v>
      </c>
      <c r="H372" s="877"/>
      <c r="I372" s="48">
        <f t="shared" si="62"/>
        <v>1</v>
      </c>
      <c r="J372" s="877"/>
      <c r="K372" s="48">
        <f t="shared" si="63"/>
        <v>1</v>
      </c>
      <c r="L372" s="877"/>
      <c r="M372" s="48">
        <f t="shared" si="64"/>
        <v>1</v>
      </c>
      <c r="N372" s="877"/>
      <c r="O372" s="48">
        <f t="shared" si="65"/>
        <v>1</v>
      </c>
      <c r="P372" s="877"/>
      <c r="Q372" s="48">
        <f t="shared" si="66"/>
        <v>1</v>
      </c>
      <c r="R372" s="48">
        <f t="shared" si="67"/>
        <v>0</v>
      </c>
      <c r="S372" s="733">
        <f t="shared" si="58"/>
        <v>0</v>
      </c>
    </row>
    <row r="373" spans="1:19">
      <c r="A373" s="878"/>
      <c r="B373" s="125"/>
      <c r="C373" s="48">
        <f t="shared" si="59"/>
        <v>1</v>
      </c>
      <c r="D373" s="877"/>
      <c r="E373" s="48">
        <f t="shared" si="60"/>
        <v>1</v>
      </c>
      <c r="F373" s="877"/>
      <c r="G373" s="48">
        <f t="shared" si="61"/>
        <v>1</v>
      </c>
      <c r="H373" s="877"/>
      <c r="I373" s="48">
        <f t="shared" si="62"/>
        <v>1</v>
      </c>
      <c r="J373" s="877"/>
      <c r="K373" s="48">
        <f t="shared" si="63"/>
        <v>1</v>
      </c>
      <c r="L373" s="877"/>
      <c r="M373" s="48">
        <f t="shared" si="64"/>
        <v>1</v>
      </c>
      <c r="N373" s="877"/>
      <c r="O373" s="48">
        <f t="shared" si="65"/>
        <v>1</v>
      </c>
      <c r="P373" s="877"/>
      <c r="Q373" s="48">
        <f t="shared" si="66"/>
        <v>1</v>
      </c>
      <c r="R373" s="48">
        <f t="shared" si="67"/>
        <v>0</v>
      </c>
      <c r="S373" s="733">
        <f t="shared" si="58"/>
        <v>0</v>
      </c>
    </row>
    <row r="374" spans="1:19">
      <c r="A374" s="878"/>
      <c r="B374" s="125"/>
      <c r="C374" s="48">
        <f t="shared" si="59"/>
        <v>1</v>
      </c>
      <c r="D374" s="877"/>
      <c r="E374" s="48">
        <f t="shared" si="60"/>
        <v>1</v>
      </c>
      <c r="F374" s="877"/>
      <c r="G374" s="48">
        <f t="shared" si="61"/>
        <v>1</v>
      </c>
      <c r="H374" s="877"/>
      <c r="I374" s="48">
        <f t="shared" si="62"/>
        <v>1</v>
      </c>
      <c r="J374" s="877"/>
      <c r="K374" s="48">
        <f t="shared" si="63"/>
        <v>1</v>
      </c>
      <c r="L374" s="877"/>
      <c r="M374" s="48">
        <f t="shared" si="64"/>
        <v>1</v>
      </c>
      <c r="N374" s="877"/>
      <c r="O374" s="48">
        <f t="shared" si="65"/>
        <v>1</v>
      </c>
      <c r="P374" s="877"/>
      <c r="Q374" s="48">
        <f t="shared" si="66"/>
        <v>1</v>
      </c>
      <c r="R374" s="48">
        <f t="shared" si="67"/>
        <v>0</v>
      </c>
      <c r="S374" s="733">
        <f t="shared" si="58"/>
        <v>0</v>
      </c>
    </row>
    <row r="375" spans="1:19">
      <c r="A375" s="878"/>
      <c r="B375" s="125"/>
      <c r="C375" s="48">
        <f t="shared" si="59"/>
        <v>1</v>
      </c>
      <c r="D375" s="877"/>
      <c r="E375" s="48">
        <f t="shared" si="60"/>
        <v>1</v>
      </c>
      <c r="F375" s="877"/>
      <c r="G375" s="48">
        <f t="shared" si="61"/>
        <v>1</v>
      </c>
      <c r="H375" s="877"/>
      <c r="I375" s="48">
        <f t="shared" si="62"/>
        <v>1</v>
      </c>
      <c r="J375" s="877"/>
      <c r="K375" s="48">
        <f t="shared" si="63"/>
        <v>1</v>
      </c>
      <c r="L375" s="877"/>
      <c r="M375" s="48">
        <f t="shared" si="64"/>
        <v>1</v>
      </c>
      <c r="N375" s="877"/>
      <c r="O375" s="48">
        <f t="shared" si="65"/>
        <v>1</v>
      </c>
      <c r="P375" s="877"/>
      <c r="Q375" s="48">
        <f t="shared" si="66"/>
        <v>1</v>
      </c>
      <c r="R375" s="48">
        <f t="shared" si="67"/>
        <v>0</v>
      </c>
      <c r="S375" s="733">
        <f t="shared" si="58"/>
        <v>0</v>
      </c>
    </row>
    <row r="376" spans="1:19">
      <c r="A376" s="878"/>
      <c r="B376" s="125"/>
      <c r="C376" s="48">
        <f t="shared" si="59"/>
        <v>1</v>
      </c>
      <c r="D376" s="877"/>
      <c r="E376" s="48">
        <f t="shared" si="60"/>
        <v>1</v>
      </c>
      <c r="F376" s="877"/>
      <c r="G376" s="48">
        <f t="shared" si="61"/>
        <v>1</v>
      </c>
      <c r="H376" s="877"/>
      <c r="I376" s="48">
        <f t="shared" si="62"/>
        <v>1</v>
      </c>
      <c r="J376" s="877"/>
      <c r="K376" s="48">
        <f t="shared" si="63"/>
        <v>1</v>
      </c>
      <c r="L376" s="877"/>
      <c r="M376" s="48">
        <f t="shared" si="64"/>
        <v>1</v>
      </c>
      <c r="N376" s="877"/>
      <c r="O376" s="48">
        <f t="shared" si="65"/>
        <v>1</v>
      </c>
      <c r="P376" s="877"/>
      <c r="Q376" s="48">
        <f t="shared" si="66"/>
        <v>1</v>
      </c>
      <c r="R376" s="48">
        <f t="shared" si="67"/>
        <v>0</v>
      </c>
      <c r="S376" s="733">
        <f t="shared" si="58"/>
        <v>0</v>
      </c>
    </row>
    <row r="377" spans="1:19">
      <c r="A377" s="878"/>
      <c r="B377" s="125"/>
      <c r="C377" s="48">
        <f t="shared" si="59"/>
        <v>1</v>
      </c>
      <c r="D377" s="877"/>
      <c r="E377" s="48">
        <f t="shared" si="60"/>
        <v>1</v>
      </c>
      <c r="F377" s="877"/>
      <c r="G377" s="48">
        <f t="shared" si="61"/>
        <v>1</v>
      </c>
      <c r="H377" s="877"/>
      <c r="I377" s="48">
        <f t="shared" si="62"/>
        <v>1</v>
      </c>
      <c r="J377" s="877"/>
      <c r="K377" s="48">
        <f t="shared" si="63"/>
        <v>1</v>
      </c>
      <c r="L377" s="877"/>
      <c r="M377" s="48">
        <f t="shared" si="64"/>
        <v>1</v>
      </c>
      <c r="N377" s="877"/>
      <c r="O377" s="48">
        <f t="shared" si="65"/>
        <v>1</v>
      </c>
      <c r="P377" s="877"/>
      <c r="Q377" s="48">
        <f t="shared" si="66"/>
        <v>1</v>
      </c>
      <c r="R377" s="48">
        <f t="shared" si="67"/>
        <v>0</v>
      </c>
      <c r="S377" s="733">
        <f t="shared" si="58"/>
        <v>0</v>
      </c>
    </row>
    <row r="378" spans="1:19">
      <c r="A378" s="878"/>
      <c r="B378" s="125"/>
      <c r="C378" s="48">
        <f t="shared" si="59"/>
        <v>1</v>
      </c>
      <c r="D378" s="877"/>
      <c r="E378" s="48">
        <f t="shared" si="60"/>
        <v>1</v>
      </c>
      <c r="F378" s="877"/>
      <c r="G378" s="48">
        <f t="shared" si="61"/>
        <v>1</v>
      </c>
      <c r="H378" s="877"/>
      <c r="I378" s="48">
        <f t="shared" si="62"/>
        <v>1</v>
      </c>
      <c r="J378" s="877"/>
      <c r="K378" s="48">
        <f t="shared" si="63"/>
        <v>1</v>
      </c>
      <c r="L378" s="877"/>
      <c r="M378" s="48">
        <f t="shared" si="64"/>
        <v>1</v>
      </c>
      <c r="N378" s="877"/>
      <c r="O378" s="48">
        <f t="shared" si="65"/>
        <v>1</v>
      </c>
      <c r="P378" s="877"/>
      <c r="Q378" s="48">
        <f t="shared" si="66"/>
        <v>1</v>
      </c>
      <c r="R378" s="48">
        <f t="shared" si="67"/>
        <v>0</v>
      </c>
      <c r="S378" s="733">
        <f t="shared" si="58"/>
        <v>0</v>
      </c>
    </row>
    <row r="379" spans="1:19">
      <c r="A379" s="878"/>
      <c r="B379" s="125"/>
      <c r="C379" s="48">
        <f t="shared" si="59"/>
        <v>1</v>
      </c>
      <c r="D379" s="877"/>
      <c r="E379" s="48">
        <f t="shared" si="60"/>
        <v>1</v>
      </c>
      <c r="F379" s="877"/>
      <c r="G379" s="48">
        <f t="shared" si="61"/>
        <v>1</v>
      </c>
      <c r="H379" s="877"/>
      <c r="I379" s="48">
        <f t="shared" si="62"/>
        <v>1</v>
      </c>
      <c r="J379" s="877"/>
      <c r="K379" s="48">
        <f t="shared" si="63"/>
        <v>1</v>
      </c>
      <c r="L379" s="877"/>
      <c r="M379" s="48">
        <f t="shared" si="64"/>
        <v>1</v>
      </c>
      <c r="N379" s="877"/>
      <c r="O379" s="48">
        <f t="shared" si="65"/>
        <v>1</v>
      </c>
      <c r="P379" s="877"/>
      <c r="Q379" s="48">
        <f t="shared" si="66"/>
        <v>1</v>
      </c>
      <c r="R379" s="48">
        <f t="shared" si="67"/>
        <v>0</v>
      </c>
      <c r="S379" s="733">
        <f t="shared" si="58"/>
        <v>0</v>
      </c>
    </row>
    <row r="380" spans="1:19">
      <c r="A380" s="878"/>
      <c r="B380" s="125"/>
      <c r="C380" s="48">
        <f t="shared" si="59"/>
        <v>1</v>
      </c>
      <c r="D380" s="877"/>
      <c r="E380" s="48">
        <f t="shared" si="60"/>
        <v>1</v>
      </c>
      <c r="F380" s="877"/>
      <c r="G380" s="48">
        <f t="shared" si="61"/>
        <v>1</v>
      </c>
      <c r="H380" s="877"/>
      <c r="I380" s="48">
        <f t="shared" si="62"/>
        <v>1</v>
      </c>
      <c r="J380" s="877"/>
      <c r="K380" s="48">
        <f t="shared" si="63"/>
        <v>1</v>
      </c>
      <c r="L380" s="877"/>
      <c r="M380" s="48">
        <f t="shared" si="64"/>
        <v>1</v>
      </c>
      <c r="N380" s="877"/>
      <c r="O380" s="48">
        <f t="shared" si="65"/>
        <v>1</v>
      </c>
      <c r="P380" s="877"/>
      <c r="Q380" s="48">
        <f t="shared" si="66"/>
        <v>1</v>
      </c>
      <c r="R380" s="48">
        <f t="shared" si="67"/>
        <v>0</v>
      </c>
      <c r="S380" s="733">
        <f t="shared" si="58"/>
        <v>0</v>
      </c>
    </row>
    <row r="381" spans="1:19">
      <c r="A381" s="878"/>
      <c r="B381" s="125"/>
      <c r="C381" s="48">
        <f t="shared" si="59"/>
        <v>1</v>
      </c>
      <c r="D381" s="877"/>
      <c r="E381" s="48">
        <f t="shared" si="60"/>
        <v>1</v>
      </c>
      <c r="F381" s="877"/>
      <c r="G381" s="48">
        <f t="shared" si="61"/>
        <v>1</v>
      </c>
      <c r="H381" s="877"/>
      <c r="I381" s="48">
        <f t="shared" si="62"/>
        <v>1</v>
      </c>
      <c r="J381" s="877"/>
      <c r="K381" s="48">
        <f t="shared" si="63"/>
        <v>1</v>
      </c>
      <c r="L381" s="877"/>
      <c r="M381" s="48">
        <f t="shared" si="64"/>
        <v>1</v>
      </c>
      <c r="N381" s="877"/>
      <c r="O381" s="48">
        <f t="shared" si="65"/>
        <v>1</v>
      </c>
      <c r="P381" s="877"/>
      <c r="Q381" s="48">
        <f t="shared" si="66"/>
        <v>1</v>
      </c>
      <c r="R381" s="48">
        <f t="shared" si="67"/>
        <v>0</v>
      </c>
      <c r="S381" s="733">
        <f t="shared" si="58"/>
        <v>0</v>
      </c>
    </row>
    <row r="382" spans="1:19">
      <c r="A382" s="878"/>
      <c r="B382" s="125"/>
      <c r="C382" s="48">
        <f t="shared" si="59"/>
        <v>1</v>
      </c>
      <c r="D382" s="877"/>
      <c r="E382" s="48">
        <f t="shared" si="60"/>
        <v>1</v>
      </c>
      <c r="F382" s="877"/>
      <c r="G382" s="48">
        <f t="shared" si="61"/>
        <v>1</v>
      </c>
      <c r="H382" s="877"/>
      <c r="I382" s="48">
        <f t="shared" si="62"/>
        <v>1</v>
      </c>
      <c r="J382" s="877"/>
      <c r="K382" s="48">
        <f t="shared" si="63"/>
        <v>1</v>
      </c>
      <c r="L382" s="877"/>
      <c r="M382" s="48">
        <f t="shared" si="64"/>
        <v>1</v>
      </c>
      <c r="N382" s="877"/>
      <c r="O382" s="48">
        <f t="shared" si="65"/>
        <v>1</v>
      </c>
      <c r="P382" s="877"/>
      <c r="Q382" s="48">
        <f t="shared" si="66"/>
        <v>1</v>
      </c>
      <c r="R382" s="48">
        <f t="shared" si="67"/>
        <v>0</v>
      </c>
      <c r="S382" s="733">
        <f t="shared" si="58"/>
        <v>0</v>
      </c>
    </row>
    <row r="383" spans="1:19">
      <c r="A383" s="878"/>
      <c r="B383" s="125"/>
      <c r="C383" s="48">
        <f t="shared" si="59"/>
        <v>1</v>
      </c>
      <c r="D383" s="877"/>
      <c r="E383" s="48">
        <f t="shared" si="60"/>
        <v>1</v>
      </c>
      <c r="F383" s="877"/>
      <c r="G383" s="48">
        <f t="shared" si="61"/>
        <v>1</v>
      </c>
      <c r="H383" s="877"/>
      <c r="I383" s="48">
        <f t="shared" si="62"/>
        <v>1</v>
      </c>
      <c r="J383" s="877"/>
      <c r="K383" s="48">
        <f t="shared" si="63"/>
        <v>1</v>
      </c>
      <c r="L383" s="877"/>
      <c r="M383" s="48">
        <f t="shared" si="64"/>
        <v>1</v>
      </c>
      <c r="N383" s="877"/>
      <c r="O383" s="48">
        <f t="shared" si="65"/>
        <v>1</v>
      </c>
      <c r="P383" s="877"/>
      <c r="Q383" s="48">
        <f t="shared" si="66"/>
        <v>1</v>
      </c>
      <c r="R383" s="48">
        <f t="shared" si="67"/>
        <v>0</v>
      </c>
      <c r="S383" s="733">
        <f t="shared" si="58"/>
        <v>0</v>
      </c>
    </row>
    <row r="384" spans="1:19">
      <c r="A384" s="878"/>
      <c r="B384" s="125"/>
      <c r="C384" s="48">
        <f t="shared" si="59"/>
        <v>1</v>
      </c>
      <c r="D384" s="877"/>
      <c r="E384" s="48">
        <f t="shared" si="60"/>
        <v>1</v>
      </c>
      <c r="F384" s="877"/>
      <c r="G384" s="48">
        <f t="shared" si="61"/>
        <v>1</v>
      </c>
      <c r="H384" s="877"/>
      <c r="I384" s="48">
        <f t="shared" si="62"/>
        <v>1</v>
      </c>
      <c r="J384" s="877"/>
      <c r="K384" s="48">
        <f t="shared" si="63"/>
        <v>1</v>
      </c>
      <c r="L384" s="877"/>
      <c r="M384" s="48">
        <f t="shared" si="64"/>
        <v>1</v>
      </c>
      <c r="N384" s="877"/>
      <c r="O384" s="48">
        <f t="shared" si="65"/>
        <v>1</v>
      </c>
      <c r="P384" s="877"/>
      <c r="Q384" s="48">
        <f t="shared" si="66"/>
        <v>1</v>
      </c>
      <c r="R384" s="48">
        <f t="shared" si="67"/>
        <v>0</v>
      </c>
      <c r="S384" s="733">
        <f t="shared" si="58"/>
        <v>0</v>
      </c>
    </row>
    <row r="385" spans="1:19">
      <c r="A385" s="878"/>
      <c r="B385" s="125"/>
      <c r="C385" s="48">
        <f t="shared" si="59"/>
        <v>1</v>
      </c>
      <c r="D385" s="877"/>
      <c r="E385" s="48">
        <f t="shared" si="60"/>
        <v>1</v>
      </c>
      <c r="F385" s="877"/>
      <c r="G385" s="48">
        <f t="shared" si="61"/>
        <v>1</v>
      </c>
      <c r="H385" s="877"/>
      <c r="I385" s="48">
        <f t="shared" si="62"/>
        <v>1</v>
      </c>
      <c r="J385" s="877"/>
      <c r="K385" s="48">
        <f t="shared" si="63"/>
        <v>1</v>
      </c>
      <c r="L385" s="877"/>
      <c r="M385" s="48">
        <f t="shared" si="64"/>
        <v>1</v>
      </c>
      <c r="N385" s="877"/>
      <c r="O385" s="48">
        <f t="shared" si="65"/>
        <v>1</v>
      </c>
      <c r="P385" s="877"/>
      <c r="Q385" s="48">
        <f t="shared" si="66"/>
        <v>1</v>
      </c>
      <c r="R385" s="48">
        <f t="shared" si="67"/>
        <v>0</v>
      </c>
      <c r="S385" s="733">
        <f t="shared" ref="S385:S422" si="68">ROUND(R385*B385/10000,0)</f>
        <v>0</v>
      </c>
    </row>
    <row r="386" spans="1:19">
      <c r="A386" s="878"/>
      <c r="B386" s="125"/>
      <c r="C386" s="48">
        <f t="shared" si="59"/>
        <v>1</v>
      </c>
      <c r="D386" s="877"/>
      <c r="E386" s="48">
        <f t="shared" si="60"/>
        <v>1</v>
      </c>
      <c r="F386" s="877"/>
      <c r="G386" s="48">
        <f t="shared" si="61"/>
        <v>1</v>
      </c>
      <c r="H386" s="877"/>
      <c r="I386" s="48">
        <f t="shared" si="62"/>
        <v>1</v>
      </c>
      <c r="J386" s="877"/>
      <c r="K386" s="48">
        <f t="shared" si="63"/>
        <v>1</v>
      </c>
      <c r="L386" s="877"/>
      <c r="M386" s="48">
        <f t="shared" si="64"/>
        <v>1</v>
      </c>
      <c r="N386" s="877"/>
      <c r="O386" s="48">
        <f t="shared" si="65"/>
        <v>1</v>
      </c>
      <c r="P386" s="877"/>
      <c r="Q386" s="48">
        <f t="shared" si="66"/>
        <v>1</v>
      </c>
      <c r="R386" s="48">
        <f t="shared" si="67"/>
        <v>0</v>
      </c>
      <c r="S386" s="733">
        <f t="shared" si="68"/>
        <v>0</v>
      </c>
    </row>
    <row r="387" spans="1:19">
      <c r="A387" s="878"/>
      <c r="B387" s="125"/>
      <c r="C387" s="48">
        <f t="shared" si="59"/>
        <v>1</v>
      </c>
      <c r="D387" s="877"/>
      <c r="E387" s="48">
        <f t="shared" si="60"/>
        <v>1</v>
      </c>
      <c r="F387" s="877"/>
      <c r="G387" s="48">
        <f t="shared" si="61"/>
        <v>1</v>
      </c>
      <c r="H387" s="877"/>
      <c r="I387" s="48">
        <f t="shared" si="62"/>
        <v>1</v>
      </c>
      <c r="J387" s="877"/>
      <c r="K387" s="48">
        <f t="shared" si="63"/>
        <v>1</v>
      </c>
      <c r="L387" s="877"/>
      <c r="M387" s="48">
        <f t="shared" si="64"/>
        <v>1</v>
      </c>
      <c r="N387" s="877"/>
      <c r="O387" s="48">
        <f t="shared" si="65"/>
        <v>1</v>
      </c>
      <c r="P387" s="877"/>
      <c r="Q387" s="48">
        <f t="shared" si="66"/>
        <v>1</v>
      </c>
      <c r="R387" s="48">
        <f t="shared" si="67"/>
        <v>0</v>
      </c>
      <c r="S387" s="733">
        <f t="shared" si="68"/>
        <v>0</v>
      </c>
    </row>
    <row r="388" spans="1:19">
      <c r="A388" s="878"/>
      <c r="B388" s="125"/>
      <c r="C388" s="48">
        <f t="shared" si="59"/>
        <v>1</v>
      </c>
      <c r="D388" s="877"/>
      <c r="E388" s="48">
        <f t="shared" si="60"/>
        <v>1</v>
      </c>
      <c r="F388" s="877"/>
      <c r="G388" s="48">
        <f t="shared" si="61"/>
        <v>1</v>
      </c>
      <c r="H388" s="877"/>
      <c r="I388" s="48">
        <f t="shared" si="62"/>
        <v>1</v>
      </c>
      <c r="J388" s="877"/>
      <c r="K388" s="48">
        <f t="shared" si="63"/>
        <v>1</v>
      </c>
      <c r="L388" s="877"/>
      <c r="M388" s="48">
        <f t="shared" si="64"/>
        <v>1</v>
      </c>
      <c r="N388" s="877"/>
      <c r="O388" s="48">
        <f t="shared" si="65"/>
        <v>1</v>
      </c>
      <c r="P388" s="877"/>
      <c r="Q388" s="48">
        <f t="shared" si="66"/>
        <v>1</v>
      </c>
      <c r="R388" s="48">
        <f t="shared" si="67"/>
        <v>0</v>
      </c>
      <c r="S388" s="733">
        <f t="shared" si="68"/>
        <v>0</v>
      </c>
    </row>
    <row r="389" spans="1:19">
      <c r="A389" s="878"/>
      <c r="B389" s="125"/>
      <c r="C389" s="48">
        <f t="shared" si="59"/>
        <v>1</v>
      </c>
      <c r="D389" s="877"/>
      <c r="E389" s="48">
        <f t="shared" si="60"/>
        <v>1</v>
      </c>
      <c r="F389" s="877"/>
      <c r="G389" s="48">
        <f t="shared" si="61"/>
        <v>1</v>
      </c>
      <c r="H389" s="877"/>
      <c r="I389" s="48">
        <f t="shared" si="62"/>
        <v>1</v>
      </c>
      <c r="J389" s="877"/>
      <c r="K389" s="48">
        <f t="shared" si="63"/>
        <v>1</v>
      </c>
      <c r="L389" s="877"/>
      <c r="M389" s="48">
        <f t="shared" si="64"/>
        <v>1</v>
      </c>
      <c r="N389" s="877"/>
      <c r="O389" s="48">
        <f t="shared" si="65"/>
        <v>1</v>
      </c>
      <c r="P389" s="877"/>
      <c r="Q389" s="48">
        <f t="shared" si="66"/>
        <v>1</v>
      </c>
      <c r="R389" s="48">
        <f t="shared" si="67"/>
        <v>0</v>
      </c>
      <c r="S389" s="733">
        <f t="shared" si="68"/>
        <v>0</v>
      </c>
    </row>
    <row r="390" spans="1:19">
      <c r="A390" s="878"/>
      <c r="B390" s="125"/>
      <c r="C390" s="48">
        <f t="shared" si="59"/>
        <v>1</v>
      </c>
      <c r="D390" s="877"/>
      <c r="E390" s="48">
        <f t="shared" si="60"/>
        <v>1</v>
      </c>
      <c r="F390" s="877"/>
      <c r="G390" s="48">
        <f t="shared" si="61"/>
        <v>1</v>
      </c>
      <c r="H390" s="877"/>
      <c r="I390" s="48">
        <f t="shared" si="62"/>
        <v>1</v>
      </c>
      <c r="J390" s="877"/>
      <c r="K390" s="48">
        <f t="shared" si="63"/>
        <v>1</v>
      </c>
      <c r="L390" s="877"/>
      <c r="M390" s="48">
        <f t="shared" si="64"/>
        <v>1</v>
      </c>
      <c r="N390" s="877"/>
      <c r="O390" s="48">
        <f t="shared" si="65"/>
        <v>1</v>
      </c>
      <c r="P390" s="877"/>
      <c r="Q390" s="48">
        <f t="shared" si="66"/>
        <v>1</v>
      </c>
      <c r="R390" s="48">
        <f t="shared" si="67"/>
        <v>0</v>
      </c>
      <c r="S390" s="733">
        <f t="shared" si="68"/>
        <v>0</v>
      </c>
    </row>
    <row r="391" spans="1:19">
      <c r="A391" s="878"/>
      <c r="B391" s="125"/>
      <c r="C391" s="48">
        <f t="shared" si="59"/>
        <v>1</v>
      </c>
      <c r="D391" s="877"/>
      <c r="E391" s="48">
        <f t="shared" si="60"/>
        <v>1</v>
      </c>
      <c r="F391" s="877"/>
      <c r="G391" s="48">
        <f t="shared" si="61"/>
        <v>1</v>
      </c>
      <c r="H391" s="877"/>
      <c r="I391" s="48">
        <f t="shared" si="62"/>
        <v>1</v>
      </c>
      <c r="J391" s="877"/>
      <c r="K391" s="48">
        <f t="shared" si="63"/>
        <v>1</v>
      </c>
      <c r="L391" s="877"/>
      <c r="M391" s="48">
        <f t="shared" si="64"/>
        <v>1</v>
      </c>
      <c r="N391" s="877"/>
      <c r="O391" s="48">
        <f t="shared" si="65"/>
        <v>1</v>
      </c>
      <c r="P391" s="877"/>
      <c r="Q391" s="48">
        <f t="shared" si="66"/>
        <v>1</v>
      </c>
      <c r="R391" s="48">
        <f t="shared" si="67"/>
        <v>0</v>
      </c>
      <c r="S391" s="733">
        <f t="shared" si="68"/>
        <v>0</v>
      </c>
    </row>
    <row r="392" spans="1:19">
      <c r="A392" s="878"/>
      <c r="B392" s="125"/>
      <c r="C392" s="48">
        <f t="shared" si="59"/>
        <v>1</v>
      </c>
      <c r="D392" s="877"/>
      <c r="E392" s="48">
        <f t="shared" si="60"/>
        <v>1</v>
      </c>
      <c r="F392" s="877"/>
      <c r="G392" s="48">
        <f t="shared" si="61"/>
        <v>1</v>
      </c>
      <c r="H392" s="877"/>
      <c r="I392" s="48">
        <f t="shared" si="62"/>
        <v>1</v>
      </c>
      <c r="J392" s="877"/>
      <c r="K392" s="48">
        <f t="shared" si="63"/>
        <v>1</v>
      </c>
      <c r="L392" s="877"/>
      <c r="M392" s="48">
        <f t="shared" si="64"/>
        <v>1</v>
      </c>
      <c r="N392" s="877"/>
      <c r="O392" s="48">
        <f t="shared" si="65"/>
        <v>1</v>
      </c>
      <c r="P392" s="877"/>
      <c r="Q392" s="48">
        <f t="shared" si="66"/>
        <v>1</v>
      </c>
      <c r="R392" s="48">
        <f t="shared" si="67"/>
        <v>0</v>
      </c>
      <c r="S392" s="733">
        <f t="shared" si="68"/>
        <v>0</v>
      </c>
    </row>
    <row r="393" spans="1:19">
      <c r="A393" s="878"/>
      <c r="B393" s="125"/>
      <c r="C393" s="48">
        <f t="shared" si="59"/>
        <v>1</v>
      </c>
      <c r="D393" s="877"/>
      <c r="E393" s="48">
        <f t="shared" si="60"/>
        <v>1</v>
      </c>
      <c r="F393" s="877"/>
      <c r="G393" s="48">
        <f t="shared" si="61"/>
        <v>1</v>
      </c>
      <c r="H393" s="877"/>
      <c r="I393" s="48">
        <f t="shared" si="62"/>
        <v>1</v>
      </c>
      <c r="J393" s="877"/>
      <c r="K393" s="48">
        <f t="shared" si="63"/>
        <v>1</v>
      </c>
      <c r="L393" s="877"/>
      <c r="M393" s="48">
        <f t="shared" si="64"/>
        <v>1</v>
      </c>
      <c r="N393" s="877"/>
      <c r="O393" s="48">
        <f t="shared" si="65"/>
        <v>1</v>
      </c>
      <c r="P393" s="877"/>
      <c r="Q393" s="48">
        <f t="shared" si="66"/>
        <v>1</v>
      </c>
      <c r="R393" s="48">
        <f t="shared" si="67"/>
        <v>0</v>
      </c>
      <c r="S393" s="733">
        <f t="shared" si="68"/>
        <v>0</v>
      </c>
    </row>
    <row r="394" spans="1:19">
      <c r="A394" s="878"/>
      <c r="B394" s="125"/>
      <c r="C394" s="48">
        <f t="shared" si="59"/>
        <v>1</v>
      </c>
      <c r="D394" s="877"/>
      <c r="E394" s="48">
        <f t="shared" si="60"/>
        <v>1</v>
      </c>
      <c r="F394" s="877"/>
      <c r="G394" s="48">
        <f t="shared" si="61"/>
        <v>1</v>
      </c>
      <c r="H394" s="877"/>
      <c r="I394" s="48">
        <f t="shared" si="62"/>
        <v>1</v>
      </c>
      <c r="J394" s="877"/>
      <c r="K394" s="48">
        <f t="shared" si="63"/>
        <v>1</v>
      </c>
      <c r="L394" s="877"/>
      <c r="M394" s="48">
        <f t="shared" si="64"/>
        <v>1</v>
      </c>
      <c r="N394" s="877"/>
      <c r="O394" s="48">
        <f t="shared" si="65"/>
        <v>1</v>
      </c>
      <c r="P394" s="877"/>
      <c r="Q394" s="48">
        <f t="shared" si="66"/>
        <v>1</v>
      </c>
      <c r="R394" s="48">
        <f t="shared" si="67"/>
        <v>0</v>
      </c>
      <c r="S394" s="733">
        <f t="shared" si="68"/>
        <v>0</v>
      </c>
    </row>
    <row r="395" spans="1:19">
      <c r="A395" s="878"/>
      <c r="B395" s="125"/>
      <c r="C395" s="48">
        <f t="shared" si="59"/>
        <v>1</v>
      </c>
      <c r="D395" s="877"/>
      <c r="E395" s="48">
        <f t="shared" si="60"/>
        <v>1</v>
      </c>
      <c r="F395" s="877"/>
      <c r="G395" s="48">
        <f t="shared" si="61"/>
        <v>1</v>
      </c>
      <c r="H395" s="877"/>
      <c r="I395" s="48">
        <f t="shared" si="62"/>
        <v>1</v>
      </c>
      <c r="J395" s="877"/>
      <c r="K395" s="48">
        <f t="shared" si="63"/>
        <v>1</v>
      </c>
      <c r="L395" s="877"/>
      <c r="M395" s="48">
        <f t="shared" si="64"/>
        <v>1</v>
      </c>
      <c r="N395" s="877"/>
      <c r="O395" s="48">
        <f t="shared" si="65"/>
        <v>1</v>
      </c>
      <c r="P395" s="877"/>
      <c r="Q395" s="48">
        <f t="shared" si="66"/>
        <v>1</v>
      </c>
      <c r="R395" s="48">
        <f t="shared" si="67"/>
        <v>0</v>
      </c>
      <c r="S395" s="733">
        <f t="shared" si="68"/>
        <v>0</v>
      </c>
    </row>
    <row r="396" spans="1:19">
      <c r="A396" s="878"/>
      <c r="B396" s="125"/>
      <c r="C396" s="48">
        <f t="shared" si="59"/>
        <v>1</v>
      </c>
      <c r="D396" s="877"/>
      <c r="E396" s="48">
        <f t="shared" si="60"/>
        <v>1</v>
      </c>
      <c r="F396" s="877"/>
      <c r="G396" s="48">
        <f t="shared" si="61"/>
        <v>1</v>
      </c>
      <c r="H396" s="877"/>
      <c r="I396" s="48">
        <f t="shared" si="62"/>
        <v>1</v>
      </c>
      <c r="J396" s="877"/>
      <c r="K396" s="48">
        <f t="shared" si="63"/>
        <v>1</v>
      </c>
      <c r="L396" s="877"/>
      <c r="M396" s="48">
        <f t="shared" si="64"/>
        <v>1</v>
      </c>
      <c r="N396" s="877"/>
      <c r="O396" s="48">
        <f t="shared" si="65"/>
        <v>1</v>
      </c>
      <c r="P396" s="877"/>
      <c r="Q396" s="48">
        <f t="shared" si="66"/>
        <v>1</v>
      </c>
      <c r="R396" s="48">
        <f t="shared" si="67"/>
        <v>0</v>
      </c>
      <c r="S396" s="733">
        <f t="shared" si="68"/>
        <v>0</v>
      </c>
    </row>
    <row r="397" spans="1:19">
      <c r="A397" s="878"/>
      <c r="B397" s="125"/>
      <c r="C397" s="48">
        <f t="shared" si="59"/>
        <v>1</v>
      </c>
      <c r="D397" s="877"/>
      <c r="E397" s="48">
        <f t="shared" si="60"/>
        <v>1</v>
      </c>
      <c r="F397" s="877"/>
      <c r="G397" s="48">
        <f t="shared" si="61"/>
        <v>1</v>
      </c>
      <c r="H397" s="877"/>
      <c r="I397" s="48">
        <f t="shared" si="62"/>
        <v>1</v>
      </c>
      <c r="J397" s="877"/>
      <c r="K397" s="48">
        <f t="shared" si="63"/>
        <v>1</v>
      </c>
      <c r="L397" s="877"/>
      <c r="M397" s="48">
        <f t="shared" si="64"/>
        <v>1</v>
      </c>
      <c r="N397" s="877"/>
      <c r="O397" s="48">
        <f t="shared" si="65"/>
        <v>1</v>
      </c>
      <c r="P397" s="877"/>
      <c r="Q397" s="48">
        <f t="shared" si="66"/>
        <v>1</v>
      </c>
      <c r="R397" s="48">
        <f t="shared" si="67"/>
        <v>0</v>
      </c>
      <c r="S397" s="733">
        <f t="shared" si="68"/>
        <v>0</v>
      </c>
    </row>
    <row r="398" spans="1:19">
      <c r="A398" s="878"/>
      <c r="B398" s="125"/>
      <c r="C398" s="48">
        <f t="shared" si="59"/>
        <v>1</v>
      </c>
      <c r="D398" s="877"/>
      <c r="E398" s="48">
        <f t="shared" si="60"/>
        <v>1</v>
      </c>
      <c r="F398" s="877"/>
      <c r="G398" s="48">
        <f t="shared" si="61"/>
        <v>1</v>
      </c>
      <c r="H398" s="877"/>
      <c r="I398" s="48">
        <f t="shared" si="62"/>
        <v>1</v>
      </c>
      <c r="J398" s="877"/>
      <c r="K398" s="48">
        <f t="shared" si="63"/>
        <v>1</v>
      </c>
      <c r="L398" s="877"/>
      <c r="M398" s="48">
        <f t="shared" si="64"/>
        <v>1</v>
      </c>
      <c r="N398" s="877"/>
      <c r="O398" s="48">
        <f t="shared" si="65"/>
        <v>1</v>
      </c>
      <c r="P398" s="877"/>
      <c r="Q398" s="48">
        <f t="shared" si="66"/>
        <v>1</v>
      </c>
      <c r="R398" s="48">
        <f t="shared" si="67"/>
        <v>0</v>
      </c>
      <c r="S398" s="733">
        <f t="shared" si="68"/>
        <v>0</v>
      </c>
    </row>
    <row r="399" spans="1:19">
      <c r="A399" s="878"/>
      <c r="B399" s="125"/>
      <c r="C399" s="48">
        <f t="shared" si="59"/>
        <v>1</v>
      </c>
      <c r="D399" s="877"/>
      <c r="E399" s="48">
        <f t="shared" si="60"/>
        <v>1</v>
      </c>
      <c r="F399" s="877"/>
      <c r="G399" s="48">
        <f t="shared" si="61"/>
        <v>1</v>
      </c>
      <c r="H399" s="877"/>
      <c r="I399" s="48">
        <f t="shared" si="62"/>
        <v>1</v>
      </c>
      <c r="J399" s="877"/>
      <c r="K399" s="48">
        <f t="shared" si="63"/>
        <v>1</v>
      </c>
      <c r="L399" s="877"/>
      <c r="M399" s="48">
        <f t="shared" si="64"/>
        <v>1</v>
      </c>
      <c r="N399" s="877"/>
      <c r="O399" s="48">
        <f t="shared" si="65"/>
        <v>1</v>
      </c>
      <c r="P399" s="877"/>
      <c r="Q399" s="48">
        <f t="shared" si="66"/>
        <v>1</v>
      </c>
      <c r="R399" s="48">
        <f t="shared" si="67"/>
        <v>0</v>
      </c>
      <c r="S399" s="733">
        <f t="shared" si="68"/>
        <v>0</v>
      </c>
    </row>
    <row r="400" spans="1:19">
      <c r="A400" s="878"/>
      <c r="B400" s="125"/>
      <c r="C400" s="48">
        <f t="shared" si="59"/>
        <v>1</v>
      </c>
      <c r="D400" s="877"/>
      <c r="E400" s="48">
        <f t="shared" si="60"/>
        <v>1</v>
      </c>
      <c r="F400" s="877"/>
      <c r="G400" s="48">
        <f t="shared" si="61"/>
        <v>1</v>
      </c>
      <c r="H400" s="877"/>
      <c r="I400" s="48">
        <f t="shared" si="62"/>
        <v>1</v>
      </c>
      <c r="J400" s="877"/>
      <c r="K400" s="48">
        <f t="shared" si="63"/>
        <v>1</v>
      </c>
      <c r="L400" s="877"/>
      <c r="M400" s="48">
        <f t="shared" si="64"/>
        <v>1</v>
      </c>
      <c r="N400" s="877"/>
      <c r="O400" s="48">
        <f t="shared" si="65"/>
        <v>1</v>
      </c>
      <c r="P400" s="877"/>
      <c r="Q400" s="48">
        <f t="shared" si="66"/>
        <v>1</v>
      </c>
      <c r="R400" s="48">
        <f t="shared" si="67"/>
        <v>0</v>
      </c>
      <c r="S400" s="733">
        <f t="shared" si="68"/>
        <v>0</v>
      </c>
    </row>
    <row r="401" spans="1:19">
      <c r="A401" s="878"/>
      <c r="B401" s="125"/>
      <c r="C401" s="48">
        <f t="shared" si="59"/>
        <v>1</v>
      </c>
      <c r="D401" s="877"/>
      <c r="E401" s="48">
        <f t="shared" si="60"/>
        <v>1</v>
      </c>
      <c r="F401" s="877"/>
      <c r="G401" s="48">
        <f t="shared" si="61"/>
        <v>1</v>
      </c>
      <c r="H401" s="877"/>
      <c r="I401" s="48">
        <f t="shared" si="62"/>
        <v>1</v>
      </c>
      <c r="J401" s="877"/>
      <c r="K401" s="48">
        <f t="shared" si="63"/>
        <v>1</v>
      </c>
      <c r="L401" s="877"/>
      <c r="M401" s="48">
        <f t="shared" si="64"/>
        <v>1</v>
      </c>
      <c r="N401" s="877"/>
      <c r="O401" s="48">
        <f t="shared" si="65"/>
        <v>1</v>
      </c>
      <c r="P401" s="877"/>
      <c r="Q401" s="48">
        <f t="shared" si="66"/>
        <v>1</v>
      </c>
      <c r="R401" s="48">
        <f t="shared" si="67"/>
        <v>0</v>
      </c>
      <c r="S401" s="733">
        <f t="shared" si="68"/>
        <v>0</v>
      </c>
    </row>
    <row r="402" spans="1:19">
      <c r="A402" s="878"/>
      <c r="B402" s="125"/>
      <c r="C402" s="48">
        <f t="shared" si="59"/>
        <v>1</v>
      </c>
      <c r="D402" s="877"/>
      <c r="E402" s="48">
        <f t="shared" si="60"/>
        <v>1</v>
      </c>
      <c r="F402" s="877"/>
      <c r="G402" s="48">
        <f t="shared" si="61"/>
        <v>1</v>
      </c>
      <c r="H402" s="877"/>
      <c r="I402" s="48">
        <f t="shared" si="62"/>
        <v>1</v>
      </c>
      <c r="J402" s="877"/>
      <c r="K402" s="48">
        <f t="shared" si="63"/>
        <v>1</v>
      </c>
      <c r="L402" s="877"/>
      <c r="M402" s="48">
        <f t="shared" si="64"/>
        <v>1</v>
      </c>
      <c r="N402" s="877"/>
      <c r="O402" s="48">
        <f t="shared" si="65"/>
        <v>1</v>
      </c>
      <c r="P402" s="877"/>
      <c r="Q402" s="48">
        <f t="shared" si="66"/>
        <v>1</v>
      </c>
      <c r="R402" s="48">
        <f t="shared" si="67"/>
        <v>0</v>
      </c>
      <c r="S402" s="733">
        <f t="shared" si="68"/>
        <v>0</v>
      </c>
    </row>
    <row r="403" spans="1:19">
      <c r="A403" s="878"/>
      <c r="B403" s="125"/>
      <c r="C403" s="48">
        <f t="shared" si="59"/>
        <v>1</v>
      </c>
      <c r="D403" s="877"/>
      <c r="E403" s="48">
        <f t="shared" si="60"/>
        <v>1</v>
      </c>
      <c r="F403" s="877"/>
      <c r="G403" s="48">
        <f t="shared" si="61"/>
        <v>1</v>
      </c>
      <c r="H403" s="877"/>
      <c r="I403" s="48">
        <f t="shared" si="62"/>
        <v>1</v>
      </c>
      <c r="J403" s="877"/>
      <c r="K403" s="48">
        <f t="shared" si="63"/>
        <v>1</v>
      </c>
      <c r="L403" s="877"/>
      <c r="M403" s="48">
        <f t="shared" si="64"/>
        <v>1</v>
      </c>
      <c r="N403" s="877"/>
      <c r="O403" s="48">
        <f t="shared" si="65"/>
        <v>1</v>
      </c>
      <c r="P403" s="877"/>
      <c r="Q403" s="48">
        <f t="shared" si="66"/>
        <v>1</v>
      </c>
      <c r="R403" s="48">
        <f t="shared" si="67"/>
        <v>0</v>
      </c>
      <c r="S403" s="733">
        <f t="shared" si="68"/>
        <v>0</v>
      </c>
    </row>
    <row r="404" spans="1:19">
      <c r="A404" s="878"/>
      <c r="B404" s="125"/>
      <c r="C404" s="48">
        <f t="shared" si="59"/>
        <v>1</v>
      </c>
      <c r="D404" s="877"/>
      <c r="E404" s="48">
        <f t="shared" si="60"/>
        <v>1</v>
      </c>
      <c r="F404" s="877"/>
      <c r="G404" s="48">
        <f t="shared" si="61"/>
        <v>1</v>
      </c>
      <c r="H404" s="877"/>
      <c r="I404" s="48">
        <f t="shared" si="62"/>
        <v>1</v>
      </c>
      <c r="J404" s="877"/>
      <c r="K404" s="48">
        <f t="shared" si="63"/>
        <v>1</v>
      </c>
      <c r="L404" s="877"/>
      <c r="M404" s="48">
        <f t="shared" si="64"/>
        <v>1</v>
      </c>
      <c r="N404" s="877"/>
      <c r="O404" s="48">
        <f t="shared" si="65"/>
        <v>1</v>
      </c>
      <c r="P404" s="877"/>
      <c r="Q404" s="48">
        <f t="shared" si="66"/>
        <v>1</v>
      </c>
      <c r="R404" s="48">
        <f t="shared" si="67"/>
        <v>0</v>
      </c>
      <c r="S404" s="733">
        <f t="shared" si="68"/>
        <v>0</v>
      </c>
    </row>
    <row r="405" spans="1:19">
      <c r="A405" s="878"/>
      <c r="B405" s="125"/>
      <c r="C405" s="48">
        <f t="shared" si="59"/>
        <v>1</v>
      </c>
      <c r="D405" s="877"/>
      <c r="E405" s="48">
        <f t="shared" si="60"/>
        <v>1</v>
      </c>
      <c r="F405" s="877"/>
      <c r="G405" s="48">
        <f t="shared" si="61"/>
        <v>1</v>
      </c>
      <c r="H405" s="877"/>
      <c r="I405" s="48">
        <f t="shared" si="62"/>
        <v>1</v>
      </c>
      <c r="J405" s="877"/>
      <c r="K405" s="48">
        <f t="shared" si="63"/>
        <v>1</v>
      </c>
      <c r="L405" s="877"/>
      <c r="M405" s="48">
        <f t="shared" si="64"/>
        <v>1</v>
      </c>
      <c r="N405" s="877"/>
      <c r="O405" s="48">
        <f t="shared" si="65"/>
        <v>1</v>
      </c>
      <c r="P405" s="877"/>
      <c r="Q405" s="48">
        <f t="shared" si="66"/>
        <v>1</v>
      </c>
      <c r="R405" s="48">
        <f t="shared" si="67"/>
        <v>0</v>
      </c>
      <c r="S405" s="733">
        <f t="shared" si="68"/>
        <v>0</v>
      </c>
    </row>
    <row r="406" spans="1:19">
      <c r="A406" s="878"/>
      <c r="B406" s="125"/>
      <c r="C406" s="48">
        <f t="shared" si="59"/>
        <v>1</v>
      </c>
      <c r="D406" s="877"/>
      <c r="E406" s="48">
        <f t="shared" si="60"/>
        <v>1</v>
      </c>
      <c r="F406" s="877"/>
      <c r="G406" s="48">
        <f t="shared" si="61"/>
        <v>1</v>
      </c>
      <c r="H406" s="877"/>
      <c r="I406" s="48">
        <f t="shared" si="62"/>
        <v>1</v>
      </c>
      <c r="J406" s="877"/>
      <c r="K406" s="48">
        <f t="shared" si="63"/>
        <v>1</v>
      </c>
      <c r="L406" s="877"/>
      <c r="M406" s="48">
        <f t="shared" si="64"/>
        <v>1</v>
      </c>
      <c r="N406" s="877"/>
      <c r="O406" s="48">
        <f t="shared" si="65"/>
        <v>1</v>
      </c>
      <c r="P406" s="877"/>
      <c r="Q406" s="48">
        <f t="shared" si="66"/>
        <v>1</v>
      </c>
      <c r="R406" s="48">
        <f t="shared" si="67"/>
        <v>0</v>
      </c>
      <c r="S406" s="733">
        <f t="shared" si="68"/>
        <v>0</v>
      </c>
    </row>
    <row r="407" spans="1:19">
      <c r="A407" s="878"/>
      <c r="B407" s="125"/>
      <c r="C407" s="48">
        <f t="shared" si="59"/>
        <v>1</v>
      </c>
      <c r="D407" s="877"/>
      <c r="E407" s="48">
        <f t="shared" si="60"/>
        <v>1</v>
      </c>
      <c r="F407" s="877"/>
      <c r="G407" s="48">
        <f t="shared" si="61"/>
        <v>1</v>
      </c>
      <c r="H407" s="877"/>
      <c r="I407" s="48">
        <f t="shared" si="62"/>
        <v>1</v>
      </c>
      <c r="J407" s="877"/>
      <c r="K407" s="48">
        <f t="shared" si="63"/>
        <v>1</v>
      </c>
      <c r="L407" s="877"/>
      <c r="M407" s="48">
        <f t="shared" si="64"/>
        <v>1</v>
      </c>
      <c r="N407" s="877"/>
      <c r="O407" s="48">
        <f t="shared" si="65"/>
        <v>1</v>
      </c>
      <c r="P407" s="877"/>
      <c r="Q407" s="48">
        <f t="shared" si="66"/>
        <v>1</v>
      </c>
      <c r="R407" s="48">
        <f t="shared" si="67"/>
        <v>0</v>
      </c>
      <c r="S407" s="733">
        <f t="shared" si="68"/>
        <v>0</v>
      </c>
    </row>
    <row r="408" spans="1:19">
      <c r="A408" s="878"/>
      <c r="B408" s="125"/>
      <c r="C408" s="48">
        <f t="shared" si="59"/>
        <v>1</v>
      </c>
      <c r="D408" s="877"/>
      <c r="E408" s="48">
        <f t="shared" si="60"/>
        <v>1</v>
      </c>
      <c r="F408" s="877"/>
      <c r="G408" s="48">
        <f t="shared" si="61"/>
        <v>1</v>
      </c>
      <c r="H408" s="877"/>
      <c r="I408" s="48">
        <f t="shared" si="62"/>
        <v>1</v>
      </c>
      <c r="J408" s="877"/>
      <c r="K408" s="48">
        <f t="shared" si="63"/>
        <v>1</v>
      </c>
      <c r="L408" s="877"/>
      <c r="M408" s="48">
        <f t="shared" si="64"/>
        <v>1</v>
      </c>
      <c r="N408" s="877"/>
      <c r="O408" s="48">
        <f t="shared" si="65"/>
        <v>1</v>
      </c>
      <c r="P408" s="877"/>
      <c r="Q408" s="48">
        <f t="shared" si="66"/>
        <v>1</v>
      </c>
      <c r="R408" s="48">
        <f t="shared" si="67"/>
        <v>0</v>
      </c>
      <c r="S408" s="733">
        <f t="shared" si="68"/>
        <v>0</v>
      </c>
    </row>
    <row r="409" spans="1:19">
      <c r="A409" s="878"/>
      <c r="B409" s="125"/>
      <c r="C409" s="48">
        <f t="shared" si="59"/>
        <v>1</v>
      </c>
      <c r="D409" s="877"/>
      <c r="E409" s="48">
        <f t="shared" si="60"/>
        <v>1</v>
      </c>
      <c r="F409" s="877"/>
      <c r="G409" s="48">
        <f t="shared" si="61"/>
        <v>1</v>
      </c>
      <c r="H409" s="877"/>
      <c r="I409" s="48">
        <f t="shared" si="62"/>
        <v>1</v>
      </c>
      <c r="J409" s="877"/>
      <c r="K409" s="48">
        <f t="shared" si="63"/>
        <v>1</v>
      </c>
      <c r="L409" s="877"/>
      <c r="M409" s="48">
        <f t="shared" si="64"/>
        <v>1</v>
      </c>
      <c r="N409" s="877"/>
      <c r="O409" s="48">
        <f t="shared" si="65"/>
        <v>1</v>
      </c>
      <c r="P409" s="877"/>
      <c r="Q409" s="48">
        <f t="shared" si="66"/>
        <v>1</v>
      </c>
      <c r="R409" s="48">
        <f t="shared" si="67"/>
        <v>0</v>
      </c>
      <c r="S409" s="733">
        <f t="shared" si="68"/>
        <v>0</v>
      </c>
    </row>
    <row r="410" spans="1:19">
      <c r="A410" s="878"/>
      <c r="B410" s="125"/>
      <c r="C410" s="48">
        <f t="shared" ref="C410:C473" si="69">IF(B410="",1,(LOOKUP(B410,$3:$3,$4:$4)-LOOKUP($B$24,$3:$3,$4:$4)+100)/100)</f>
        <v>1</v>
      </c>
      <c r="D410" s="877"/>
      <c r="E410" s="48">
        <f t="shared" ref="E410:E473" si="70">(SUMIF($5:$5,D410,$6:$6)-SUMIF($5:$5,$D$24,$6:$6)+100)/100</f>
        <v>1</v>
      </c>
      <c r="F410" s="877"/>
      <c r="G410" s="48">
        <f t="shared" ref="G410:G473" si="71">(SUMIF($7:$7,F410,$8:$8)-SUMIF($7:$7,$F$24,$8:$8)+100)/100</f>
        <v>1</v>
      </c>
      <c r="H410" s="877"/>
      <c r="I410" s="48">
        <f t="shared" ref="I410:I473" si="72">(SUMIF($9:$9,H410,$10:$10)-SUMIF($9:$9,$H$24,$10:$10)+100)/100</f>
        <v>1</v>
      </c>
      <c r="J410" s="877"/>
      <c r="K410" s="48">
        <f t="shared" ref="K410:K473" si="73">(SUMIF($11:$11,J410,$12:$12)-SUMIF($11:$11,$J$24,$12:$12)+100)/100</f>
        <v>1</v>
      </c>
      <c r="L410" s="877"/>
      <c r="M410" s="48">
        <f t="shared" ref="M410:M473" si="74">(SUMIF($13:$13,L410,$14:$14)-SUMIF($13:$13,$L$24,$14:$14)+100)/100</f>
        <v>1</v>
      </c>
      <c r="N410" s="877"/>
      <c r="O410" s="48">
        <f t="shared" ref="O410:O473" si="75">(SUMIF($15:$15,N410,$16:$16)-SUMIF($15:$15,$N$24,$16:$16)+100)/100</f>
        <v>1</v>
      </c>
      <c r="P410" s="877"/>
      <c r="Q410" s="48">
        <f t="shared" ref="Q410:Q473" si="76">(SUMIF($17:$17,P410,$18:$18)-SUMIF($17:$17,$P$24,$18:$18)+100)/100</f>
        <v>1</v>
      </c>
      <c r="R410" s="48">
        <f t="shared" ref="R410:R473" si="77">IF(B410="",0,ROUND($R$24*C410*E410*G410*I410*K410*M410*O410*Q410,0))</f>
        <v>0</v>
      </c>
      <c r="S410" s="733">
        <f t="shared" si="68"/>
        <v>0</v>
      </c>
    </row>
    <row r="411" spans="1:19">
      <c r="A411" s="878"/>
      <c r="B411" s="125"/>
      <c r="C411" s="48">
        <f t="shared" si="69"/>
        <v>1</v>
      </c>
      <c r="D411" s="877"/>
      <c r="E411" s="48">
        <f t="shared" si="70"/>
        <v>1</v>
      </c>
      <c r="F411" s="877"/>
      <c r="G411" s="48">
        <f t="shared" si="71"/>
        <v>1</v>
      </c>
      <c r="H411" s="877"/>
      <c r="I411" s="48">
        <f t="shared" si="72"/>
        <v>1</v>
      </c>
      <c r="J411" s="877"/>
      <c r="K411" s="48">
        <f t="shared" si="73"/>
        <v>1</v>
      </c>
      <c r="L411" s="877"/>
      <c r="M411" s="48">
        <f t="shared" si="74"/>
        <v>1</v>
      </c>
      <c r="N411" s="877"/>
      <c r="O411" s="48">
        <f t="shared" si="75"/>
        <v>1</v>
      </c>
      <c r="P411" s="877"/>
      <c r="Q411" s="48">
        <f t="shared" si="76"/>
        <v>1</v>
      </c>
      <c r="R411" s="48">
        <f t="shared" si="77"/>
        <v>0</v>
      </c>
      <c r="S411" s="733">
        <f t="shared" si="68"/>
        <v>0</v>
      </c>
    </row>
    <row r="412" spans="1:19">
      <c r="A412" s="878"/>
      <c r="B412" s="125"/>
      <c r="C412" s="48">
        <f t="shared" si="69"/>
        <v>1</v>
      </c>
      <c r="D412" s="877"/>
      <c r="E412" s="48">
        <f t="shared" si="70"/>
        <v>1</v>
      </c>
      <c r="F412" s="877"/>
      <c r="G412" s="48">
        <f t="shared" si="71"/>
        <v>1</v>
      </c>
      <c r="H412" s="877"/>
      <c r="I412" s="48">
        <f t="shared" si="72"/>
        <v>1</v>
      </c>
      <c r="J412" s="877"/>
      <c r="K412" s="48">
        <f t="shared" si="73"/>
        <v>1</v>
      </c>
      <c r="L412" s="877"/>
      <c r="M412" s="48">
        <f t="shared" si="74"/>
        <v>1</v>
      </c>
      <c r="N412" s="877"/>
      <c r="O412" s="48">
        <f t="shared" si="75"/>
        <v>1</v>
      </c>
      <c r="P412" s="877"/>
      <c r="Q412" s="48">
        <f t="shared" si="76"/>
        <v>1</v>
      </c>
      <c r="R412" s="48">
        <f t="shared" si="77"/>
        <v>0</v>
      </c>
      <c r="S412" s="733">
        <f t="shared" si="68"/>
        <v>0</v>
      </c>
    </row>
    <row r="413" spans="1:19">
      <c r="A413" s="878"/>
      <c r="B413" s="125"/>
      <c r="C413" s="48">
        <f t="shared" si="69"/>
        <v>1</v>
      </c>
      <c r="D413" s="877"/>
      <c r="E413" s="48">
        <f t="shared" si="70"/>
        <v>1</v>
      </c>
      <c r="F413" s="877"/>
      <c r="G413" s="48">
        <f t="shared" si="71"/>
        <v>1</v>
      </c>
      <c r="H413" s="877"/>
      <c r="I413" s="48">
        <f t="shared" si="72"/>
        <v>1</v>
      </c>
      <c r="J413" s="877"/>
      <c r="K413" s="48">
        <f t="shared" si="73"/>
        <v>1</v>
      </c>
      <c r="L413" s="877"/>
      <c r="M413" s="48">
        <f t="shared" si="74"/>
        <v>1</v>
      </c>
      <c r="N413" s="877"/>
      <c r="O413" s="48">
        <f t="shared" si="75"/>
        <v>1</v>
      </c>
      <c r="P413" s="877"/>
      <c r="Q413" s="48">
        <f t="shared" si="76"/>
        <v>1</v>
      </c>
      <c r="R413" s="48">
        <f t="shared" si="77"/>
        <v>0</v>
      </c>
      <c r="S413" s="733">
        <f t="shared" si="68"/>
        <v>0</v>
      </c>
    </row>
    <row r="414" spans="1:19">
      <c r="A414" s="878"/>
      <c r="B414" s="125"/>
      <c r="C414" s="48">
        <f t="shared" si="69"/>
        <v>1</v>
      </c>
      <c r="D414" s="877"/>
      <c r="E414" s="48">
        <f t="shared" si="70"/>
        <v>1</v>
      </c>
      <c r="F414" s="877"/>
      <c r="G414" s="48">
        <f t="shared" si="71"/>
        <v>1</v>
      </c>
      <c r="H414" s="877"/>
      <c r="I414" s="48">
        <f t="shared" si="72"/>
        <v>1</v>
      </c>
      <c r="J414" s="877"/>
      <c r="K414" s="48">
        <f t="shared" si="73"/>
        <v>1</v>
      </c>
      <c r="L414" s="877"/>
      <c r="M414" s="48">
        <f t="shared" si="74"/>
        <v>1</v>
      </c>
      <c r="N414" s="877"/>
      <c r="O414" s="48">
        <f t="shared" si="75"/>
        <v>1</v>
      </c>
      <c r="P414" s="877"/>
      <c r="Q414" s="48">
        <f t="shared" si="76"/>
        <v>1</v>
      </c>
      <c r="R414" s="48">
        <f t="shared" si="77"/>
        <v>0</v>
      </c>
      <c r="S414" s="733">
        <f t="shared" si="68"/>
        <v>0</v>
      </c>
    </row>
    <row r="415" spans="1:19">
      <c r="A415" s="878"/>
      <c r="B415" s="125"/>
      <c r="C415" s="48">
        <f t="shared" si="69"/>
        <v>1</v>
      </c>
      <c r="D415" s="877"/>
      <c r="E415" s="48">
        <f t="shared" si="70"/>
        <v>1</v>
      </c>
      <c r="F415" s="877"/>
      <c r="G415" s="48">
        <f t="shared" si="71"/>
        <v>1</v>
      </c>
      <c r="H415" s="877"/>
      <c r="I415" s="48">
        <f t="shared" si="72"/>
        <v>1</v>
      </c>
      <c r="J415" s="877"/>
      <c r="K415" s="48">
        <f t="shared" si="73"/>
        <v>1</v>
      </c>
      <c r="L415" s="877"/>
      <c r="M415" s="48">
        <f t="shared" si="74"/>
        <v>1</v>
      </c>
      <c r="N415" s="877"/>
      <c r="O415" s="48">
        <f t="shared" si="75"/>
        <v>1</v>
      </c>
      <c r="P415" s="877"/>
      <c r="Q415" s="48">
        <f t="shared" si="76"/>
        <v>1</v>
      </c>
      <c r="R415" s="48">
        <f t="shared" si="77"/>
        <v>0</v>
      </c>
      <c r="S415" s="733">
        <f t="shared" si="68"/>
        <v>0</v>
      </c>
    </row>
    <row r="416" spans="1:19">
      <c r="A416" s="878"/>
      <c r="B416" s="125"/>
      <c r="C416" s="48">
        <f t="shared" si="69"/>
        <v>1</v>
      </c>
      <c r="D416" s="877"/>
      <c r="E416" s="48">
        <f t="shared" si="70"/>
        <v>1</v>
      </c>
      <c r="F416" s="877"/>
      <c r="G416" s="48">
        <f t="shared" si="71"/>
        <v>1</v>
      </c>
      <c r="H416" s="877"/>
      <c r="I416" s="48">
        <f t="shared" si="72"/>
        <v>1</v>
      </c>
      <c r="J416" s="877"/>
      <c r="K416" s="48">
        <f t="shared" si="73"/>
        <v>1</v>
      </c>
      <c r="L416" s="877"/>
      <c r="M416" s="48">
        <f t="shared" si="74"/>
        <v>1</v>
      </c>
      <c r="N416" s="877"/>
      <c r="O416" s="48">
        <f t="shared" si="75"/>
        <v>1</v>
      </c>
      <c r="P416" s="877"/>
      <c r="Q416" s="48">
        <f t="shared" si="76"/>
        <v>1</v>
      </c>
      <c r="R416" s="48">
        <f t="shared" si="77"/>
        <v>0</v>
      </c>
      <c r="S416" s="733">
        <f t="shared" si="68"/>
        <v>0</v>
      </c>
    </row>
    <row r="417" spans="1:19">
      <c r="A417" s="878"/>
      <c r="B417" s="125"/>
      <c r="C417" s="48">
        <f t="shared" si="69"/>
        <v>1</v>
      </c>
      <c r="D417" s="877"/>
      <c r="E417" s="48">
        <f t="shared" si="70"/>
        <v>1</v>
      </c>
      <c r="F417" s="877"/>
      <c r="G417" s="48">
        <f t="shared" si="71"/>
        <v>1</v>
      </c>
      <c r="H417" s="877"/>
      <c r="I417" s="48">
        <f t="shared" si="72"/>
        <v>1</v>
      </c>
      <c r="J417" s="877"/>
      <c r="K417" s="48">
        <f t="shared" si="73"/>
        <v>1</v>
      </c>
      <c r="L417" s="877"/>
      <c r="M417" s="48">
        <f t="shared" si="74"/>
        <v>1</v>
      </c>
      <c r="N417" s="877"/>
      <c r="O417" s="48">
        <f t="shared" si="75"/>
        <v>1</v>
      </c>
      <c r="P417" s="877"/>
      <c r="Q417" s="48">
        <f t="shared" si="76"/>
        <v>1</v>
      </c>
      <c r="R417" s="48">
        <f t="shared" si="77"/>
        <v>0</v>
      </c>
      <c r="S417" s="733">
        <f t="shared" si="68"/>
        <v>0</v>
      </c>
    </row>
    <row r="418" spans="1:19">
      <c r="A418" s="878"/>
      <c r="B418" s="125"/>
      <c r="C418" s="48">
        <f t="shared" si="69"/>
        <v>1</v>
      </c>
      <c r="D418" s="877"/>
      <c r="E418" s="48">
        <f t="shared" si="70"/>
        <v>1</v>
      </c>
      <c r="F418" s="877"/>
      <c r="G418" s="48">
        <f t="shared" si="71"/>
        <v>1</v>
      </c>
      <c r="H418" s="877"/>
      <c r="I418" s="48">
        <f t="shared" si="72"/>
        <v>1</v>
      </c>
      <c r="J418" s="877"/>
      <c r="K418" s="48">
        <f t="shared" si="73"/>
        <v>1</v>
      </c>
      <c r="L418" s="877"/>
      <c r="M418" s="48">
        <f t="shared" si="74"/>
        <v>1</v>
      </c>
      <c r="N418" s="877"/>
      <c r="O418" s="48">
        <f t="shared" si="75"/>
        <v>1</v>
      </c>
      <c r="P418" s="877"/>
      <c r="Q418" s="48">
        <f t="shared" si="76"/>
        <v>1</v>
      </c>
      <c r="R418" s="48">
        <f t="shared" si="77"/>
        <v>0</v>
      </c>
      <c r="S418" s="733">
        <f t="shared" si="68"/>
        <v>0</v>
      </c>
    </row>
    <row r="419" spans="1:19">
      <c r="A419" s="878"/>
      <c r="B419" s="125"/>
      <c r="C419" s="48">
        <f t="shared" si="69"/>
        <v>1</v>
      </c>
      <c r="D419" s="877"/>
      <c r="E419" s="48">
        <f t="shared" si="70"/>
        <v>1</v>
      </c>
      <c r="F419" s="877"/>
      <c r="G419" s="48">
        <f t="shared" si="71"/>
        <v>1</v>
      </c>
      <c r="H419" s="877"/>
      <c r="I419" s="48">
        <f t="shared" si="72"/>
        <v>1</v>
      </c>
      <c r="J419" s="877"/>
      <c r="K419" s="48">
        <f t="shared" si="73"/>
        <v>1</v>
      </c>
      <c r="L419" s="877"/>
      <c r="M419" s="48">
        <f t="shared" si="74"/>
        <v>1</v>
      </c>
      <c r="N419" s="877"/>
      <c r="O419" s="48">
        <f t="shared" si="75"/>
        <v>1</v>
      </c>
      <c r="P419" s="877"/>
      <c r="Q419" s="48">
        <f t="shared" si="76"/>
        <v>1</v>
      </c>
      <c r="R419" s="48">
        <f t="shared" si="77"/>
        <v>0</v>
      </c>
      <c r="S419" s="733">
        <f t="shared" si="68"/>
        <v>0</v>
      </c>
    </row>
    <row r="420" spans="1:19">
      <c r="A420" s="878"/>
      <c r="B420" s="125"/>
      <c r="C420" s="48">
        <f t="shared" si="69"/>
        <v>1</v>
      </c>
      <c r="D420" s="877"/>
      <c r="E420" s="48">
        <f t="shared" si="70"/>
        <v>1</v>
      </c>
      <c r="F420" s="877"/>
      <c r="G420" s="48">
        <f t="shared" si="71"/>
        <v>1</v>
      </c>
      <c r="H420" s="877"/>
      <c r="I420" s="48">
        <f t="shared" si="72"/>
        <v>1</v>
      </c>
      <c r="J420" s="877"/>
      <c r="K420" s="48">
        <f t="shared" si="73"/>
        <v>1</v>
      </c>
      <c r="L420" s="877"/>
      <c r="M420" s="48">
        <f t="shared" si="74"/>
        <v>1</v>
      </c>
      <c r="N420" s="877"/>
      <c r="O420" s="48">
        <f t="shared" si="75"/>
        <v>1</v>
      </c>
      <c r="P420" s="877"/>
      <c r="Q420" s="48">
        <f t="shared" si="76"/>
        <v>1</v>
      </c>
      <c r="R420" s="48">
        <f t="shared" si="77"/>
        <v>0</v>
      </c>
      <c r="S420" s="733">
        <f t="shared" si="68"/>
        <v>0</v>
      </c>
    </row>
    <row r="421" spans="1:19">
      <c r="A421" s="878"/>
      <c r="B421" s="125"/>
      <c r="C421" s="48">
        <f t="shared" si="69"/>
        <v>1</v>
      </c>
      <c r="D421" s="877"/>
      <c r="E421" s="48">
        <f t="shared" si="70"/>
        <v>1</v>
      </c>
      <c r="F421" s="877"/>
      <c r="G421" s="48">
        <f t="shared" si="71"/>
        <v>1</v>
      </c>
      <c r="H421" s="877"/>
      <c r="I421" s="48">
        <f t="shared" si="72"/>
        <v>1</v>
      </c>
      <c r="J421" s="877"/>
      <c r="K421" s="48">
        <f t="shared" si="73"/>
        <v>1</v>
      </c>
      <c r="L421" s="877"/>
      <c r="M421" s="48">
        <f t="shared" si="74"/>
        <v>1</v>
      </c>
      <c r="N421" s="877"/>
      <c r="O421" s="48">
        <f t="shared" si="75"/>
        <v>1</v>
      </c>
      <c r="P421" s="877"/>
      <c r="Q421" s="48">
        <f t="shared" si="76"/>
        <v>1</v>
      </c>
      <c r="R421" s="48">
        <f t="shared" si="77"/>
        <v>0</v>
      </c>
      <c r="S421" s="733">
        <f t="shared" si="68"/>
        <v>0</v>
      </c>
    </row>
    <row r="422" spans="1:19">
      <c r="A422" s="878"/>
      <c r="B422" s="125"/>
      <c r="C422" s="48">
        <f t="shared" si="69"/>
        <v>1</v>
      </c>
      <c r="D422" s="877"/>
      <c r="E422" s="48">
        <f t="shared" si="70"/>
        <v>1</v>
      </c>
      <c r="F422" s="877"/>
      <c r="G422" s="48">
        <f t="shared" si="71"/>
        <v>1</v>
      </c>
      <c r="H422" s="877"/>
      <c r="I422" s="48">
        <f t="shared" si="72"/>
        <v>1</v>
      </c>
      <c r="J422" s="877"/>
      <c r="K422" s="48">
        <f t="shared" si="73"/>
        <v>1</v>
      </c>
      <c r="L422" s="877"/>
      <c r="M422" s="48">
        <f t="shared" si="74"/>
        <v>1</v>
      </c>
      <c r="N422" s="877"/>
      <c r="O422" s="48">
        <f t="shared" si="75"/>
        <v>1</v>
      </c>
      <c r="P422" s="877"/>
      <c r="Q422" s="48">
        <f t="shared" si="76"/>
        <v>1</v>
      </c>
      <c r="R422" s="48">
        <f t="shared" si="77"/>
        <v>0</v>
      </c>
      <c r="S422" s="733">
        <f t="shared" si="68"/>
        <v>0</v>
      </c>
    </row>
    <row r="423" spans="1:19">
      <c r="A423" s="878"/>
      <c r="B423" s="125"/>
      <c r="C423" s="48">
        <f t="shared" si="69"/>
        <v>1</v>
      </c>
      <c r="D423" s="877"/>
      <c r="E423" s="48">
        <f t="shared" si="70"/>
        <v>1</v>
      </c>
      <c r="F423" s="877"/>
      <c r="G423" s="48">
        <f t="shared" si="71"/>
        <v>1</v>
      </c>
      <c r="H423" s="877"/>
      <c r="I423" s="48">
        <f t="shared" si="72"/>
        <v>1</v>
      </c>
      <c r="J423" s="877"/>
      <c r="K423" s="48">
        <f t="shared" si="73"/>
        <v>1</v>
      </c>
      <c r="L423" s="877"/>
      <c r="M423" s="48">
        <f t="shared" si="74"/>
        <v>1</v>
      </c>
      <c r="N423" s="877"/>
      <c r="O423" s="48">
        <f t="shared" si="75"/>
        <v>1</v>
      </c>
      <c r="P423" s="877"/>
      <c r="Q423" s="48">
        <f t="shared" si="76"/>
        <v>1</v>
      </c>
      <c r="R423" s="48">
        <f t="shared" si="77"/>
        <v>0</v>
      </c>
      <c r="S423" s="733">
        <f t="shared" ref="S423:S467" si="78">ROUND(R423*B423/10000,0)</f>
        <v>0</v>
      </c>
    </row>
    <row r="424" spans="1:19">
      <c r="A424" s="878"/>
      <c r="B424" s="125"/>
      <c r="C424" s="48">
        <f t="shared" si="69"/>
        <v>1</v>
      </c>
      <c r="D424" s="877"/>
      <c r="E424" s="48">
        <f t="shared" si="70"/>
        <v>1</v>
      </c>
      <c r="F424" s="877"/>
      <c r="G424" s="48">
        <f t="shared" si="71"/>
        <v>1</v>
      </c>
      <c r="H424" s="877"/>
      <c r="I424" s="48">
        <f t="shared" si="72"/>
        <v>1</v>
      </c>
      <c r="J424" s="877"/>
      <c r="K424" s="48">
        <f t="shared" si="73"/>
        <v>1</v>
      </c>
      <c r="L424" s="877"/>
      <c r="M424" s="48">
        <f t="shared" si="74"/>
        <v>1</v>
      </c>
      <c r="N424" s="877"/>
      <c r="O424" s="48">
        <f t="shared" si="75"/>
        <v>1</v>
      </c>
      <c r="P424" s="877"/>
      <c r="Q424" s="48">
        <f t="shared" si="76"/>
        <v>1</v>
      </c>
      <c r="R424" s="48">
        <f t="shared" si="77"/>
        <v>0</v>
      </c>
      <c r="S424" s="733">
        <f t="shared" si="78"/>
        <v>0</v>
      </c>
    </row>
    <row r="425" spans="1:19">
      <c r="A425" s="878"/>
      <c r="B425" s="125"/>
      <c r="C425" s="48">
        <f t="shared" si="69"/>
        <v>1</v>
      </c>
      <c r="D425" s="877"/>
      <c r="E425" s="48">
        <f t="shared" si="70"/>
        <v>1</v>
      </c>
      <c r="F425" s="877"/>
      <c r="G425" s="48">
        <f t="shared" si="71"/>
        <v>1</v>
      </c>
      <c r="H425" s="877"/>
      <c r="I425" s="48">
        <f t="shared" si="72"/>
        <v>1</v>
      </c>
      <c r="J425" s="877"/>
      <c r="K425" s="48">
        <f t="shared" si="73"/>
        <v>1</v>
      </c>
      <c r="L425" s="877"/>
      <c r="M425" s="48">
        <f t="shared" si="74"/>
        <v>1</v>
      </c>
      <c r="N425" s="877"/>
      <c r="O425" s="48">
        <f t="shared" si="75"/>
        <v>1</v>
      </c>
      <c r="P425" s="877"/>
      <c r="Q425" s="48">
        <f t="shared" si="76"/>
        <v>1</v>
      </c>
      <c r="R425" s="48">
        <f t="shared" si="77"/>
        <v>0</v>
      </c>
      <c r="S425" s="733">
        <f t="shared" si="78"/>
        <v>0</v>
      </c>
    </row>
    <row r="426" spans="1:19">
      <c r="A426" s="878"/>
      <c r="B426" s="125"/>
      <c r="C426" s="48">
        <f t="shared" si="69"/>
        <v>1</v>
      </c>
      <c r="D426" s="877"/>
      <c r="E426" s="48">
        <f t="shared" si="70"/>
        <v>1</v>
      </c>
      <c r="F426" s="877"/>
      <c r="G426" s="48">
        <f t="shared" si="71"/>
        <v>1</v>
      </c>
      <c r="H426" s="877"/>
      <c r="I426" s="48">
        <f t="shared" si="72"/>
        <v>1</v>
      </c>
      <c r="J426" s="877"/>
      <c r="K426" s="48">
        <f t="shared" si="73"/>
        <v>1</v>
      </c>
      <c r="L426" s="877"/>
      <c r="M426" s="48">
        <f t="shared" si="74"/>
        <v>1</v>
      </c>
      <c r="N426" s="877"/>
      <c r="O426" s="48">
        <f t="shared" si="75"/>
        <v>1</v>
      </c>
      <c r="P426" s="877"/>
      <c r="Q426" s="48">
        <f t="shared" si="76"/>
        <v>1</v>
      </c>
      <c r="R426" s="48">
        <f t="shared" si="77"/>
        <v>0</v>
      </c>
      <c r="S426" s="733">
        <f t="shared" si="78"/>
        <v>0</v>
      </c>
    </row>
    <row r="427" spans="1:19">
      <c r="A427" s="878"/>
      <c r="B427" s="125"/>
      <c r="C427" s="48">
        <f t="shared" si="69"/>
        <v>1</v>
      </c>
      <c r="D427" s="877"/>
      <c r="E427" s="48">
        <f t="shared" si="70"/>
        <v>1</v>
      </c>
      <c r="F427" s="877"/>
      <c r="G427" s="48">
        <f t="shared" si="71"/>
        <v>1</v>
      </c>
      <c r="H427" s="877"/>
      <c r="I427" s="48">
        <f t="shared" si="72"/>
        <v>1</v>
      </c>
      <c r="J427" s="877"/>
      <c r="K427" s="48">
        <f t="shared" si="73"/>
        <v>1</v>
      </c>
      <c r="L427" s="877"/>
      <c r="M427" s="48">
        <f t="shared" si="74"/>
        <v>1</v>
      </c>
      <c r="N427" s="877"/>
      <c r="O427" s="48">
        <f t="shared" si="75"/>
        <v>1</v>
      </c>
      <c r="P427" s="877"/>
      <c r="Q427" s="48">
        <f t="shared" si="76"/>
        <v>1</v>
      </c>
      <c r="R427" s="48">
        <f t="shared" si="77"/>
        <v>0</v>
      </c>
      <c r="S427" s="733">
        <f t="shared" si="78"/>
        <v>0</v>
      </c>
    </row>
    <row r="428" spans="1:19">
      <c r="A428" s="878"/>
      <c r="B428" s="125"/>
      <c r="C428" s="48">
        <f t="shared" si="69"/>
        <v>1</v>
      </c>
      <c r="D428" s="877"/>
      <c r="E428" s="48">
        <f t="shared" si="70"/>
        <v>1</v>
      </c>
      <c r="F428" s="877"/>
      <c r="G428" s="48">
        <f t="shared" si="71"/>
        <v>1</v>
      </c>
      <c r="H428" s="877"/>
      <c r="I428" s="48">
        <f t="shared" si="72"/>
        <v>1</v>
      </c>
      <c r="J428" s="877"/>
      <c r="K428" s="48">
        <f t="shared" si="73"/>
        <v>1</v>
      </c>
      <c r="L428" s="877"/>
      <c r="M428" s="48">
        <f t="shared" si="74"/>
        <v>1</v>
      </c>
      <c r="N428" s="877"/>
      <c r="O428" s="48">
        <f t="shared" si="75"/>
        <v>1</v>
      </c>
      <c r="P428" s="877"/>
      <c r="Q428" s="48">
        <f t="shared" si="76"/>
        <v>1</v>
      </c>
      <c r="R428" s="48">
        <f t="shared" si="77"/>
        <v>0</v>
      </c>
      <c r="S428" s="733">
        <f t="shared" si="78"/>
        <v>0</v>
      </c>
    </row>
    <row r="429" spans="1:19">
      <c r="A429" s="878"/>
      <c r="B429" s="125"/>
      <c r="C429" s="48">
        <f t="shared" si="69"/>
        <v>1</v>
      </c>
      <c r="D429" s="877"/>
      <c r="E429" s="48">
        <f t="shared" si="70"/>
        <v>1</v>
      </c>
      <c r="F429" s="877"/>
      <c r="G429" s="48">
        <f t="shared" si="71"/>
        <v>1</v>
      </c>
      <c r="H429" s="877"/>
      <c r="I429" s="48">
        <f t="shared" si="72"/>
        <v>1</v>
      </c>
      <c r="J429" s="877"/>
      <c r="K429" s="48">
        <f t="shared" si="73"/>
        <v>1</v>
      </c>
      <c r="L429" s="877"/>
      <c r="M429" s="48">
        <f t="shared" si="74"/>
        <v>1</v>
      </c>
      <c r="N429" s="877"/>
      <c r="O429" s="48">
        <f t="shared" si="75"/>
        <v>1</v>
      </c>
      <c r="P429" s="877"/>
      <c r="Q429" s="48">
        <f t="shared" si="76"/>
        <v>1</v>
      </c>
      <c r="R429" s="48">
        <f t="shared" si="77"/>
        <v>0</v>
      </c>
      <c r="S429" s="733">
        <f t="shared" si="78"/>
        <v>0</v>
      </c>
    </row>
    <row r="430" spans="1:19">
      <c r="A430" s="878"/>
      <c r="B430" s="125"/>
      <c r="C430" s="48">
        <f t="shared" si="69"/>
        <v>1</v>
      </c>
      <c r="D430" s="877"/>
      <c r="E430" s="48">
        <f t="shared" si="70"/>
        <v>1</v>
      </c>
      <c r="F430" s="877"/>
      <c r="G430" s="48">
        <f t="shared" si="71"/>
        <v>1</v>
      </c>
      <c r="H430" s="877"/>
      <c r="I430" s="48">
        <f t="shared" si="72"/>
        <v>1</v>
      </c>
      <c r="J430" s="877"/>
      <c r="K430" s="48">
        <f t="shared" si="73"/>
        <v>1</v>
      </c>
      <c r="L430" s="877"/>
      <c r="M430" s="48">
        <f t="shared" si="74"/>
        <v>1</v>
      </c>
      <c r="N430" s="877"/>
      <c r="O430" s="48">
        <f t="shared" si="75"/>
        <v>1</v>
      </c>
      <c r="P430" s="877"/>
      <c r="Q430" s="48">
        <f t="shared" si="76"/>
        <v>1</v>
      </c>
      <c r="R430" s="48">
        <f t="shared" si="77"/>
        <v>0</v>
      </c>
      <c r="S430" s="733">
        <f t="shared" si="78"/>
        <v>0</v>
      </c>
    </row>
    <row r="431" spans="1:19">
      <c r="A431" s="878"/>
      <c r="B431" s="125"/>
      <c r="C431" s="48">
        <f t="shared" si="69"/>
        <v>1</v>
      </c>
      <c r="D431" s="877"/>
      <c r="E431" s="48">
        <f t="shared" si="70"/>
        <v>1</v>
      </c>
      <c r="F431" s="877"/>
      <c r="G431" s="48">
        <f t="shared" si="71"/>
        <v>1</v>
      </c>
      <c r="H431" s="877"/>
      <c r="I431" s="48">
        <f t="shared" si="72"/>
        <v>1</v>
      </c>
      <c r="J431" s="877"/>
      <c r="K431" s="48">
        <f t="shared" si="73"/>
        <v>1</v>
      </c>
      <c r="L431" s="877"/>
      <c r="M431" s="48">
        <f t="shared" si="74"/>
        <v>1</v>
      </c>
      <c r="N431" s="877"/>
      <c r="O431" s="48">
        <f t="shared" si="75"/>
        <v>1</v>
      </c>
      <c r="P431" s="877"/>
      <c r="Q431" s="48">
        <f t="shared" si="76"/>
        <v>1</v>
      </c>
      <c r="R431" s="48">
        <f t="shared" si="77"/>
        <v>0</v>
      </c>
      <c r="S431" s="733">
        <f t="shared" si="78"/>
        <v>0</v>
      </c>
    </row>
    <row r="432" spans="1:19">
      <c r="A432" s="878"/>
      <c r="B432" s="125"/>
      <c r="C432" s="48">
        <f t="shared" si="69"/>
        <v>1</v>
      </c>
      <c r="D432" s="877"/>
      <c r="E432" s="48">
        <f t="shared" si="70"/>
        <v>1</v>
      </c>
      <c r="F432" s="877"/>
      <c r="G432" s="48">
        <f t="shared" si="71"/>
        <v>1</v>
      </c>
      <c r="H432" s="877"/>
      <c r="I432" s="48">
        <f t="shared" si="72"/>
        <v>1</v>
      </c>
      <c r="J432" s="877"/>
      <c r="K432" s="48">
        <f t="shared" si="73"/>
        <v>1</v>
      </c>
      <c r="L432" s="877"/>
      <c r="M432" s="48">
        <f t="shared" si="74"/>
        <v>1</v>
      </c>
      <c r="N432" s="877"/>
      <c r="O432" s="48">
        <f t="shared" si="75"/>
        <v>1</v>
      </c>
      <c r="P432" s="877"/>
      <c r="Q432" s="48">
        <f t="shared" si="76"/>
        <v>1</v>
      </c>
      <c r="R432" s="48">
        <f t="shared" si="77"/>
        <v>0</v>
      </c>
      <c r="S432" s="733">
        <f t="shared" si="78"/>
        <v>0</v>
      </c>
    </row>
    <row r="433" spans="1:19">
      <c r="A433" s="878"/>
      <c r="B433" s="125"/>
      <c r="C433" s="48">
        <f t="shared" si="69"/>
        <v>1</v>
      </c>
      <c r="D433" s="877"/>
      <c r="E433" s="48">
        <f t="shared" si="70"/>
        <v>1</v>
      </c>
      <c r="F433" s="877"/>
      <c r="G433" s="48">
        <f t="shared" si="71"/>
        <v>1</v>
      </c>
      <c r="H433" s="877"/>
      <c r="I433" s="48">
        <f t="shared" si="72"/>
        <v>1</v>
      </c>
      <c r="J433" s="877"/>
      <c r="K433" s="48">
        <f t="shared" si="73"/>
        <v>1</v>
      </c>
      <c r="L433" s="877"/>
      <c r="M433" s="48">
        <f t="shared" si="74"/>
        <v>1</v>
      </c>
      <c r="N433" s="877"/>
      <c r="O433" s="48">
        <f t="shared" si="75"/>
        <v>1</v>
      </c>
      <c r="P433" s="877"/>
      <c r="Q433" s="48">
        <f t="shared" si="76"/>
        <v>1</v>
      </c>
      <c r="R433" s="48">
        <f t="shared" si="77"/>
        <v>0</v>
      </c>
      <c r="S433" s="733">
        <f t="shared" si="78"/>
        <v>0</v>
      </c>
    </row>
    <row r="434" spans="1:19">
      <c r="A434" s="878"/>
      <c r="B434" s="125"/>
      <c r="C434" s="48">
        <f t="shared" si="69"/>
        <v>1</v>
      </c>
      <c r="D434" s="877"/>
      <c r="E434" s="48">
        <f t="shared" si="70"/>
        <v>1</v>
      </c>
      <c r="F434" s="877"/>
      <c r="G434" s="48">
        <f t="shared" si="71"/>
        <v>1</v>
      </c>
      <c r="H434" s="877"/>
      <c r="I434" s="48">
        <f t="shared" si="72"/>
        <v>1</v>
      </c>
      <c r="J434" s="877"/>
      <c r="K434" s="48">
        <f t="shared" si="73"/>
        <v>1</v>
      </c>
      <c r="L434" s="877"/>
      <c r="M434" s="48">
        <f t="shared" si="74"/>
        <v>1</v>
      </c>
      <c r="N434" s="877"/>
      <c r="O434" s="48">
        <f t="shared" si="75"/>
        <v>1</v>
      </c>
      <c r="P434" s="877"/>
      <c r="Q434" s="48">
        <f t="shared" si="76"/>
        <v>1</v>
      </c>
      <c r="R434" s="48">
        <f t="shared" si="77"/>
        <v>0</v>
      </c>
      <c r="S434" s="733">
        <f t="shared" si="78"/>
        <v>0</v>
      </c>
    </row>
    <row r="435" spans="1:19">
      <c r="A435" s="878"/>
      <c r="B435" s="125"/>
      <c r="C435" s="48">
        <f t="shared" si="69"/>
        <v>1</v>
      </c>
      <c r="D435" s="877"/>
      <c r="E435" s="48">
        <f t="shared" si="70"/>
        <v>1</v>
      </c>
      <c r="F435" s="877"/>
      <c r="G435" s="48">
        <f t="shared" si="71"/>
        <v>1</v>
      </c>
      <c r="H435" s="877"/>
      <c r="I435" s="48">
        <f t="shared" si="72"/>
        <v>1</v>
      </c>
      <c r="J435" s="877"/>
      <c r="K435" s="48">
        <f t="shared" si="73"/>
        <v>1</v>
      </c>
      <c r="L435" s="877"/>
      <c r="M435" s="48">
        <f t="shared" si="74"/>
        <v>1</v>
      </c>
      <c r="N435" s="877"/>
      <c r="O435" s="48">
        <f t="shared" si="75"/>
        <v>1</v>
      </c>
      <c r="P435" s="877"/>
      <c r="Q435" s="48">
        <f t="shared" si="76"/>
        <v>1</v>
      </c>
      <c r="R435" s="48">
        <f t="shared" si="77"/>
        <v>0</v>
      </c>
      <c r="S435" s="733">
        <f t="shared" si="78"/>
        <v>0</v>
      </c>
    </row>
    <row r="436" spans="1:19">
      <c r="A436" s="878"/>
      <c r="B436" s="125"/>
      <c r="C436" s="48">
        <f t="shared" si="69"/>
        <v>1</v>
      </c>
      <c r="D436" s="877"/>
      <c r="E436" s="48">
        <f t="shared" si="70"/>
        <v>1</v>
      </c>
      <c r="F436" s="877"/>
      <c r="G436" s="48">
        <f t="shared" si="71"/>
        <v>1</v>
      </c>
      <c r="H436" s="877"/>
      <c r="I436" s="48">
        <f t="shared" si="72"/>
        <v>1</v>
      </c>
      <c r="J436" s="877"/>
      <c r="K436" s="48">
        <f t="shared" si="73"/>
        <v>1</v>
      </c>
      <c r="L436" s="877"/>
      <c r="M436" s="48">
        <f t="shared" si="74"/>
        <v>1</v>
      </c>
      <c r="N436" s="877"/>
      <c r="O436" s="48">
        <f t="shared" si="75"/>
        <v>1</v>
      </c>
      <c r="P436" s="877"/>
      <c r="Q436" s="48">
        <f t="shared" si="76"/>
        <v>1</v>
      </c>
      <c r="R436" s="48">
        <f t="shared" si="77"/>
        <v>0</v>
      </c>
      <c r="S436" s="733">
        <f t="shared" si="78"/>
        <v>0</v>
      </c>
    </row>
    <row r="437" spans="1:19">
      <c r="A437" s="878"/>
      <c r="B437" s="125"/>
      <c r="C437" s="48">
        <f t="shared" si="69"/>
        <v>1</v>
      </c>
      <c r="D437" s="877"/>
      <c r="E437" s="48">
        <f t="shared" si="70"/>
        <v>1</v>
      </c>
      <c r="F437" s="877"/>
      <c r="G437" s="48">
        <f t="shared" si="71"/>
        <v>1</v>
      </c>
      <c r="H437" s="877"/>
      <c r="I437" s="48">
        <f t="shared" si="72"/>
        <v>1</v>
      </c>
      <c r="J437" s="877"/>
      <c r="K437" s="48">
        <f t="shared" si="73"/>
        <v>1</v>
      </c>
      <c r="L437" s="877"/>
      <c r="M437" s="48">
        <f t="shared" si="74"/>
        <v>1</v>
      </c>
      <c r="N437" s="877"/>
      <c r="O437" s="48">
        <f t="shared" si="75"/>
        <v>1</v>
      </c>
      <c r="P437" s="877"/>
      <c r="Q437" s="48">
        <f t="shared" si="76"/>
        <v>1</v>
      </c>
      <c r="R437" s="48">
        <f t="shared" si="77"/>
        <v>0</v>
      </c>
      <c r="S437" s="733">
        <f t="shared" si="78"/>
        <v>0</v>
      </c>
    </row>
    <row r="438" spans="1:19">
      <c r="A438" s="878"/>
      <c r="B438" s="125"/>
      <c r="C438" s="48">
        <f t="shared" si="69"/>
        <v>1</v>
      </c>
      <c r="D438" s="877"/>
      <c r="E438" s="48">
        <f t="shared" si="70"/>
        <v>1</v>
      </c>
      <c r="F438" s="877"/>
      <c r="G438" s="48">
        <f t="shared" si="71"/>
        <v>1</v>
      </c>
      <c r="H438" s="877"/>
      <c r="I438" s="48">
        <f t="shared" si="72"/>
        <v>1</v>
      </c>
      <c r="J438" s="877"/>
      <c r="K438" s="48">
        <f t="shared" si="73"/>
        <v>1</v>
      </c>
      <c r="L438" s="877"/>
      <c r="M438" s="48">
        <f t="shared" si="74"/>
        <v>1</v>
      </c>
      <c r="N438" s="877"/>
      <c r="O438" s="48">
        <f t="shared" si="75"/>
        <v>1</v>
      </c>
      <c r="P438" s="877"/>
      <c r="Q438" s="48">
        <f t="shared" si="76"/>
        <v>1</v>
      </c>
      <c r="R438" s="48">
        <f t="shared" si="77"/>
        <v>0</v>
      </c>
      <c r="S438" s="733">
        <f t="shared" si="78"/>
        <v>0</v>
      </c>
    </row>
    <row r="439" spans="1:19">
      <c r="A439" s="878"/>
      <c r="B439" s="125"/>
      <c r="C439" s="48">
        <f t="shared" si="69"/>
        <v>1</v>
      </c>
      <c r="D439" s="877"/>
      <c r="E439" s="48">
        <f t="shared" si="70"/>
        <v>1</v>
      </c>
      <c r="F439" s="877"/>
      <c r="G439" s="48">
        <f t="shared" si="71"/>
        <v>1</v>
      </c>
      <c r="H439" s="877"/>
      <c r="I439" s="48">
        <f t="shared" si="72"/>
        <v>1</v>
      </c>
      <c r="J439" s="877"/>
      <c r="K439" s="48">
        <f t="shared" si="73"/>
        <v>1</v>
      </c>
      <c r="L439" s="877"/>
      <c r="M439" s="48">
        <f t="shared" si="74"/>
        <v>1</v>
      </c>
      <c r="N439" s="877"/>
      <c r="O439" s="48">
        <f t="shared" si="75"/>
        <v>1</v>
      </c>
      <c r="P439" s="877"/>
      <c r="Q439" s="48">
        <f t="shared" si="76"/>
        <v>1</v>
      </c>
      <c r="R439" s="48">
        <f t="shared" si="77"/>
        <v>0</v>
      </c>
      <c r="S439" s="733">
        <f t="shared" si="78"/>
        <v>0</v>
      </c>
    </row>
    <row r="440" spans="1:19">
      <c r="A440" s="878"/>
      <c r="B440" s="125"/>
      <c r="C440" s="48">
        <f t="shared" si="69"/>
        <v>1</v>
      </c>
      <c r="D440" s="877"/>
      <c r="E440" s="48">
        <f t="shared" si="70"/>
        <v>1</v>
      </c>
      <c r="F440" s="877"/>
      <c r="G440" s="48">
        <f t="shared" si="71"/>
        <v>1</v>
      </c>
      <c r="H440" s="877"/>
      <c r="I440" s="48">
        <f t="shared" si="72"/>
        <v>1</v>
      </c>
      <c r="J440" s="877"/>
      <c r="K440" s="48">
        <f t="shared" si="73"/>
        <v>1</v>
      </c>
      <c r="L440" s="877"/>
      <c r="M440" s="48">
        <f t="shared" si="74"/>
        <v>1</v>
      </c>
      <c r="N440" s="877"/>
      <c r="O440" s="48">
        <f t="shared" si="75"/>
        <v>1</v>
      </c>
      <c r="P440" s="877"/>
      <c r="Q440" s="48">
        <f t="shared" si="76"/>
        <v>1</v>
      </c>
      <c r="R440" s="48">
        <f t="shared" si="77"/>
        <v>0</v>
      </c>
      <c r="S440" s="733">
        <f t="shared" si="78"/>
        <v>0</v>
      </c>
    </row>
    <row r="441" spans="1:19">
      <c r="A441" s="878"/>
      <c r="B441" s="125"/>
      <c r="C441" s="48">
        <f t="shared" si="69"/>
        <v>1</v>
      </c>
      <c r="D441" s="877"/>
      <c r="E441" s="48">
        <f t="shared" si="70"/>
        <v>1</v>
      </c>
      <c r="F441" s="877"/>
      <c r="G441" s="48">
        <f t="shared" si="71"/>
        <v>1</v>
      </c>
      <c r="H441" s="877"/>
      <c r="I441" s="48">
        <f t="shared" si="72"/>
        <v>1</v>
      </c>
      <c r="J441" s="877"/>
      <c r="K441" s="48">
        <f t="shared" si="73"/>
        <v>1</v>
      </c>
      <c r="L441" s="877"/>
      <c r="M441" s="48">
        <f t="shared" si="74"/>
        <v>1</v>
      </c>
      <c r="N441" s="877"/>
      <c r="O441" s="48">
        <f t="shared" si="75"/>
        <v>1</v>
      </c>
      <c r="P441" s="877"/>
      <c r="Q441" s="48">
        <f t="shared" si="76"/>
        <v>1</v>
      </c>
      <c r="R441" s="48">
        <f t="shared" si="77"/>
        <v>0</v>
      </c>
      <c r="S441" s="733">
        <f t="shared" si="78"/>
        <v>0</v>
      </c>
    </row>
    <row r="442" spans="1:19">
      <c r="A442" s="878"/>
      <c r="B442" s="125"/>
      <c r="C442" s="48">
        <f t="shared" si="69"/>
        <v>1</v>
      </c>
      <c r="D442" s="877"/>
      <c r="E442" s="48">
        <f t="shared" si="70"/>
        <v>1</v>
      </c>
      <c r="F442" s="877"/>
      <c r="G442" s="48">
        <f t="shared" si="71"/>
        <v>1</v>
      </c>
      <c r="H442" s="877"/>
      <c r="I442" s="48">
        <f t="shared" si="72"/>
        <v>1</v>
      </c>
      <c r="J442" s="877"/>
      <c r="K442" s="48">
        <f t="shared" si="73"/>
        <v>1</v>
      </c>
      <c r="L442" s="877"/>
      <c r="M442" s="48">
        <f t="shared" si="74"/>
        <v>1</v>
      </c>
      <c r="N442" s="877"/>
      <c r="O442" s="48">
        <f t="shared" si="75"/>
        <v>1</v>
      </c>
      <c r="P442" s="877"/>
      <c r="Q442" s="48">
        <f t="shared" si="76"/>
        <v>1</v>
      </c>
      <c r="R442" s="48">
        <f t="shared" si="77"/>
        <v>0</v>
      </c>
      <c r="S442" s="733">
        <f t="shared" si="78"/>
        <v>0</v>
      </c>
    </row>
    <row r="443" spans="1:19">
      <c r="A443" s="878"/>
      <c r="B443" s="125"/>
      <c r="C443" s="48">
        <f t="shared" si="69"/>
        <v>1</v>
      </c>
      <c r="D443" s="877"/>
      <c r="E443" s="48">
        <f t="shared" si="70"/>
        <v>1</v>
      </c>
      <c r="F443" s="877"/>
      <c r="G443" s="48">
        <f t="shared" si="71"/>
        <v>1</v>
      </c>
      <c r="H443" s="877"/>
      <c r="I443" s="48">
        <f t="shared" si="72"/>
        <v>1</v>
      </c>
      <c r="J443" s="877"/>
      <c r="K443" s="48">
        <f t="shared" si="73"/>
        <v>1</v>
      </c>
      <c r="L443" s="877"/>
      <c r="M443" s="48">
        <f t="shared" si="74"/>
        <v>1</v>
      </c>
      <c r="N443" s="877"/>
      <c r="O443" s="48">
        <f t="shared" si="75"/>
        <v>1</v>
      </c>
      <c r="P443" s="877"/>
      <c r="Q443" s="48">
        <f t="shared" si="76"/>
        <v>1</v>
      </c>
      <c r="R443" s="48">
        <f t="shared" si="77"/>
        <v>0</v>
      </c>
      <c r="S443" s="733">
        <f t="shared" si="78"/>
        <v>0</v>
      </c>
    </row>
    <row r="444" spans="1:19">
      <c r="A444" s="878"/>
      <c r="B444" s="125"/>
      <c r="C444" s="48">
        <f t="shared" si="69"/>
        <v>1</v>
      </c>
      <c r="D444" s="877"/>
      <c r="E444" s="48">
        <f t="shared" si="70"/>
        <v>1</v>
      </c>
      <c r="F444" s="877"/>
      <c r="G444" s="48">
        <f t="shared" si="71"/>
        <v>1</v>
      </c>
      <c r="H444" s="877"/>
      <c r="I444" s="48">
        <f t="shared" si="72"/>
        <v>1</v>
      </c>
      <c r="J444" s="877"/>
      <c r="K444" s="48">
        <f t="shared" si="73"/>
        <v>1</v>
      </c>
      <c r="L444" s="877"/>
      <c r="M444" s="48">
        <f t="shared" si="74"/>
        <v>1</v>
      </c>
      <c r="N444" s="877"/>
      <c r="O444" s="48">
        <f t="shared" si="75"/>
        <v>1</v>
      </c>
      <c r="P444" s="877"/>
      <c r="Q444" s="48">
        <f t="shared" si="76"/>
        <v>1</v>
      </c>
      <c r="R444" s="48">
        <f t="shared" si="77"/>
        <v>0</v>
      </c>
      <c r="S444" s="733">
        <f t="shared" si="78"/>
        <v>0</v>
      </c>
    </row>
    <row r="445" spans="1:19">
      <c r="A445" s="878"/>
      <c r="B445" s="125"/>
      <c r="C445" s="48">
        <f t="shared" si="69"/>
        <v>1</v>
      </c>
      <c r="D445" s="877"/>
      <c r="E445" s="48">
        <f t="shared" si="70"/>
        <v>1</v>
      </c>
      <c r="F445" s="877"/>
      <c r="G445" s="48">
        <f t="shared" si="71"/>
        <v>1</v>
      </c>
      <c r="H445" s="877"/>
      <c r="I445" s="48">
        <f t="shared" si="72"/>
        <v>1</v>
      </c>
      <c r="J445" s="877"/>
      <c r="K445" s="48">
        <f t="shared" si="73"/>
        <v>1</v>
      </c>
      <c r="L445" s="877"/>
      <c r="M445" s="48">
        <f t="shared" si="74"/>
        <v>1</v>
      </c>
      <c r="N445" s="877"/>
      <c r="O445" s="48">
        <f t="shared" si="75"/>
        <v>1</v>
      </c>
      <c r="P445" s="877"/>
      <c r="Q445" s="48">
        <f t="shared" si="76"/>
        <v>1</v>
      </c>
      <c r="R445" s="48">
        <f t="shared" si="77"/>
        <v>0</v>
      </c>
      <c r="S445" s="733">
        <f t="shared" si="78"/>
        <v>0</v>
      </c>
    </row>
    <row r="446" spans="1:19">
      <c r="A446" s="878"/>
      <c r="B446" s="125"/>
      <c r="C446" s="48">
        <f t="shared" si="69"/>
        <v>1</v>
      </c>
      <c r="D446" s="877"/>
      <c r="E446" s="48">
        <f t="shared" si="70"/>
        <v>1</v>
      </c>
      <c r="F446" s="877"/>
      <c r="G446" s="48">
        <f t="shared" si="71"/>
        <v>1</v>
      </c>
      <c r="H446" s="877"/>
      <c r="I446" s="48">
        <f t="shared" si="72"/>
        <v>1</v>
      </c>
      <c r="J446" s="877"/>
      <c r="K446" s="48">
        <f t="shared" si="73"/>
        <v>1</v>
      </c>
      <c r="L446" s="877"/>
      <c r="M446" s="48">
        <f t="shared" si="74"/>
        <v>1</v>
      </c>
      <c r="N446" s="877"/>
      <c r="O446" s="48">
        <f t="shared" si="75"/>
        <v>1</v>
      </c>
      <c r="P446" s="877"/>
      <c r="Q446" s="48">
        <f t="shared" si="76"/>
        <v>1</v>
      </c>
      <c r="R446" s="48">
        <f t="shared" si="77"/>
        <v>0</v>
      </c>
      <c r="S446" s="733">
        <f t="shared" si="78"/>
        <v>0</v>
      </c>
    </row>
    <row r="447" spans="1:19">
      <c r="A447" s="878"/>
      <c r="B447" s="125"/>
      <c r="C447" s="48">
        <f t="shared" si="69"/>
        <v>1</v>
      </c>
      <c r="D447" s="877"/>
      <c r="E447" s="48">
        <f t="shared" si="70"/>
        <v>1</v>
      </c>
      <c r="F447" s="877"/>
      <c r="G447" s="48">
        <f t="shared" si="71"/>
        <v>1</v>
      </c>
      <c r="H447" s="877"/>
      <c r="I447" s="48">
        <f t="shared" si="72"/>
        <v>1</v>
      </c>
      <c r="J447" s="877"/>
      <c r="K447" s="48">
        <f t="shared" si="73"/>
        <v>1</v>
      </c>
      <c r="L447" s="877"/>
      <c r="M447" s="48">
        <f t="shared" si="74"/>
        <v>1</v>
      </c>
      <c r="N447" s="877"/>
      <c r="O447" s="48">
        <f t="shared" si="75"/>
        <v>1</v>
      </c>
      <c r="P447" s="877"/>
      <c r="Q447" s="48">
        <f t="shared" si="76"/>
        <v>1</v>
      </c>
      <c r="R447" s="48">
        <f t="shared" si="77"/>
        <v>0</v>
      </c>
      <c r="S447" s="733">
        <f t="shared" si="78"/>
        <v>0</v>
      </c>
    </row>
    <row r="448" spans="1:19">
      <c r="A448" s="878"/>
      <c r="B448" s="125"/>
      <c r="C448" s="48">
        <f t="shared" si="69"/>
        <v>1</v>
      </c>
      <c r="D448" s="877"/>
      <c r="E448" s="48">
        <f t="shared" si="70"/>
        <v>1</v>
      </c>
      <c r="F448" s="877"/>
      <c r="G448" s="48">
        <f t="shared" si="71"/>
        <v>1</v>
      </c>
      <c r="H448" s="877"/>
      <c r="I448" s="48">
        <f t="shared" si="72"/>
        <v>1</v>
      </c>
      <c r="J448" s="877"/>
      <c r="K448" s="48">
        <f t="shared" si="73"/>
        <v>1</v>
      </c>
      <c r="L448" s="877"/>
      <c r="M448" s="48">
        <f t="shared" si="74"/>
        <v>1</v>
      </c>
      <c r="N448" s="877"/>
      <c r="O448" s="48">
        <f t="shared" si="75"/>
        <v>1</v>
      </c>
      <c r="P448" s="877"/>
      <c r="Q448" s="48">
        <f t="shared" si="76"/>
        <v>1</v>
      </c>
      <c r="R448" s="48">
        <f t="shared" si="77"/>
        <v>0</v>
      </c>
      <c r="S448" s="733">
        <f t="shared" si="78"/>
        <v>0</v>
      </c>
    </row>
    <row r="449" spans="1:19">
      <c r="A449" s="878"/>
      <c r="B449" s="125"/>
      <c r="C449" s="48">
        <f t="shared" si="69"/>
        <v>1</v>
      </c>
      <c r="D449" s="877"/>
      <c r="E449" s="48">
        <f t="shared" si="70"/>
        <v>1</v>
      </c>
      <c r="F449" s="877"/>
      <c r="G449" s="48">
        <f t="shared" si="71"/>
        <v>1</v>
      </c>
      <c r="H449" s="877"/>
      <c r="I449" s="48">
        <f t="shared" si="72"/>
        <v>1</v>
      </c>
      <c r="J449" s="877"/>
      <c r="K449" s="48">
        <f t="shared" si="73"/>
        <v>1</v>
      </c>
      <c r="L449" s="877"/>
      <c r="M449" s="48">
        <f t="shared" si="74"/>
        <v>1</v>
      </c>
      <c r="N449" s="877"/>
      <c r="O449" s="48">
        <f t="shared" si="75"/>
        <v>1</v>
      </c>
      <c r="P449" s="877"/>
      <c r="Q449" s="48">
        <f t="shared" si="76"/>
        <v>1</v>
      </c>
      <c r="R449" s="48">
        <f t="shared" si="77"/>
        <v>0</v>
      </c>
      <c r="S449" s="733">
        <f t="shared" si="78"/>
        <v>0</v>
      </c>
    </row>
    <row r="450" spans="1:19">
      <c r="A450" s="878"/>
      <c r="B450" s="125"/>
      <c r="C450" s="48">
        <f t="shared" si="69"/>
        <v>1</v>
      </c>
      <c r="D450" s="877"/>
      <c r="E450" s="48">
        <f t="shared" si="70"/>
        <v>1</v>
      </c>
      <c r="F450" s="877"/>
      <c r="G450" s="48">
        <f t="shared" si="71"/>
        <v>1</v>
      </c>
      <c r="H450" s="877"/>
      <c r="I450" s="48">
        <f t="shared" si="72"/>
        <v>1</v>
      </c>
      <c r="J450" s="877"/>
      <c r="K450" s="48">
        <f t="shared" si="73"/>
        <v>1</v>
      </c>
      <c r="L450" s="877"/>
      <c r="M450" s="48">
        <f t="shared" si="74"/>
        <v>1</v>
      </c>
      <c r="N450" s="877"/>
      <c r="O450" s="48">
        <f t="shared" si="75"/>
        <v>1</v>
      </c>
      <c r="P450" s="877"/>
      <c r="Q450" s="48">
        <f t="shared" si="76"/>
        <v>1</v>
      </c>
      <c r="R450" s="48">
        <f t="shared" si="77"/>
        <v>0</v>
      </c>
      <c r="S450" s="733">
        <f t="shared" si="78"/>
        <v>0</v>
      </c>
    </row>
    <row r="451" spans="1:19">
      <c r="A451" s="878"/>
      <c r="B451" s="125"/>
      <c r="C451" s="48">
        <f t="shared" si="69"/>
        <v>1</v>
      </c>
      <c r="D451" s="877"/>
      <c r="E451" s="48">
        <f t="shared" si="70"/>
        <v>1</v>
      </c>
      <c r="F451" s="877"/>
      <c r="G451" s="48">
        <f t="shared" si="71"/>
        <v>1</v>
      </c>
      <c r="H451" s="877"/>
      <c r="I451" s="48">
        <f t="shared" si="72"/>
        <v>1</v>
      </c>
      <c r="J451" s="877"/>
      <c r="K451" s="48">
        <f t="shared" si="73"/>
        <v>1</v>
      </c>
      <c r="L451" s="877"/>
      <c r="M451" s="48">
        <f t="shared" si="74"/>
        <v>1</v>
      </c>
      <c r="N451" s="877"/>
      <c r="O451" s="48">
        <f t="shared" si="75"/>
        <v>1</v>
      </c>
      <c r="P451" s="877"/>
      <c r="Q451" s="48">
        <f t="shared" si="76"/>
        <v>1</v>
      </c>
      <c r="R451" s="48">
        <f t="shared" si="77"/>
        <v>0</v>
      </c>
      <c r="S451" s="733">
        <f t="shared" si="78"/>
        <v>0</v>
      </c>
    </row>
    <row r="452" spans="1:19">
      <c r="A452" s="878"/>
      <c r="B452" s="125"/>
      <c r="C452" s="48">
        <f t="shared" si="69"/>
        <v>1</v>
      </c>
      <c r="D452" s="877"/>
      <c r="E452" s="48">
        <f t="shared" si="70"/>
        <v>1</v>
      </c>
      <c r="F452" s="877"/>
      <c r="G452" s="48">
        <f t="shared" si="71"/>
        <v>1</v>
      </c>
      <c r="H452" s="877"/>
      <c r="I452" s="48">
        <f t="shared" si="72"/>
        <v>1</v>
      </c>
      <c r="J452" s="877"/>
      <c r="K452" s="48">
        <f t="shared" si="73"/>
        <v>1</v>
      </c>
      <c r="L452" s="877"/>
      <c r="M452" s="48">
        <f t="shared" si="74"/>
        <v>1</v>
      </c>
      <c r="N452" s="877"/>
      <c r="O452" s="48">
        <f t="shared" si="75"/>
        <v>1</v>
      </c>
      <c r="P452" s="877"/>
      <c r="Q452" s="48">
        <f t="shared" si="76"/>
        <v>1</v>
      </c>
      <c r="R452" s="48">
        <f t="shared" si="77"/>
        <v>0</v>
      </c>
      <c r="S452" s="733">
        <f t="shared" si="78"/>
        <v>0</v>
      </c>
    </row>
    <row r="453" spans="1:19">
      <c r="A453" s="878"/>
      <c r="B453" s="125"/>
      <c r="C453" s="48">
        <f t="shared" si="69"/>
        <v>1</v>
      </c>
      <c r="D453" s="877"/>
      <c r="E453" s="48">
        <f t="shared" si="70"/>
        <v>1</v>
      </c>
      <c r="F453" s="877"/>
      <c r="G453" s="48">
        <f t="shared" si="71"/>
        <v>1</v>
      </c>
      <c r="H453" s="877"/>
      <c r="I453" s="48">
        <f t="shared" si="72"/>
        <v>1</v>
      </c>
      <c r="J453" s="877"/>
      <c r="K453" s="48">
        <f t="shared" si="73"/>
        <v>1</v>
      </c>
      <c r="L453" s="877"/>
      <c r="M453" s="48">
        <f t="shared" si="74"/>
        <v>1</v>
      </c>
      <c r="N453" s="877"/>
      <c r="O453" s="48">
        <f t="shared" si="75"/>
        <v>1</v>
      </c>
      <c r="P453" s="877"/>
      <c r="Q453" s="48">
        <f t="shared" si="76"/>
        <v>1</v>
      </c>
      <c r="R453" s="48">
        <f t="shared" si="77"/>
        <v>0</v>
      </c>
      <c r="S453" s="733">
        <f t="shared" si="78"/>
        <v>0</v>
      </c>
    </row>
    <row r="454" spans="1:19">
      <c r="A454" s="878"/>
      <c r="B454" s="125"/>
      <c r="C454" s="48">
        <f t="shared" si="69"/>
        <v>1</v>
      </c>
      <c r="D454" s="877"/>
      <c r="E454" s="48">
        <f t="shared" si="70"/>
        <v>1</v>
      </c>
      <c r="F454" s="877"/>
      <c r="G454" s="48">
        <f t="shared" si="71"/>
        <v>1</v>
      </c>
      <c r="H454" s="877"/>
      <c r="I454" s="48">
        <f t="shared" si="72"/>
        <v>1</v>
      </c>
      <c r="J454" s="877"/>
      <c r="K454" s="48">
        <f t="shared" si="73"/>
        <v>1</v>
      </c>
      <c r="L454" s="877"/>
      <c r="M454" s="48">
        <f t="shared" si="74"/>
        <v>1</v>
      </c>
      <c r="N454" s="877"/>
      <c r="O454" s="48">
        <f t="shared" si="75"/>
        <v>1</v>
      </c>
      <c r="P454" s="877"/>
      <c r="Q454" s="48">
        <f t="shared" si="76"/>
        <v>1</v>
      </c>
      <c r="R454" s="48">
        <f t="shared" si="77"/>
        <v>0</v>
      </c>
      <c r="S454" s="733">
        <f t="shared" si="78"/>
        <v>0</v>
      </c>
    </row>
    <row r="455" spans="1:19">
      <c r="A455" s="878"/>
      <c r="B455" s="125"/>
      <c r="C455" s="48">
        <f t="shared" si="69"/>
        <v>1</v>
      </c>
      <c r="D455" s="877"/>
      <c r="E455" s="48">
        <f t="shared" si="70"/>
        <v>1</v>
      </c>
      <c r="F455" s="877"/>
      <c r="G455" s="48">
        <f t="shared" si="71"/>
        <v>1</v>
      </c>
      <c r="H455" s="877"/>
      <c r="I455" s="48">
        <f t="shared" si="72"/>
        <v>1</v>
      </c>
      <c r="J455" s="877"/>
      <c r="K455" s="48">
        <f t="shared" si="73"/>
        <v>1</v>
      </c>
      <c r="L455" s="877"/>
      <c r="M455" s="48">
        <f t="shared" si="74"/>
        <v>1</v>
      </c>
      <c r="N455" s="877"/>
      <c r="O455" s="48">
        <f t="shared" si="75"/>
        <v>1</v>
      </c>
      <c r="P455" s="877"/>
      <c r="Q455" s="48">
        <f t="shared" si="76"/>
        <v>1</v>
      </c>
      <c r="R455" s="48">
        <f t="shared" si="77"/>
        <v>0</v>
      </c>
      <c r="S455" s="733">
        <f t="shared" si="78"/>
        <v>0</v>
      </c>
    </row>
    <row r="456" spans="1:19">
      <c r="A456" s="878"/>
      <c r="B456" s="125"/>
      <c r="C456" s="48">
        <f t="shared" si="69"/>
        <v>1</v>
      </c>
      <c r="D456" s="877"/>
      <c r="E456" s="48">
        <f t="shared" si="70"/>
        <v>1</v>
      </c>
      <c r="F456" s="877"/>
      <c r="G456" s="48">
        <f t="shared" si="71"/>
        <v>1</v>
      </c>
      <c r="H456" s="877"/>
      <c r="I456" s="48">
        <f t="shared" si="72"/>
        <v>1</v>
      </c>
      <c r="J456" s="877"/>
      <c r="K456" s="48">
        <f t="shared" si="73"/>
        <v>1</v>
      </c>
      <c r="L456" s="877"/>
      <c r="M456" s="48">
        <f t="shared" si="74"/>
        <v>1</v>
      </c>
      <c r="N456" s="877"/>
      <c r="O456" s="48">
        <f t="shared" si="75"/>
        <v>1</v>
      </c>
      <c r="P456" s="877"/>
      <c r="Q456" s="48">
        <f t="shared" si="76"/>
        <v>1</v>
      </c>
      <c r="R456" s="48">
        <f t="shared" si="77"/>
        <v>0</v>
      </c>
      <c r="S456" s="733">
        <f t="shared" si="78"/>
        <v>0</v>
      </c>
    </row>
    <row r="457" spans="1:19">
      <c r="A457" s="878"/>
      <c r="B457" s="125"/>
      <c r="C457" s="48">
        <f t="shared" si="69"/>
        <v>1</v>
      </c>
      <c r="D457" s="877"/>
      <c r="E457" s="48">
        <f t="shared" si="70"/>
        <v>1</v>
      </c>
      <c r="F457" s="877"/>
      <c r="G457" s="48">
        <f t="shared" si="71"/>
        <v>1</v>
      </c>
      <c r="H457" s="877"/>
      <c r="I457" s="48">
        <f t="shared" si="72"/>
        <v>1</v>
      </c>
      <c r="J457" s="877"/>
      <c r="K457" s="48">
        <f t="shared" si="73"/>
        <v>1</v>
      </c>
      <c r="L457" s="877"/>
      <c r="M457" s="48">
        <f t="shared" si="74"/>
        <v>1</v>
      </c>
      <c r="N457" s="877"/>
      <c r="O457" s="48">
        <f t="shared" si="75"/>
        <v>1</v>
      </c>
      <c r="P457" s="877"/>
      <c r="Q457" s="48">
        <f t="shared" si="76"/>
        <v>1</v>
      </c>
      <c r="R457" s="48">
        <f t="shared" si="77"/>
        <v>0</v>
      </c>
      <c r="S457" s="733">
        <f t="shared" si="78"/>
        <v>0</v>
      </c>
    </row>
    <row r="458" spans="1:19">
      <c r="A458" s="878"/>
      <c r="B458" s="125"/>
      <c r="C458" s="48">
        <f t="shared" si="69"/>
        <v>1</v>
      </c>
      <c r="D458" s="877"/>
      <c r="E458" s="48">
        <f t="shared" si="70"/>
        <v>1</v>
      </c>
      <c r="F458" s="877"/>
      <c r="G458" s="48">
        <f t="shared" si="71"/>
        <v>1</v>
      </c>
      <c r="H458" s="877"/>
      <c r="I458" s="48">
        <f t="shared" si="72"/>
        <v>1</v>
      </c>
      <c r="J458" s="877"/>
      <c r="K458" s="48">
        <f t="shared" si="73"/>
        <v>1</v>
      </c>
      <c r="L458" s="877"/>
      <c r="M458" s="48">
        <f t="shared" si="74"/>
        <v>1</v>
      </c>
      <c r="N458" s="877"/>
      <c r="O458" s="48">
        <f t="shared" si="75"/>
        <v>1</v>
      </c>
      <c r="P458" s="877"/>
      <c r="Q458" s="48">
        <f t="shared" si="76"/>
        <v>1</v>
      </c>
      <c r="R458" s="48">
        <f t="shared" si="77"/>
        <v>0</v>
      </c>
      <c r="S458" s="733">
        <f t="shared" si="78"/>
        <v>0</v>
      </c>
    </row>
    <row r="459" spans="1:19">
      <c r="A459" s="878"/>
      <c r="B459" s="125"/>
      <c r="C459" s="48">
        <f t="shared" si="69"/>
        <v>1</v>
      </c>
      <c r="D459" s="877"/>
      <c r="E459" s="48">
        <f t="shared" si="70"/>
        <v>1</v>
      </c>
      <c r="F459" s="877"/>
      <c r="G459" s="48">
        <f t="shared" si="71"/>
        <v>1</v>
      </c>
      <c r="H459" s="877"/>
      <c r="I459" s="48">
        <f t="shared" si="72"/>
        <v>1</v>
      </c>
      <c r="J459" s="877"/>
      <c r="K459" s="48">
        <f t="shared" si="73"/>
        <v>1</v>
      </c>
      <c r="L459" s="877"/>
      <c r="M459" s="48">
        <f t="shared" si="74"/>
        <v>1</v>
      </c>
      <c r="N459" s="877"/>
      <c r="O459" s="48">
        <f t="shared" si="75"/>
        <v>1</v>
      </c>
      <c r="P459" s="877"/>
      <c r="Q459" s="48">
        <f t="shared" si="76"/>
        <v>1</v>
      </c>
      <c r="R459" s="48">
        <f t="shared" si="77"/>
        <v>0</v>
      </c>
      <c r="S459" s="733">
        <f t="shared" si="78"/>
        <v>0</v>
      </c>
    </row>
    <row r="460" spans="1:19">
      <c r="A460" s="878"/>
      <c r="B460" s="125"/>
      <c r="C460" s="48">
        <f t="shared" si="69"/>
        <v>1</v>
      </c>
      <c r="D460" s="877"/>
      <c r="E460" s="48">
        <f t="shared" si="70"/>
        <v>1</v>
      </c>
      <c r="F460" s="877"/>
      <c r="G460" s="48">
        <f t="shared" si="71"/>
        <v>1</v>
      </c>
      <c r="H460" s="877"/>
      <c r="I460" s="48">
        <f t="shared" si="72"/>
        <v>1</v>
      </c>
      <c r="J460" s="877"/>
      <c r="K460" s="48">
        <f t="shared" si="73"/>
        <v>1</v>
      </c>
      <c r="L460" s="877"/>
      <c r="M460" s="48">
        <f t="shared" si="74"/>
        <v>1</v>
      </c>
      <c r="N460" s="877"/>
      <c r="O460" s="48">
        <f t="shared" si="75"/>
        <v>1</v>
      </c>
      <c r="P460" s="877"/>
      <c r="Q460" s="48">
        <f t="shared" si="76"/>
        <v>1</v>
      </c>
      <c r="R460" s="48">
        <f t="shared" si="77"/>
        <v>0</v>
      </c>
      <c r="S460" s="733">
        <f t="shared" si="78"/>
        <v>0</v>
      </c>
    </row>
    <row r="461" spans="1:19">
      <c r="A461" s="878"/>
      <c r="B461" s="125"/>
      <c r="C461" s="48">
        <f t="shared" si="69"/>
        <v>1</v>
      </c>
      <c r="D461" s="877"/>
      <c r="E461" s="48">
        <f t="shared" si="70"/>
        <v>1</v>
      </c>
      <c r="F461" s="877"/>
      <c r="G461" s="48">
        <f t="shared" si="71"/>
        <v>1</v>
      </c>
      <c r="H461" s="877"/>
      <c r="I461" s="48">
        <f t="shared" si="72"/>
        <v>1</v>
      </c>
      <c r="J461" s="877"/>
      <c r="K461" s="48">
        <f t="shared" si="73"/>
        <v>1</v>
      </c>
      <c r="L461" s="877"/>
      <c r="M461" s="48">
        <f t="shared" si="74"/>
        <v>1</v>
      </c>
      <c r="N461" s="877"/>
      <c r="O461" s="48">
        <f t="shared" si="75"/>
        <v>1</v>
      </c>
      <c r="P461" s="877"/>
      <c r="Q461" s="48">
        <f t="shared" si="76"/>
        <v>1</v>
      </c>
      <c r="R461" s="48">
        <f t="shared" si="77"/>
        <v>0</v>
      </c>
      <c r="S461" s="733">
        <f t="shared" si="78"/>
        <v>0</v>
      </c>
    </row>
    <row r="462" spans="1:19">
      <c r="A462" s="878"/>
      <c r="B462" s="125"/>
      <c r="C462" s="48">
        <f t="shared" si="69"/>
        <v>1</v>
      </c>
      <c r="D462" s="877"/>
      <c r="E462" s="48">
        <f t="shared" si="70"/>
        <v>1</v>
      </c>
      <c r="F462" s="877"/>
      <c r="G462" s="48">
        <f t="shared" si="71"/>
        <v>1</v>
      </c>
      <c r="H462" s="877"/>
      <c r="I462" s="48">
        <f t="shared" si="72"/>
        <v>1</v>
      </c>
      <c r="J462" s="877"/>
      <c r="K462" s="48">
        <f t="shared" si="73"/>
        <v>1</v>
      </c>
      <c r="L462" s="877"/>
      <c r="M462" s="48">
        <f t="shared" si="74"/>
        <v>1</v>
      </c>
      <c r="N462" s="877"/>
      <c r="O462" s="48">
        <f t="shared" si="75"/>
        <v>1</v>
      </c>
      <c r="P462" s="877"/>
      <c r="Q462" s="48">
        <f t="shared" si="76"/>
        <v>1</v>
      </c>
      <c r="R462" s="48">
        <f t="shared" si="77"/>
        <v>0</v>
      </c>
      <c r="S462" s="733">
        <f t="shared" si="78"/>
        <v>0</v>
      </c>
    </row>
    <row r="463" spans="1:19">
      <c r="A463" s="878"/>
      <c r="B463" s="125"/>
      <c r="C463" s="48">
        <f t="shared" si="69"/>
        <v>1</v>
      </c>
      <c r="D463" s="877"/>
      <c r="E463" s="48">
        <f t="shared" si="70"/>
        <v>1</v>
      </c>
      <c r="F463" s="877"/>
      <c r="G463" s="48">
        <f t="shared" si="71"/>
        <v>1</v>
      </c>
      <c r="H463" s="877"/>
      <c r="I463" s="48">
        <f t="shared" si="72"/>
        <v>1</v>
      </c>
      <c r="J463" s="877"/>
      <c r="K463" s="48">
        <f t="shared" si="73"/>
        <v>1</v>
      </c>
      <c r="L463" s="877"/>
      <c r="M463" s="48">
        <f t="shared" si="74"/>
        <v>1</v>
      </c>
      <c r="N463" s="877"/>
      <c r="O463" s="48">
        <f t="shared" si="75"/>
        <v>1</v>
      </c>
      <c r="P463" s="877"/>
      <c r="Q463" s="48">
        <f t="shared" si="76"/>
        <v>1</v>
      </c>
      <c r="R463" s="48">
        <f t="shared" si="77"/>
        <v>0</v>
      </c>
      <c r="S463" s="733">
        <f t="shared" si="78"/>
        <v>0</v>
      </c>
    </row>
    <row r="464" spans="1:19">
      <c r="A464" s="878"/>
      <c r="B464" s="125"/>
      <c r="C464" s="48">
        <f t="shared" si="69"/>
        <v>1</v>
      </c>
      <c r="D464" s="877"/>
      <c r="E464" s="48">
        <f t="shared" si="70"/>
        <v>1</v>
      </c>
      <c r="F464" s="877"/>
      <c r="G464" s="48">
        <f t="shared" si="71"/>
        <v>1</v>
      </c>
      <c r="H464" s="877"/>
      <c r="I464" s="48">
        <f t="shared" si="72"/>
        <v>1</v>
      </c>
      <c r="J464" s="877"/>
      <c r="K464" s="48">
        <f t="shared" si="73"/>
        <v>1</v>
      </c>
      <c r="L464" s="877"/>
      <c r="M464" s="48">
        <f t="shared" si="74"/>
        <v>1</v>
      </c>
      <c r="N464" s="877"/>
      <c r="O464" s="48">
        <f t="shared" si="75"/>
        <v>1</v>
      </c>
      <c r="P464" s="877"/>
      <c r="Q464" s="48">
        <f t="shared" si="76"/>
        <v>1</v>
      </c>
      <c r="R464" s="48">
        <f t="shared" si="77"/>
        <v>0</v>
      </c>
      <c r="S464" s="733">
        <f t="shared" si="78"/>
        <v>0</v>
      </c>
    </row>
    <row r="465" spans="1:19">
      <c r="A465" s="878"/>
      <c r="B465" s="125"/>
      <c r="C465" s="48">
        <f t="shared" si="69"/>
        <v>1</v>
      </c>
      <c r="D465" s="877"/>
      <c r="E465" s="48">
        <f t="shared" si="70"/>
        <v>1</v>
      </c>
      <c r="F465" s="877"/>
      <c r="G465" s="48">
        <f t="shared" si="71"/>
        <v>1</v>
      </c>
      <c r="H465" s="877"/>
      <c r="I465" s="48">
        <f t="shared" si="72"/>
        <v>1</v>
      </c>
      <c r="J465" s="877"/>
      <c r="K465" s="48">
        <f t="shared" si="73"/>
        <v>1</v>
      </c>
      <c r="L465" s="877"/>
      <c r="M465" s="48">
        <f t="shared" si="74"/>
        <v>1</v>
      </c>
      <c r="N465" s="877"/>
      <c r="O465" s="48">
        <f t="shared" si="75"/>
        <v>1</v>
      </c>
      <c r="P465" s="877"/>
      <c r="Q465" s="48">
        <f t="shared" si="76"/>
        <v>1</v>
      </c>
      <c r="R465" s="48">
        <f t="shared" si="77"/>
        <v>0</v>
      </c>
      <c r="S465" s="733">
        <f t="shared" si="78"/>
        <v>0</v>
      </c>
    </row>
    <row r="466" spans="1:19">
      <c r="A466" s="878"/>
      <c r="B466" s="125"/>
      <c r="C466" s="48">
        <f t="shared" si="69"/>
        <v>1</v>
      </c>
      <c r="D466" s="877"/>
      <c r="E466" s="48">
        <f t="shared" si="70"/>
        <v>1</v>
      </c>
      <c r="F466" s="877"/>
      <c r="G466" s="48">
        <f t="shared" si="71"/>
        <v>1</v>
      </c>
      <c r="H466" s="877"/>
      <c r="I466" s="48">
        <f t="shared" si="72"/>
        <v>1</v>
      </c>
      <c r="J466" s="877"/>
      <c r="K466" s="48">
        <f t="shared" si="73"/>
        <v>1</v>
      </c>
      <c r="L466" s="877"/>
      <c r="M466" s="48">
        <f t="shared" si="74"/>
        <v>1</v>
      </c>
      <c r="N466" s="877"/>
      <c r="O466" s="48">
        <f t="shared" si="75"/>
        <v>1</v>
      </c>
      <c r="P466" s="877"/>
      <c r="Q466" s="48">
        <f t="shared" si="76"/>
        <v>1</v>
      </c>
      <c r="R466" s="48">
        <f t="shared" si="77"/>
        <v>0</v>
      </c>
      <c r="S466" s="733">
        <f t="shared" si="78"/>
        <v>0</v>
      </c>
    </row>
    <row r="467" spans="1:19">
      <c r="A467" s="878"/>
      <c r="B467" s="125"/>
      <c r="C467" s="48">
        <f t="shared" si="69"/>
        <v>1</v>
      </c>
      <c r="D467" s="877"/>
      <c r="E467" s="48">
        <f t="shared" si="70"/>
        <v>1</v>
      </c>
      <c r="F467" s="877"/>
      <c r="G467" s="48">
        <f t="shared" si="71"/>
        <v>1</v>
      </c>
      <c r="H467" s="877"/>
      <c r="I467" s="48">
        <f t="shared" si="72"/>
        <v>1</v>
      </c>
      <c r="J467" s="877"/>
      <c r="K467" s="48">
        <f t="shared" si="73"/>
        <v>1</v>
      </c>
      <c r="L467" s="877"/>
      <c r="M467" s="48">
        <f t="shared" si="74"/>
        <v>1</v>
      </c>
      <c r="N467" s="877"/>
      <c r="O467" s="48">
        <f t="shared" si="75"/>
        <v>1</v>
      </c>
      <c r="P467" s="877"/>
      <c r="Q467" s="48">
        <f t="shared" si="76"/>
        <v>1</v>
      </c>
      <c r="R467" s="48">
        <f t="shared" si="77"/>
        <v>0</v>
      </c>
      <c r="S467" s="733">
        <f t="shared" si="78"/>
        <v>0</v>
      </c>
    </row>
    <row r="468" spans="1:19">
      <c r="A468" s="878"/>
      <c r="B468" s="125"/>
      <c r="C468" s="48">
        <f t="shared" si="69"/>
        <v>1</v>
      </c>
      <c r="D468" s="877"/>
      <c r="E468" s="48">
        <f t="shared" si="70"/>
        <v>1</v>
      </c>
      <c r="F468" s="877"/>
      <c r="G468" s="48">
        <f t="shared" si="71"/>
        <v>1</v>
      </c>
      <c r="H468" s="877"/>
      <c r="I468" s="48">
        <f t="shared" si="72"/>
        <v>1</v>
      </c>
      <c r="J468" s="877"/>
      <c r="K468" s="48">
        <f t="shared" si="73"/>
        <v>1</v>
      </c>
      <c r="L468" s="877"/>
      <c r="M468" s="48">
        <f t="shared" si="74"/>
        <v>1</v>
      </c>
      <c r="N468" s="877"/>
      <c r="O468" s="48">
        <f t="shared" si="75"/>
        <v>1</v>
      </c>
      <c r="P468" s="877"/>
      <c r="Q468" s="48">
        <f t="shared" si="76"/>
        <v>1</v>
      </c>
      <c r="R468" s="48">
        <f t="shared" si="77"/>
        <v>0</v>
      </c>
      <c r="S468" s="733">
        <f t="shared" ref="S468:S497" si="79">ROUND(R468*B468/10000,0)</f>
        <v>0</v>
      </c>
    </row>
    <row r="469" spans="1:19">
      <c r="A469" s="878"/>
      <c r="B469" s="125"/>
      <c r="C469" s="48">
        <f t="shared" si="69"/>
        <v>1</v>
      </c>
      <c r="D469" s="877"/>
      <c r="E469" s="48">
        <f t="shared" si="70"/>
        <v>1</v>
      </c>
      <c r="F469" s="877"/>
      <c r="G469" s="48">
        <f t="shared" si="71"/>
        <v>1</v>
      </c>
      <c r="H469" s="877"/>
      <c r="I469" s="48">
        <f t="shared" si="72"/>
        <v>1</v>
      </c>
      <c r="J469" s="877"/>
      <c r="K469" s="48">
        <f t="shared" si="73"/>
        <v>1</v>
      </c>
      <c r="L469" s="877"/>
      <c r="M469" s="48">
        <f t="shared" si="74"/>
        <v>1</v>
      </c>
      <c r="N469" s="877"/>
      <c r="O469" s="48">
        <f t="shared" si="75"/>
        <v>1</v>
      </c>
      <c r="P469" s="877"/>
      <c r="Q469" s="48">
        <f t="shared" si="76"/>
        <v>1</v>
      </c>
      <c r="R469" s="48">
        <f t="shared" si="77"/>
        <v>0</v>
      </c>
      <c r="S469" s="733">
        <f t="shared" si="79"/>
        <v>0</v>
      </c>
    </row>
    <row r="470" spans="1:19">
      <c r="A470" s="878"/>
      <c r="B470" s="125"/>
      <c r="C470" s="48">
        <f t="shared" si="69"/>
        <v>1</v>
      </c>
      <c r="D470" s="877"/>
      <c r="E470" s="48">
        <f t="shared" si="70"/>
        <v>1</v>
      </c>
      <c r="F470" s="877"/>
      <c r="G470" s="48">
        <f t="shared" si="71"/>
        <v>1</v>
      </c>
      <c r="H470" s="877"/>
      <c r="I470" s="48">
        <f t="shared" si="72"/>
        <v>1</v>
      </c>
      <c r="J470" s="877"/>
      <c r="K470" s="48">
        <f t="shared" si="73"/>
        <v>1</v>
      </c>
      <c r="L470" s="877"/>
      <c r="M470" s="48">
        <f t="shared" si="74"/>
        <v>1</v>
      </c>
      <c r="N470" s="877"/>
      <c r="O470" s="48">
        <f t="shared" si="75"/>
        <v>1</v>
      </c>
      <c r="P470" s="877"/>
      <c r="Q470" s="48">
        <f t="shared" si="76"/>
        <v>1</v>
      </c>
      <c r="R470" s="48">
        <f t="shared" si="77"/>
        <v>0</v>
      </c>
      <c r="S470" s="733">
        <f t="shared" si="79"/>
        <v>0</v>
      </c>
    </row>
    <row r="471" spans="1:19">
      <c r="A471" s="878"/>
      <c r="B471" s="125"/>
      <c r="C471" s="48">
        <f t="shared" si="69"/>
        <v>1</v>
      </c>
      <c r="D471" s="877"/>
      <c r="E471" s="48">
        <f t="shared" si="70"/>
        <v>1</v>
      </c>
      <c r="F471" s="877"/>
      <c r="G471" s="48">
        <f t="shared" si="71"/>
        <v>1</v>
      </c>
      <c r="H471" s="877"/>
      <c r="I471" s="48">
        <f t="shared" si="72"/>
        <v>1</v>
      </c>
      <c r="J471" s="877"/>
      <c r="K471" s="48">
        <f t="shared" si="73"/>
        <v>1</v>
      </c>
      <c r="L471" s="877"/>
      <c r="M471" s="48">
        <f t="shared" si="74"/>
        <v>1</v>
      </c>
      <c r="N471" s="877"/>
      <c r="O471" s="48">
        <f t="shared" si="75"/>
        <v>1</v>
      </c>
      <c r="P471" s="877"/>
      <c r="Q471" s="48">
        <f t="shared" si="76"/>
        <v>1</v>
      </c>
      <c r="R471" s="48">
        <f t="shared" si="77"/>
        <v>0</v>
      </c>
      <c r="S471" s="733">
        <f t="shared" si="79"/>
        <v>0</v>
      </c>
    </row>
    <row r="472" spans="1:19">
      <c r="A472" s="878"/>
      <c r="B472" s="125"/>
      <c r="C472" s="48">
        <f t="shared" si="69"/>
        <v>1</v>
      </c>
      <c r="D472" s="877"/>
      <c r="E472" s="48">
        <f t="shared" si="70"/>
        <v>1</v>
      </c>
      <c r="F472" s="877"/>
      <c r="G472" s="48">
        <f t="shared" si="71"/>
        <v>1</v>
      </c>
      <c r="H472" s="877"/>
      <c r="I472" s="48">
        <f t="shared" si="72"/>
        <v>1</v>
      </c>
      <c r="J472" s="877"/>
      <c r="K472" s="48">
        <f t="shared" si="73"/>
        <v>1</v>
      </c>
      <c r="L472" s="877"/>
      <c r="M472" s="48">
        <f t="shared" si="74"/>
        <v>1</v>
      </c>
      <c r="N472" s="877"/>
      <c r="O472" s="48">
        <f t="shared" si="75"/>
        <v>1</v>
      </c>
      <c r="P472" s="877"/>
      <c r="Q472" s="48">
        <f t="shared" si="76"/>
        <v>1</v>
      </c>
      <c r="R472" s="48">
        <f t="shared" si="77"/>
        <v>0</v>
      </c>
      <c r="S472" s="733">
        <f t="shared" si="79"/>
        <v>0</v>
      </c>
    </row>
    <row r="473" spans="1:19">
      <c r="A473" s="878"/>
      <c r="B473" s="125"/>
      <c r="C473" s="48">
        <f t="shared" si="69"/>
        <v>1</v>
      </c>
      <c r="D473" s="877"/>
      <c r="E473" s="48">
        <f t="shared" si="70"/>
        <v>1</v>
      </c>
      <c r="F473" s="877"/>
      <c r="G473" s="48">
        <f t="shared" si="71"/>
        <v>1</v>
      </c>
      <c r="H473" s="877"/>
      <c r="I473" s="48">
        <f t="shared" si="72"/>
        <v>1</v>
      </c>
      <c r="J473" s="877"/>
      <c r="K473" s="48">
        <f t="shared" si="73"/>
        <v>1</v>
      </c>
      <c r="L473" s="877"/>
      <c r="M473" s="48">
        <f t="shared" si="74"/>
        <v>1</v>
      </c>
      <c r="N473" s="877"/>
      <c r="O473" s="48">
        <f t="shared" si="75"/>
        <v>1</v>
      </c>
      <c r="P473" s="877"/>
      <c r="Q473" s="48">
        <f t="shared" si="76"/>
        <v>1</v>
      </c>
      <c r="R473" s="48">
        <f t="shared" si="77"/>
        <v>0</v>
      </c>
      <c r="S473" s="733">
        <f t="shared" si="79"/>
        <v>0</v>
      </c>
    </row>
    <row r="474" spans="1:19">
      <c r="A474" s="878"/>
      <c r="B474" s="125"/>
      <c r="C474" s="48">
        <f t="shared" ref="C474:C524" si="80">IF(B474="",1,(LOOKUP(B474,$3:$3,$4:$4)-LOOKUP($B$24,$3:$3,$4:$4)+100)/100)</f>
        <v>1</v>
      </c>
      <c r="D474" s="877"/>
      <c r="E474" s="48">
        <f t="shared" ref="E474:E524" si="81">(SUMIF($5:$5,D474,$6:$6)-SUMIF($5:$5,$D$24,$6:$6)+100)/100</f>
        <v>1</v>
      </c>
      <c r="F474" s="877"/>
      <c r="G474" s="48">
        <f t="shared" ref="G474:G524" si="82">(SUMIF($7:$7,F474,$8:$8)-SUMIF($7:$7,$F$24,$8:$8)+100)/100</f>
        <v>1</v>
      </c>
      <c r="H474" s="877"/>
      <c r="I474" s="48">
        <f t="shared" ref="I474:I524" si="83">(SUMIF($9:$9,H474,$10:$10)-SUMIF($9:$9,$H$24,$10:$10)+100)/100</f>
        <v>1</v>
      </c>
      <c r="J474" s="877"/>
      <c r="K474" s="48">
        <f t="shared" ref="K474:K524" si="84">(SUMIF($11:$11,J474,$12:$12)-SUMIF($11:$11,$J$24,$12:$12)+100)/100</f>
        <v>1</v>
      </c>
      <c r="L474" s="877"/>
      <c r="M474" s="48">
        <f t="shared" ref="M474:M524" si="85">(SUMIF($13:$13,L474,$14:$14)-SUMIF($13:$13,$L$24,$14:$14)+100)/100</f>
        <v>1</v>
      </c>
      <c r="N474" s="877"/>
      <c r="O474" s="48">
        <f t="shared" ref="O474:O524" si="86">(SUMIF($15:$15,N474,$16:$16)-SUMIF($15:$15,$N$24,$16:$16)+100)/100</f>
        <v>1</v>
      </c>
      <c r="P474" s="877"/>
      <c r="Q474" s="48">
        <f t="shared" ref="Q474:Q524" si="87">(SUMIF($17:$17,P474,$18:$18)-SUMIF($17:$17,$P$24,$18:$18)+100)/100</f>
        <v>1</v>
      </c>
      <c r="R474" s="48">
        <f t="shared" ref="R474:R524" si="88">IF(B474="",0,ROUND($R$24*C474*E474*G474*I474*K474*M474*O474*Q474,0))</f>
        <v>0</v>
      </c>
      <c r="S474" s="733">
        <f t="shared" si="79"/>
        <v>0</v>
      </c>
    </row>
    <row r="475" spans="1:19">
      <c r="A475" s="878"/>
      <c r="B475" s="125"/>
      <c r="C475" s="48">
        <f t="shared" si="80"/>
        <v>1</v>
      </c>
      <c r="D475" s="877"/>
      <c r="E475" s="48">
        <f t="shared" si="81"/>
        <v>1</v>
      </c>
      <c r="F475" s="877"/>
      <c r="G475" s="48">
        <f t="shared" si="82"/>
        <v>1</v>
      </c>
      <c r="H475" s="877"/>
      <c r="I475" s="48">
        <f t="shared" si="83"/>
        <v>1</v>
      </c>
      <c r="J475" s="877"/>
      <c r="K475" s="48">
        <f t="shared" si="84"/>
        <v>1</v>
      </c>
      <c r="L475" s="877"/>
      <c r="M475" s="48">
        <f t="shared" si="85"/>
        <v>1</v>
      </c>
      <c r="N475" s="877"/>
      <c r="O475" s="48">
        <f t="shared" si="86"/>
        <v>1</v>
      </c>
      <c r="P475" s="877"/>
      <c r="Q475" s="48">
        <f t="shared" si="87"/>
        <v>1</v>
      </c>
      <c r="R475" s="48">
        <f t="shared" si="88"/>
        <v>0</v>
      </c>
      <c r="S475" s="733">
        <f t="shared" si="79"/>
        <v>0</v>
      </c>
    </row>
    <row r="476" spans="1:19">
      <c r="A476" s="878"/>
      <c r="B476" s="125"/>
      <c r="C476" s="48">
        <f t="shared" si="80"/>
        <v>1</v>
      </c>
      <c r="D476" s="877"/>
      <c r="E476" s="48">
        <f t="shared" si="81"/>
        <v>1</v>
      </c>
      <c r="F476" s="877"/>
      <c r="G476" s="48">
        <f t="shared" si="82"/>
        <v>1</v>
      </c>
      <c r="H476" s="877"/>
      <c r="I476" s="48">
        <f t="shared" si="83"/>
        <v>1</v>
      </c>
      <c r="J476" s="877"/>
      <c r="K476" s="48">
        <f t="shared" si="84"/>
        <v>1</v>
      </c>
      <c r="L476" s="877"/>
      <c r="M476" s="48">
        <f t="shared" si="85"/>
        <v>1</v>
      </c>
      <c r="N476" s="877"/>
      <c r="O476" s="48">
        <f t="shared" si="86"/>
        <v>1</v>
      </c>
      <c r="P476" s="877"/>
      <c r="Q476" s="48">
        <f t="shared" si="87"/>
        <v>1</v>
      </c>
      <c r="R476" s="48">
        <f t="shared" si="88"/>
        <v>0</v>
      </c>
      <c r="S476" s="733">
        <f t="shared" si="79"/>
        <v>0</v>
      </c>
    </row>
    <row r="477" spans="1:19">
      <c r="A477" s="878"/>
      <c r="B477" s="125"/>
      <c r="C477" s="48">
        <f t="shared" si="80"/>
        <v>1</v>
      </c>
      <c r="D477" s="877"/>
      <c r="E477" s="48">
        <f t="shared" si="81"/>
        <v>1</v>
      </c>
      <c r="F477" s="877"/>
      <c r="G477" s="48">
        <f t="shared" si="82"/>
        <v>1</v>
      </c>
      <c r="H477" s="877"/>
      <c r="I477" s="48">
        <f t="shared" si="83"/>
        <v>1</v>
      </c>
      <c r="J477" s="877"/>
      <c r="K477" s="48">
        <f t="shared" si="84"/>
        <v>1</v>
      </c>
      <c r="L477" s="877"/>
      <c r="M477" s="48">
        <f t="shared" si="85"/>
        <v>1</v>
      </c>
      <c r="N477" s="877"/>
      <c r="O477" s="48">
        <f t="shared" si="86"/>
        <v>1</v>
      </c>
      <c r="P477" s="877"/>
      <c r="Q477" s="48">
        <f t="shared" si="87"/>
        <v>1</v>
      </c>
      <c r="R477" s="48">
        <f t="shared" si="88"/>
        <v>0</v>
      </c>
      <c r="S477" s="733">
        <f t="shared" si="79"/>
        <v>0</v>
      </c>
    </row>
    <row r="478" spans="1:19">
      <c r="A478" s="878"/>
      <c r="B478" s="125"/>
      <c r="C478" s="48">
        <f t="shared" si="80"/>
        <v>1</v>
      </c>
      <c r="D478" s="877"/>
      <c r="E478" s="48">
        <f t="shared" si="81"/>
        <v>1</v>
      </c>
      <c r="F478" s="877"/>
      <c r="G478" s="48">
        <f t="shared" si="82"/>
        <v>1</v>
      </c>
      <c r="H478" s="877"/>
      <c r="I478" s="48">
        <f t="shared" si="83"/>
        <v>1</v>
      </c>
      <c r="J478" s="877"/>
      <c r="K478" s="48">
        <f t="shared" si="84"/>
        <v>1</v>
      </c>
      <c r="L478" s="877"/>
      <c r="M478" s="48">
        <f t="shared" si="85"/>
        <v>1</v>
      </c>
      <c r="N478" s="877"/>
      <c r="O478" s="48">
        <f t="shared" si="86"/>
        <v>1</v>
      </c>
      <c r="P478" s="877"/>
      <c r="Q478" s="48">
        <f t="shared" si="87"/>
        <v>1</v>
      </c>
      <c r="R478" s="48">
        <f t="shared" si="88"/>
        <v>0</v>
      </c>
      <c r="S478" s="733">
        <f t="shared" si="79"/>
        <v>0</v>
      </c>
    </row>
    <row r="479" spans="1:19">
      <c r="A479" s="878"/>
      <c r="B479" s="125"/>
      <c r="C479" s="48">
        <f t="shared" si="80"/>
        <v>1</v>
      </c>
      <c r="D479" s="877"/>
      <c r="E479" s="48">
        <f t="shared" si="81"/>
        <v>1</v>
      </c>
      <c r="F479" s="877"/>
      <c r="G479" s="48">
        <f t="shared" si="82"/>
        <v>1</v>
      </c>
      <c r="H479" s="877"/>
      <c r="I479" s="48">
        <f t="shared" si="83"/>
        <v>1</v>
      </c>
      <c r="J479" s="877"/>
      <c r="K479" s="48">
        <f t="shared" si="84"/>
        <v>1</v>
      </c>
      <c r="L479" s="877"/>
      <c r="M479" s="48">
        <f t="shared" si="85"/>
        <v>1</v>
      </c>
      <c r="N479" s="877"/>
      <c r="O479" s="48">
        <f t="shared" si="86"/>
        <v>1</v>
      </c>
      <c r="P479" s="877"/>
      <c r="Q479" s="48">
        <f t="shared" si="87"/>
        <v>1</v>
      </c>
      <c r="R479" s="48">
        <f t="shared" si="88"/>
        <v>0</v>
      </c>
      <c r="S479" s="733">
        <f t="shared" si="79"/>
        <v>0</v>
      </c>
    </row>
    <row r="480" spans="1:19">
      <c r="A480" s="878"/>
      <c r="B480" s="125"/>
      <c r="C480" s="48">
        <f t="shared" si="80"/>
        <v>1</v>
      </c>
      <c r="D480" s="877"/>
      <c r="E480" s="48">
        <f t="shared" si="81"/>
        <v>1</v>
      </c>
      <c r="F480" s="877"/>
      <c r="G480" s="48">
        <f t="shared" si="82"/>
        <v>1</v>
      </c>
      <c r="H480" s="877"/>
      <c r="I480" s="48">
        <f t="shared" si="83"/>
        <v>1</v>
      </c>
      <c r="J480" s="877"/>
      <c r="K480" s="48">
        <f t="shared" si="84"/>
        <v>1</v>
      </c>
      <c r="L480" s="877"/>
      <c r="M480" s="48">
        <f t="shared" si="85"/>
        <v>1</v>
      </c>
      <c r="N480" s="877"/>
      <c r="O480" s="48">
        <f t="shared" si="86"/>
        <v>1</v>
      </c>
      <c r="P480" s="877"/>
      <c r="Q480" s="48">
        <f t="shared" si="87"/>
        <v>1</v>
      </c>
      <c r="R480" s="48">
        <f t="shared" si="88"/>
        <v>0</v>
      </c>
      <c r="S480" s="733">
        <f t="shared" si="79"/>
        <v>0</v>
      </c>
    </row>
    <row r="481" spans="1:19">
      <c r="A481" s="878"/>
      <c r="B481" s="125"/>
      <c r="C481" s="48">
        <f t="shared" si="80"/>
        <v>1</v>
      </c>
      <c r="D481" s="877"/>
      <c r="E481" s="48">
        <f t="shared" si="81"/>
        <v>1</v>
      </c>
      <c r="F481" s="877"/>
      <c r="G481" s="48">
        <f t="shared" si="82"/>
        <v>1</v>
      </c>
      <c r="H481" s="877"/>
      <c r="I481" s="48">
        <f t="shared" si="83"/>
        <v>1</v>
      </c>
      <c r="J481" s="877"/>
      <c r="K481" s="48">
        <f t="shared" si="84"/>
        <v>1</v>
      </c>
      <c r="L481" s="877"/>
      <c r="M481" s="48">
        <f t="shared" si="85"/>
        <v>1</v>
      </c>
      <c r="N481" s="877"/>
      <c r="O481" s="48">
        <f t="shared" si="86"/>
        <v>1</v>
      </c>
      <c r="P481" s="877"/>
      <c r="Q481" s="48">
        <f t="shared" si="87"/>
        <v>1</v>
      </c>
      <c r="R481" s="48">
        <f t="shared" si="88"/>
        <v>0</v>
      </c>
      <c r="S481" s="733">
        <f t="shared" si="79"/>
        <v>0</v>
      </c>
    </row>
    <row r="482" spans="1:19">
      <c r="A482" s="878"/>
      <c r="B482" s="125"/>
      <c r="C482" s="48">
        <f t="shared" si="80"/>
        <v>1</v>
      </c>
      <c r="D482" s="877"/>
      <c r="E482" s="48">
        <f t="shared" si="81"/>
        <v>1</v>
      </c>
      <c r="F482" s="877"/>
      <c r="G482" s="48">
        <f t="shared" si="82"/>
        <v>1</v>
      </c>
      <c r="H482" s="877"/>
      <c r="I482" s="48">
        <f t="shared" si="83"/>
        <v>1</v>
      </c>
      <c r="J482" s="877"/>
      <c r="K482" s="48">
        <f t="shared" si="84"/>
        <v>1</v>
      </c>
      <c r="L482" s="877"/>
      <c r="M482" s="48">
        <f t="shared" si="85"/>
        <v>1</v>
      </c>
      <c r="N482" s="877"/>
      <c r="O482" s="48">
        <f t="shared" si="86"/>
        <v>1</v>
      </c>
      <c r="P482" s="877"/>
      <c r="Q482" s="48">
        <f t="shared" si="87"/>
        <v>1</v>
      </c>
      <c r="R482" s="48">
        <f t="shared" si="88"/>
        <v>0</v>
      </c>
      <c r="S482" s="733">
        <f t="shared" si="79"/>
        <v>0</v>
      </c>
    </row>
    <row r="483" spans="1:19">
      <c r="A483" s="878"/>
      <c r="B483" s="125"/>
      <c r="C483" s="48">
        <f t="shared" si="80"/>
        <v>1</v>
      </c>
      <c r="D483" s="877"/>
      <c r="E483" s="48">
        <f t="shared" si="81"/>
        <v>1</v>
      </c>
      <c r="F483" s="877"/>
      <c r="G483" s="48">
        <f t="shared" si="82"/>
        <v>1</v>
      </c>
      <c r="H483" s="877"/>
      <c r="I483" s="48">
        <f t="shared" si="83"/>
        <v>1</v>
      </c>
      <c r="J483" s="877"/>
      <c r="K483" s="48">
        <f t="shared" si="84"/>
        <v>1</v>
      </c>
      <c r="L483" s="877"/>
      <c r="M483" s="48">
        <f t="shared" si="85"/>
        <v>1</v>
      </c>
      <c r="N483" s="877"/>
      <c r="O483" s="48">
        <f t="shared" si="86"/>
        <v>1</v>
      </c>
      <c r="P483" s="877"/>
      <c r="Q483" s="48">
        <f t="shared" si="87"/>
        <v>1</v>
      </c>
      <c r="R483" s="48">
        <f t="shared" si="88"/>
        <v>0</v>
      </c>
      <c r="S483" s="733">
        <f t="shared" si="79"/>
        <v>0</v>
      </c>
    </row>
    <row r="484" spans="1:19">
      <c r="A484" s="878"/>
      <c r="B484" s="125"/>
      <c r="C484" s="48">
        <f t="shared" si="80"/>
        <v>1</v>
      </c>
      <c r="D484" s="877"/>
      <c r="E484" s="48">
        <f t="shared" si="81"/>
        <v>1</v>
      </c>
      <c r="F484" s="877"/>
      <c r="G484" s="48">
        <f t="shared" si="82"/>
        <v>1</v>
      </c>
      <c r="H484" s="877"/>
      <c r="I484" s="48">
        <f t="shared" si="83"/>
        <v>1</v>
      </c>
      <c r="J484" s="877"/>
      <c r="K484" s="48">
        <f t="shared" si="84"/>
        <v>1</v>
      </c>
      <c r="L484" s="877"/>
      <c r="M484" s="48">
        <f t="shared" si="85"/>
        <v>1</v>
      </c>
      <c r="N484" s="877"/>
      <c r="O484" s="48">
        <f t="shared" si="86"/>
        <v>1</v>
      </c>
      <c r="P484" s="877"/>
      <c r="Q484" s="48">
        <f t="shared" si="87"/>
        <v>1</v>
      </c>
      <c r="R484" s="48">
        <f t="shared" si="88"/>
        <v>0</v>
      </c>
      <c r="S484" s="733">
        <f t="shared" si="79"/>
        <v>0</v>
      </c>
    </row>
    <row r="485" spans="1:19">
      <c r="A485" s="878"/>
      <c r="B485" s="125"/>
      <c r="C485" s="48">
        <f t="shared" si="80"/>
        <v>1</v>
      </c>
      <c r="D485" s="877"/>
      <c r="E485" s="48">
        <f t="shared" si="81"/>
        <v>1</v>
      </c>
      <c r="F485" s="877"/>
      <c r="G485" s="48">
        <f t="shared" si="82"/>
        <v>1</v>
      </c>
      <c r="H485" s="877"/>
      <c r="I485" s="48">
        <f t="shared" si="83"/>
        <v>1</v>
      </c>
      <c r="J485" s="877"/>
      <c r="K485" s="48">
        <f t="shared" si="84"/>
        <v>1</v>
      </c>
      <c r="L485" s="877"/>
      <c r="M485" s="48">
        <f t="shared" si="85"/>
        <v>1</v>
      </c>
      <c r="N485" s="877"/>
      <c r="O485" s="48">
        <f t="shared" si="86"/>
        <v>1</v>
      </c>
      <c r="P485" s="877"/>
      <c r="Q485" s="48">
        <f t="shared" si="87"/>
        <v>1</v>
      </c>
      <c r="R485" s="48">
        <f t="shared" si="88"/>
        <v>0</v>
      </c>
      <c r="S485" s="733">
        <f t="shared" si="79"/>
        <v>0</v>
      </c>
    </row>
    <row r="486" spans="1:19">
      <c r="A486" s="878"/>
      <c r="B486" s="125"/>
      <c r="C486" s="48">
        <f t="shared" si="80"/>
        <v>1</v>
      </c>
      <c r="D486" s="877"/>
      <c r="E486" s="48">
        <f t="shared" si="81"/>
        <v>1</v>
      </c>
      <c r="F486" s="877"/>
      <c r="G486" s="48">
        <f t="shared" si="82"/>
        <v>1</v>
      </c>
      <c r="H486" s="877"/>
      <c r="I486" s="48">
        <f t="shared" si="83"/>
        <v>1</v>
      </c>
      <c r="J486" s="877"/>
      <c r="K486" s="48">
        <f t="shared" si="84"/>
        <v>1</v>
      </c>
      <c r="L486" s="877"/>
      <c r="M486" s="48">
        <f t="shared" si="85"/>
        <v>1</v>
      </c>
      <c r="N486" s="877"/>
      <c r="O486" s="48">
        <f t="shared" si="86"/>
        <v>1</v>
      </c>
      <c r="P486" s="877"/>
      <c r="Q486" s="48">
        <f t="shared" si="87"/>
        <v>1</v>
      </c>
      <c r="R486" s="48">
        <f t="shared" si="88"/>
        <v>0</v>
      </c>
      <c r="S486" s="733">
        <f t="shared" si="79"/>
        <v>0</v>
      </c>
    </row>
    <row r="487" spans="1:19">
      <c r="A487" s="878"/>
      <c r="B487" s="125"/>
      <c r="C487" s="48">
        <f t="shared" si="80"/>
        <v>1</v>
      </c>
      <c r="D487" s="877"/>
      <c r="E487" s="48">
        <f t="shared" si="81"/>
        <v>1</v>
      </c>
      <c r="F487" s="877"/>
      <c r="G487" s="48">
        <f t="shared" si="82"/>
        <v>1</v>
      </c>
      <c r="H487" s="877"/>
      <c r="I487" s="48">
        <f t="shared" si="83"/>
        <v>1</v>
      </c>
      <c r="J487" s="877"/>
      <c r="K487" s="48">
        <f t="shared" si="84"/>
        <v>1</v>
      </c>
      <c r="L487" s="877"/>
      <c r="M487" s="48">
        <f t="shared" si="85"/>
        <v>1</v>
      </c>
      <c r="N487" s="877"/>
      <c r="O487" s="48">
        <f t="shared" si="86"/>
        <v>1</v>
      </c>
      <c r="P487" s="877"/>
      <c r="Q487" s="48">
        <f t="shared" si="87"/>
        <v>1</v>
      </c>
      <c r="R487" s="48">
        <f t="shared" si="88"/>
        <v>0</v>
      </c>
      <c r="S487" s="733">
        <f t="shared" si="79"/>
        <v>0</v>
      </c>
    </row>
    <row r="488" spans="1:19">
      <c r="A488" s="878"/>
      <c r="B488" s="125"/>
      <c r="C488" s="48">
        <f t="shared" si="80"/>
        <v>1</v>
      </c>
      <c r="D488" s="877"/>
      <c r="E488" s="48">
        <f t="shared" si="81"/>
        <v>1</v>
      </c>
      <c r="F488" s="877"/>
      <c r="G488" s="48">
        <f t="shared" si="82"/>
        <v>1</v>
      </c>
      <c r="H488" s="877"/>
      <c r="I488" s="48">
        <f t="shared" si="83"/>
        <v>1</v>
      </c>
      <c r="J488" s="877"/>
      <c r="K488" s="48">
        <f t="shared" si="84"/>
        <v>1</v>
      </c>
      <c r="L488" s="877"/>
      <c r="M488" s="48">
        <f t="shared" si="85"/>
        <v>1</v>
      </c>
      <c r="N488" s="877"/>
      <c r="O488" s="48">
        <f t="shared" si="86"/>
        <v>1</v>
      </c>
      <c r="P488" s="877"/>
      <c r="Q488" s="48">
        <f t="shared" si="87"/>
        <v>1</v>
      </c>
      <c r="R488" s="48">
        <f t="shared" si="88"/>
        <v>0</v>
      </c>
      <c r="S488" s="733">
        <f t="shared" si="79"/>
        <v>0</v>
      </c>
    </row>
    <row r="489" spans="1:19">
      <c r="A489" s="878"/>
      <c r="B489" s="125"/>
      <c r="C489" s="48">
        <f t="shared" si="80"/>
        <v>1</v>
      </c>
      <c r="D489" s="877"/>
      <c r="E489" s="48">
        <f t="shared" si="81"/>
        <v>1</v>
      </c>
      <c r="F489" s="877"/>
      <c r="G489" s="48">
        <f t="shared" si="82"/>
        <v>1</v>
      </c>
      <c r="H489" s="877"/>
      <c r="I489" s="48">
        <f t="shared" si="83"/>
        <v>1</v>
      </c>
      <c r="J489" s="877"/>
      <c r="K489" s="48">
        <f t="shared" si="84"/>
        <v>1</v>
      </c>
      <c r="L489" s="877"/>
      <c r="M489" s="48">
        <f t="shared" si="85"/>
        <v>1</v>
      </c>
      <c r="N489" s="877"/>
      <c r="O489" s="48">
        <f t="shared" si="86"/>
        <v>1</v>
      </c>
      <c r="P489" s="877"/>
      <c r="Q489" s="48">
        <f t="shared" si="87"/>
        <v>1</v>
      </c>
      <c r="R489" s="48">
        <f t="shared" si="88"/>
        <v>0</v>
      </c>
      <c r="S489" s="733">
        <f t="shared" si="79"/>
        <v>0</v>
      </c>
    </row>
    <row r="490" spans="1:19">
      <c r="A490" s="878"/>
      <c r="B490" s="125"/>
      <c r="C490" s="48">
        <f t="shared" si="80"/>
        <v>1</v>
      </c>
      <c r="D490" s="877"/>
      <c r="E490" s="48">
        <f t="shared" si="81"/>
        <v>1</v>
      </c>
      <c r="F490" s="877"/>
      <c r="G490" s="48">
        <f t="shared" si="82"/>
        <v>1</v>
      </c>
      <c r="H490" s="877"/>
      <c r="I490" s="48">
        <f t="shared" si="83"/>
        <v>1</v>
      </c>
      <c r="J490" s="877"/>
      <c r="K490" s="48">
        <f t="shared" si="84"/>
        <v>1</v>
      </c>
      <c r="L490" s="877"/>
      <c r="M490" s="48">
        <f t="shared" si="85"/>
        <v>1</v>
      </c>
      <c r="N490" s="877"/>
      <c r="O490" s="48">
        <f t="shared" si="86"/>
        <v>1</v>
      </c>
      <c r="P490" s="877"/>
      <c r="Q490" s="48">
        <f t="shared" si="87"/>
        <v>1</v>
      </c>
      <c r="R490" s="48">
        <f t="shared" si="88"/>
        <v>0</v>
      </c>
      <c r="S490" s="733">
        <f t="shared" si="79"/>
        <v>0</v>
      </c>
    </row>
    <row r="491" spans="1:19">
      <c r="A491" s="878"/>
      <c r="B491" s="125"/>
      <c r="C491" s="48">
        <f t="shared" si="80"/>
        <v>1</v>
      </c>
      <c r="D491" s="877"/>
      <c r="E491" s="48">
        <f t="shared" si="81"/>
        <v>1</v>
      </c>
      <c r="F491" s="877"/>
      <c r="G491" s="48">
        <f t="shared" si="82"/>
        <v>1</v>
      </c>
      <c r="H491" s="877"/>
      <c r="I491" s="48">
        <f t="shared" si="83"/>
        <v>1</v>
      </c>
      <c r="J491" s="877"/>
      <c r="K491" s="48">
        <f t="shared" si="84"/>
        <v>1</v>
      </c>
      <c r="L491" s="877"/>
      <c r="M491" s="48">
        <f t="shared" si="85"/>
        <v>1</v>
      </c>
      <c r="N491" s="877"/>
      <c r="O491" s="48">
        <f t="shared" si="86"/>
        <v>1</v>
      </c>
      <c r="P491" s="877"/>
      <c r="Q491" s="48">
        <f t="shared" si="87"/>
        <v>1</v>
      </c>
      <c r="R491" s="48">
        <f t="shared" si="88"/>
        <v>0</v>
      </c>
      <c r="S491" s="733">
        <f t="shared" si="79"/>
        <v>0</v>
      </c>
    </row>
    <row r="492" spans="1:19">
      <c r="A492" s="878"/>
      <c r="B492" s="125"/>
      <c r="C492" s="48">
        <f t="shared" si="80"/>
        <v>1</v>
      </c>
      <c r="D492" s="877"/>
      <c r="E492" s="48">
        <f t="shared" si="81"/>
        <v>1</v>
      </c>
      <c r="F492" s="877"/>
      <c r="G492" s="48">
        <f t="shared" si="82"/>
        <v>1</v>
      </c>
      <c r="H492" s="877"/>
      <c r="I492" s="48">
        <f t="shared" si="83"/>
        <v>1</v>
      </c>
      <c r="J492" s="877"/>
      <c r="K492" s="48">
        <f t="shared" si="84"/>
        <v>1</v>
      </c>
      <c r="L492" s="877"/>
      <c r="M492" s="48">
        <f t="shared" si="85"/>
        <v>1</v>
      </c>
      <c r="N492" s="877"/>
      <c r="O492" s="48">
        <f t="shared" si="86"/>
        <v>1</v>
      </c>
      <c r="P492" s="877"/>
      <c r="Q492" s="48">
        <f t="shared" si="87"/>
        <v>1</v>
      </c>
      <c r="R492" s="48">
        <f t="shared" si="88"/>
        <v>0</v>
      </c>
      <c r="S492" s="733">
        <f t="shared" si="79"/>
        <v>0</v>
      </c>
    </row>
    <row r="493" spans="1:19">
      <c r="A493" s="878"/>
      <c r="B493" s="125"/>
      <c r="C493" s="48">
        <f t="shared" si="80"/>
        <v>1</v>
      </c>
      <c r="D493" s="877"/>
      <c r="E493" s="48">
        <f t="shared" si="81"/>
        <v>1</v>
      </c>
      <c r="F493" s="877"/>
      <c r="G493" s="48">
        <f t="shared" si="82"/>
        <v>1</v>
      </c>
      <c r="H493" s="877"/>
      <c r="I493" s="48">
        <f t="shared" si="83"/>
        <v>1</v>
      </c>
      <c r="J493" s="877"/>
      <c r="K493" s="48">
        <f t="shared" si="84"/>
        <v>1</v>
      </c>
      <c r="L493" s="877"/>
      <c r="M493" s="48">
        <f t="shared" si="85"/>
        <v>1</v>
      </c>
      <c r="N493" s="877"/>
      <c r="O493" s="48">
        <f t="shared" si="86"/>
        <v>1</v>
      </c>
      <c r="P493" s="877"/>
      <c r="Q493" s="48">
        <f t="shared" si="87"/>
        <v>1</v>
      </c>
      <c r="R493" s="48">
        <f t="shared" si="88"/>
        <v>0</v>
      </c>
      <c r="S493" s="733">
        <f t="shared" si="79"/>
        <v>0</v>
      </c>
    </row>
    <row r="494" spans="1:19">
      <c r="A494" s="878"/>
      <c r="B494" s="125"/>
      <c r="C494" s="48">
        <f t="shared" si="80"/>
        <v>1</v>
      </c>
      <c r="D494" s="877"/>
      <c r="E494" s="48">
        <f t="shared" si="81"/>
        <v>1</v>
      </c>
      <c r="F494" s="877"/>
      <c r="G494" s="48">
        <f t="shared" si="82"/>
        <v>1</v>
      </c>
      <c r="H494" s="877"/>
      <c r="I494" s="48">
        <f t="shared" si="83"/>
        <v>1</v>
      </c>
      <c r="J494" s="877"/>
      <c r="K494" s="48">
        <f t="shared" si="84"/>
        <v>1</v>
      </c>
      <c r="L494" s="877"/>
      <c r="M494" s="48">
        <f t="shared" si="85"/>
        <v>1</v>
      </c>
      <c r="N494" s="877"/>
      <c r="O494" s="48">
        <f t="shared" si="86"/>
        <v>1</v>
      </c>
      <c r="P494" s="877"/>
      <c r="Q494" s="48">
        <f t="shared" si="87"/>
        <v>1</v>
      </c>
      <c r="R494" s="48">
        <f t="shared" si="88"/>
        <v>0</v>
      </c>
      <c r="S494" s="733">
        <f t="shared" si="79"/>
        <v>0</v>
      </c>
    </row>
    <row r="495" spans="1:19">
      <c r="A495" s="878"/>
      <c r="B495" s="125"/>
      <c r="C495" s="48">
        <f t="shared" si="80"/>
        <v>1</v>
      </c>
      <c r="D495" s="877"/>
      <c r="E495" s="48">
        <f t="shared" si="81"/>
        <v>1</v>
      </c>
      <c r="F495" s="877"/>
      <c r="G495" s="48">
        <f t="shared" si="82"/>
        <v>1</v>
      </c>
      <c r="H495" s="877"/>
      <c r="I495" s="48">
        <f t="shared" si="83"/>
        <v>1</v>
      </c>
      <c r="J495" s="877"/>
      <c r="K495" s="48">
        <f t="shared" si="84"/>
        <v>1</v>
      </c>
      <c r="L495" s="877"/>
      <c r="M495" s="48">
        <f t="shared" si="85"/>
        <v>1</v>
      </c>
      <c r="N495" s="877"/>
      <c r="O495" s="48">
        <f t="shared" si="86"/>
        <v>1</v>
      </c>
      <c r="P495" s="877"/>
      <c r="Q495" s="48">
        <f t="shared" si="87"/>
        <v>1</v>
      </c>
      <c r="R495" s="48">
        <f t="shared" si="88"/>
        <v>0</v>
      </c>
      <c r="S495" s="733">
        <f t="shared" si="79"/>
        <v>0</v>
      </c>
    </row>
    <row r="496" spans="1:19">
      <c r="A496" s="878"/>
      <c r="B496" s="125"/>
      <c r="C496" s="48">
        <f t="shared" si="80"/>
        <v>1</v>
      </c>
      <c r="D496" s="877"/>
      <c r="E496" s="48">
        <f t="shared" si="81"/>
        <v>1</v>
      </c>
      <c r="F496" s="877"/>
      <c r="G496" s="48">
        <f t="shared" si="82"/>
        <v>1</v>
      </c>
      <c r="H496" s="877"/>
      <c r="I496" s="48">
        <f t="shared" si="83"/>
        <v>1</v>
      </c>
      <c r="J496" s="877"/>
      <c r="K496" s="48">
        <f t="shared" si="84"/>
        <v>1</v>
      </c>
      <c r="L496" s="877"/>
      <c r="M496" s="48">
        <f t="shared" si="85"/>
        <v>1</v>
      </c>
      <c r="N496" s="877"/>
      <c r="O496" s="48">
        <f t="shared" si="86"/>
        <v>1</v>
      </c>
      <c r="P496" s="877"/>
      <c r="Q496" s="48">
        <f t="shared" si="87"/>
        <v>1</v>
      </c>
      <c r="R496" s="48">
        <f t="shared" si="88"/>
        <v>0</v>
      </c>
      <c r="S496" s="733">
        <f t="shared" si="79"/>
        <v>0</v>
      </c>
    </row>
    <row r="497" spans="1:19">
      <c r="A497" s="878"/>
      <c r="B497" s="125"/>
      <c r="C497" s="48">
        <f t="shared" si="80"/>
        <v>1</v>
      </c>
      <c r="D497" s="877"/>
      <c r="E497" s="48">
        <f t="shared" si="81"/>
        <v>1</v>
      </c>
      <c r="F497" s="877"/>
      <c r="G497" s="48">
        <f t="shared" si="82"/>
        <v>1</v>
      </c>
      <c r="H497" s="877"/>
      <c r="I497" s="48">
        <f t="shared" si="83"/>
        <v>1</v>
      </c>
      <c r="J497" s="877"/>
      <c r="K497" s="48">
        <f t="shared" si="84"/>
        <v>1</v>
      </c>
      <c r="L497" s="877"/>
      <c r="M497" s="48">
        <f t="shared" si="85"/>
        <v>1</v>
      </c>
      <c r="N497" s="877"/>
      <c r="O497" s="48">
        <f t="shared" si="86"/>
        <v>1</v>
      </c>
      <c r="P497" s="877"/>
      <c r="Q497" s="48">
        <f t="shared" si="87"/>
        <v>1</v>
      </c>
      <c r="R497" s="48">
        <f t="shared" si="88"/>
        <v>0</v>
      </c>
      <c r="S497" s="733">
        <f t="shared" si="79"/>
        <v>0</v>
      </c>
    </row>
    <row r="498" spans="1:19">
      <c r="A498" s="878"/>
      <c r="B498" s="125"/>
      <c r="C498" s="48">
        <f t="shared" si="80"/>
        <v>1</v>
      </c>
      <c r="D498" s="877"/>
      <c r="E498" s="48">
        <f t="shared" si="81"/>
        <v>1</v>
      </c>
      <c r="F498" s="877"/>
      <c r="G498" s="48">
        <f t="shared" si="82"/>
        <v>1</v>
      </c>
      <c r="H498" s="877"/>
      <c r="I498" s="48">
        <f t="shared" si="83"/>
        <v>1</v>
      </c>
      <c r="J498" s="877"/>
      <c r="K498" s="48">
        <f t="shared" si="84"/>
        <v>1</v>
      </c>
      <c r="L498" s="877"/>
      <c r="M498" s="48">
        <f t="shared" si="85"/>
        <v>1</v>
      </c>
      <c r="N498" s="877"/>
      <c r="O498" s="48">
        <f t="shared" si="86"/>
        <v>1</v>
      </c>
      <c r="P498" s="877"/>
      <c r="Q498" s="48">
        <f t="shared" si="87"/>
        <v>1</v>
      </c>
      <c r="R498" s="48">
        <f t="shared" si="88"/>
        <v>0</v>
      </c>
      <c r="S498" s="733">
        <f t="shared" ref="S498:S524" si="89">ROUND(R498*B498/10000,0)</f>
        <v>0</v>
      </c>
    </row>
    <row r="499" spans="1:19">
      <c r="A499" s="878"/>
      <c r="B499" s="125"/>
      <c r="C499" s="48">
        <f t="shared" si="80"/>
        <v>1</v>
      </c>
      <c r="D499" s="877"/>
      <c r="E499" s="48">
        <f t="shared" si="81"/>
        <v>1</v>
      </c>
      <c r="F499" s="877"/>
      <c r="G499" s="48">
        <f t="shared" si="82"/>
        <v>1</v>
      </c>
      <c r="H499" s="877"/>
      <c r="I499" s="48">
        <f t="shared" si="83"/>
        <v>1</v>
      </c>
      <c r="J499" s="877"/>
      <c r="K499" s="48">
        <f t="shared" si="84"/>
        <v>1</v>
      </c>
      <c r="L499" s="877"/>
      <c r="M499" s="48">
        <f t="shared" si="85"/>
        <v>1</v>
      </c>
      <c r="N499" s="877"/>
      <c r="O499" s="48">
        <f t="shared" si="86"/>
        <v>1</v>
      </c>
      <c r="P499" s="877"/>
      <c r="Q499" s="48">
        <f t="shared" si="87"/>
        <v>1</v>
      </c>
      <c r="R499" s="48">
        <f t="shared" si="88"/>
        <v>0</v>
      </c>
      <c r="S499" s="733">
        <f t="shared" si="89"/>
        <v>0</v>
      </c>
    </row>
    <row r="500" spans="1:19">
      <c r="A500" s="878"/>
      <c r="B500" s="125"/>
      <c r="C500" s="48">
        <f t="shared" si="80"/>
        <v>1</v>
      </c>
      <c r="D500" s="877"/>
      <c r="E500" s="48">
        <f t="shared" si="81"/>
        <v>1</v>
      </c>
      <c r="F500" s="877"/>
      <c r="G500" s="48">
        <f t="shared" si="82"/>
        <v>1</v>
      </c>
      <c r="H500" s="877"/>
      <c r="I500" s="48">
        <f t="shared" si="83"/>
        <v>1</v>
      </c>
      <c r="J500" s="877"/>
      <c r="K500" s="48">
        <f t="shared" si="84"/>
        <v>1</v>
      </c>
      <c r="L500" s="877"/>
      <c r="M500" s="48">
        <f t="shared" si="85"/>
        <v>1</v>
      </c>
      <c r="N500" s="877"/>
      <c r="O500" s="48">
        <f t="shared" si="86"/>
        <v>1</v>
      </c>
      <c r="P500" s="877"/>
      <c r="Q500" s="48">
        <f t="shared" si="87"/>
        <v>1</v>
      </c>
      <c r="R500" s="48">
        <f t="shared" si="88"/>
        <v>0</v>
      </c>
      <c r="S500" s="733">
        <f t="shared" si="89"/>
        <v>0</v>
      </c>
    </row>
    <row r="501" spans="1:19">
      <c r="A501" s="878"/>
      <c r="B501" s="125"/>
      <c r="C501" s="48">
        <f t="shared" si="80"/>
        <v>1</v>
      </c>
      <c r="D501" s="877"/>
      <c r="E501" s="48">
        <f t="shared" si="81"/>
        <v>1</v>
      </c>
      <c r="F501" s="877"/>
      <c r="G501" s="48">
        <f t="shared" si="82"/>
        <v>1</v>
      </c>
      <c r="H501" s="877"/>
      <c r="I501" s="48">
        <f t="shared" si="83"/>
        <v>1</v>
      </c>
      <c r="J501" s="877"/>
      <c r="K501" s="48">
        <f t="shared" si="84"/>
        <v>1</v>
      </c>
      <c r="L501" s="877"/>
      <c r="M501" s="48">
        <f t="shared" si="85"/>
        <v>1</v>
      </c>
      <c r="N501" s="877"/>
      <c r="O501" s="48">
        <f t="shared" si="86"/>
        <v>1</v>
      </c>
      <c r="P501" s="877"/>
      <c r="Q501" s="48">
        <f t="shared" si="87"/>
        <v>1</v>
      </c>
      <c r="R501" s="48">
        <f t="shared" si="88"/>
        <v>0</v>
      </c>
      <c r="S501" s="733">
        <f t="shared" si="89"/>
        <v>0</v>
      </c>
    </row>
    <row r="502" spans="1:19">
      <c r="A502" s="878"/>
      <c r="B502" s="125"/>
      <c r="C502" s="48">
        <f t="shared" si="80"/>
        <v>1</v>
      </c>
      <c r="D502" s="877"/>
      <c r="E502" s="48">
        <f t="shared" si="81"/>
        <v>1</v>
      </c>
      <c r="F502" s="877"/>
      <c r="G502" s="48">
        <f t="shared" si="82"/>
        <v>1</v>
      </c>
      <c r="H502" s="877"/>
      <c r="I502" s="48">
        <f t="shared" si="83"/>
        <v>1</v>
      </c>
      <c r="J502" s="877"/>
      <c r="K502" s="48">
        <f t="shared" si="84"/>
        <v>1</v>
      </c>
      <c r="L502" s="877"/>
      <c r="M502" s="48">
        <f t="shared" si="85"/>
        <v>1</v>
      </c>
      <c r="N502" s="877"/>
      <c r="O502" s="48">
        <f t="shared" si="86"/>
        <v>1</v>
      </c>
      <c r="P502" s="877"/>
      <c r="Q502" s="48">
        <f t="shared" si="87"/>
        <v>1</v>
      </c>
      <c r="R502" s="48">
        <f t="shared" si="88"/>
        <v>0</v>
      </c>
      <c r="S502" s="733">
        <f t="shared" si="89"/>
        <v>0</v>
      </c>
    </row>
    <row r="503" spans="1:19">
      <c r="A503" s="878"/>
      <c r="B503" s="125"/>
      <c r="C503" s="48">
        <f t="shared" si="80"/>
        <v>1</v>
      </c>
      <c r="D503" s="877"/>
      <c r="E503" s="48">
        <f t="shared" si="81"/>
        <v>1</v>
      </c>
      <c r="F503" s="877"/>
      <c r="G503" s="48">
        <f t="shared" si="82"/>
        <v>1</v>
      </c>
      <c r="H503" s="877"/>
      <c r="I503" s="48">
        <f t="shared" si="83"/>
        <v>1</v>
      </c>
      <c r="J503" s="877"/>
      <c r="K503" s="48">
        <f t="shared" si="84"/>
        <v>1</v>
      </c>
      <c r="L503" s="877"/>
      <c r="M503" s="48">
        <f t="shared" si="85"/>
        <v>1</v>
      </c>
      <c r="N503" s="877"/>
      <c r="O503" s="48">
        <f t="shared" si="86"/>
        <v>1</v>
      </c>
      <c r="P503" s="877"/>
      <c r="Q503" s="48">
        <f t="shared" si="87"/>
        <v>1</v>
      </c>
      <c r="R503" s="48">
        <f t="shared" si="88"/>
        <v>0</v>
      </c>
      <c r="S503" s="733">
        <f t="shared" si="89"/>
        <v>0</v>
      </c>
    </row>
    <row r="504" spans="1:19">
      <c r="A504" s="878"/>
      <c r="B504" s="125"/>
      <c r="C504" s="48">
        <f t="shared" si="80"/>
        <v>1</v>
      </c>
      <c r="D504" s="877"/>
      <c r="E504" s="48">
        <f t="shared" si="81"/>
        <v>1</v>
      </c>
      <c r="F504" s="877"/>
      <c r="G504" s="48">
        <f t="shared" si="82"/>
        <v>1</v>
      </c>
      <c r="H504" s="877"/>
      <c r="I504" s="48">
        <f t="shared" si="83"/>
        <v>1</v>
      </c>
      <c r="J504" s="877"/>
      <c r="K504" s="48">
        <f t="shared" si="84"/>
        <v>1</v>
      </c>
      <c r="L504" s="877"/>
      <c r="M504" s="48">
        <f t="shared" si="85"/>
        <v>1</v>
      </c>
      <c r="N504" s="877"/>
      <c r="O504" s="48">
        <f t="shared" si="86"/>
        <v>1</v>
      </c>
      <c r="P504" s="877"/>
      <c r="Q504" s="48">
        <f t="shared" si="87"/>
        <v>1</v>
      </c>
      <c r="R504" s="48">
        <f t="shared" si="88"/>
        <v>0</v>
      </c>
      <c r="S504" s="733">
        <f t="shared" si="89"/>
        <v>0</v>
      </c>
    </row>
    <row r="505" spans="1:19">
      <c r="A505" s="878"/>
      <c r="B505" s="125"/>
      <c r="C505" s="48">
        <f t="shared" si="80"/>
        <v>1</v>
      </c>
      <c r="D505" s="877"/>
      <c r="E505" s="48">
        <f t="shared" si="81"/>
        <v>1</v>
      </c>
      <c r="F505" s="877"/>
      <c r="G505" s="48">
        <f t="shared" si="82"/>
        <v>1</v>
      </c>
      <c r="H505" s="877"/>
      <c r="I505" s="48">
        <f t="shared" si="83"/>
        <v>1</v>
      </c>
      <c r="J505" s="877"/>
      <c r="K505" s="48">
        <f t="shared" si="84"/>
        <v>1</v>
      </c>
      <c r="L505" s="877"/>
      <c r="M505" s="48">
        <f t="shared" si="85"/>
        <v>1</v>
      </c>
      <c r="N505" s="877"/>
      <c r="O505" s="48">
        <f t="shared" si="86"/>
        <v>1</v>
      </c>
      <c r="P505" s="877"/>
      <c r="Q505" s="48">
        <f t="shared" si="87"/>
        <v>1</v>
      </c>
      <c r="R505" s="48">
        <f t="shared" si="88"/>
        <v>0</v>
      </c>
      <c r="S505" s="733">
        <f t="shared" si="89"/>
        <v>0</v>
      </c>
    </row>
    <row r="506" spans="1:19">
      <c r="A506" s="878"/>
      <c r="B506" s="125"/>
      <c r="C506" s="48">
        <f t="shared" si="80"/>
        <v>1</v>
      </c>
      <c r="D506" s="877"/>
      <c r="E506" s="48">
        <f t="shared" si="81"/>
        <v>1</v>
      </c>
      <c r="F506" s="877"/>
      <c r="G506" s="48">
        <f t="shared" si="82"/>
        <v>1</v>
      </c>
      <c r="H506" s="877"/>
      <c r="I506" s="48">
        <f t="shared" si="83"/>
        <v>1</v>
      </c>
      <c r="J506" s="877"/>
      <c r="K506" s="48">
        <f t="shared" si="84"/>
        <v>1</v>
      </c>
      <c r="L506" s="877"/>
      <c r="M506" s="48">
        <f t="shared" si="85"/>
        <v>1</v>
      </c>
      <c r="N506" s="877"/>
      <c r="O506" s="48">
        <f t="shared" si="86"/>
        <v>1</v>
      </c>
      <c r="P506" s="877"/>
      <c r="Q506" s="48">
        <f t="shared" si="87"/>
        <v>1</v>
      </c>
      <c r="R506" s="48">
        <f t="shared" si="88"/>
        <v>0</v>
      </c>
      <c r="S506" s="733">
        <f t="shared" si="89"/>
        <v>0</v>
      </c>
    </row>
    <row r="507" spans="1:19">
      <c r="A507" s="878"/>
      <c r="B507" s="125"/>
      <c r="C507" s="48">
        <f t="shared" si="80"/>
        <v>1</v>
      </c>
      <c r="D507" s="877"/>
      <c r="E507" s="48">
        <f t="shared" si="81"/>
        <v>1</v>
      </c>
      <c r="F507" s="877"/>
      <c r="G507" s="48">
        <f t="shared" si="82"/>
        <v>1</v>
      </c>
      <c r="H507" s="877"/>
      <c r="I507" s="48">
        <f t="shared" si="83"/>
        <v>1</v>
      </c>
      <c r="J507" s="877"/>
      <c r="K507" s="48">
        <f t="shared" si="84"/>
        <v>1</v>
      </c>
      <c r="L507" s="877"/>
      <c r="M507" s="48">
        <f t="shared" si="85"/>
        <v>1</v>
      </c>
      <c r="N507" s="877"/>
      <c r="O507" s="48">
        <f t="shared" si="86"/>
        <v>1</v>
      </c>
      <c r="P507" s="877"/>
      <c r="Q507" s="48">
        <f t="shared" si="87"/>
        <v>1</v>
      </c>
      <c r="R507" s="48">
        <f t="shared" si="88"/>
        <v>0</v>
      </c>
      <c r="S507" s="733">
        <f t="shared" si="89"/>
        <v>0</v>
      </c>
    </row>
    <row r="508" spans="1:19">
      <c r="A508" s="878"/>
      <c r="B508" s="125"/>
      <c r="C508" s="48">
        <f t="shared" si="80"/>
        <v>1</v>
      </c>
      <c r="D508" s="877"/>
      <c r="E508" s="48">
        <f t="shared" si="81"/>
        <v>1</v>
      </c>
      <c r="F508" s="877"/>
      <c r="G508" s="48">
        <f t="shared" si="82"/>
        <v>1</v>
      </c>
      <c r="H508" s="877"/>
      <c r="I508" s="48">
        <f t="shared" si="83"/>
        <v>1</v>
      </c>
      <c r="J508" s="877"/>
      <c r="K508" s="48">
        <f t="shared" si="84"/>
        <v>1</v>
      </c>
      <c r="L508" s="877"/>
      <c r="M508" s="48">
        <f t="shared" si="85"/>
        <v>1</v>
      </c>
      <c r="N508" s="877"/>
      <c r="O508" s="48">
        <f t="shared" si="86"/>
        <v>1</v>
      </c>
      <c r="P508" s="877"/>
      <c r="Q508" s="48">
        <f t="shared" si="87"/>
        <v>1</v>
      </c>
      <c r="R508" s="48">
        <f t="shared" si="88"/>
        <v>0</v>
      </c>
      <c r="S508" s="733">
        <f t="shared" si="89"/>
        <v>0</v>
      </c>
    </row>
    <row r="509" spans="1:19">
      <c r="A509" s="878"/>
      <c r="B509" s="125"/>
      <c r="C509" s="48">
        <f t="shared" si="80"/>
        <v>1</v>
      </c>
      <c r="D509" s="877"/>
      <c r="E509" s="48">
        <f t="shared" si="81"/>
        <v>1</v>
      </c>
      <c r="F509" s="877"/>
      <c r="G509" s="48">
        <f t="shared" si="82"/>
        <v>1</v>
      </c>
      <c r="H509" s="877"/>
      <c r="I509" s="48">
        <f t="shared" si="83"/>
        <v>1</v>
      </c>
      <c r="J509" s="877"/>
      <c r="K509" s="48">
        <f t="shared" si="84"/>
        <v>1</v>
      </c>
      <c r="L509" s="877"/>
      <c r="M509" s="48">
        <f t="shared" si="85"/>
        <v>1</v>
      </c>
      <c r="N509" s="877"/>
      <c r="O509" s="48">
        <f t="shared" si="86"/>
        <v>1</v>
      </c>
      <c r="P509" s="877"/>
      <c r="Q509" s="48">
        <f t="shared" si="87"/>
        <v>1</v>
      </c>
      <c r="R509" s="48">
        <f t="shared" si="88"/>
        <v>0</v>
      </c>
      <c r="S509" s="733">
        <f t="shared" si="89"/>
        <v>0</v>
      </c>
    </row>
    <row r="510" spans="1:19">
      <c r="A510" s="878"/>
      <c r="B510" s="125"/>
      <c r="C510" s="48">
        <f t="shared" si="80"/>
        <v>1</v>
      </c>
      <c r="D510" s="877"/>
      <c r="E510" s="48">
        <f t="shared" si="81"/>
        <v>1</v>
      </c>
      <c r="F510" s="877"/>
      <c r="G510" s="48">
        <f t="shared" si="82"/>
        <v>1</v>
      </c>
      <c r="H510" s="877"/>
      <c r="I510" s="48">
        <f t="shared" si="83"/>
        <v>1</v>
      </c>
      <c r="J510" s="877"/>
      <c r="K510" s="48">
        <f t="shared" si="84"/>
        <v>1</v>
      </c>
      <c r="L510" s="877"/>
      <c r="M510" s="48">
        <f t="shared" si="85"/>
        <v>1</v>
      </c>
      <c r="N510" s="877"/>
      <c r="O510" s="48">
        <f t="shared" si="86"/>
        <v>1</v>
      </c>
      <c r="P510" s="877"/>
      <c r="Q510" s="48">
        <f t="shared" si="87"/>
        <v>1</v>
      </c>
      <c r="R510" s="48">
        <f t="shared" si="88"/>
        <v>0</v>
      </c>
      <c r="S510" s="733">
        <f t="shared" si="89"/>
        <v>0</v>
      </c>
    </row>
    <row r="511" spans="1:19">
      <c r="A511" s="878"/>
      <c r="B511" s="125"/>
      <c r="C511" s="48">
        <f t="shared" si="80"/>
        <v>1</v>
      </c>
      <c r="D511" s="877"/>
      <c r="E511" s="48">
        <f t="shared" si="81"/>
        <v>1</v>
      </c>
      <c r="F511" s="877"/>
      <c r="G511" s="48">
        <f t="shared" si="82"/>
        <v>1</v>
      </c>
      <c r="H511" s="877"/>
      <c r="I511" s="48">
        <f t="shared" si="83"/>
        <v>1</v>
      </c>
      <c r="J511" s="877"/>
      <c r="K511" s="48">
        <f t="shared" si="84"/>
        <v>1</v>
      </c>
      <c r="L511" s="877"/>
      <c r="M511" s="48">
        <f t="shared" si="85"/>
        <v>1</v>
      </c>
      <c r="N511" s="877"/>
      <c r="O511" s="48">
        <f t="shared" si="86"/>
        <v>1</v>
      </c>
      <c r="P511" s="877"/>
      <c r="Q511" s="48">
        <f t="shared" si="87"/>
        <v>1</v>
      </c>
      <c r="R511" s="48">
        <f t="shared" si="88"/>
        <v>0</v>
      </c>
      <c r="S511" s="733">
        <f t="shared" si="89"/>
        <v>0</v>
      </c>
    </row>
    <row r="512" spans="1:19">
      <c r="A512" s="878"/>
      <c r="B512" s="125"/>
      <c r="C512" s="48">
        <f t="shared" si="80"/>
        <v>1</v>
      </c>
      <c r="D512" s="877"/>
      <c r="E512" s="48">
        <f t="shared" si="81"/>
        <v>1</v>
      </c>
      <c r="F512" s="877"/>
      <c r="G512" s="48">
        <f t="shared" si="82"/>
        <v>1</v>
      </c>
      <c r="H512" s="877"/>
      <c r="I512" s="48">
        <f t="shared" si="83"/>
        <v>1</v>
      </c>
      <c r="J512" s="877"/>
      <c r="K512" s="48">
        <f t="shared" si="84"/>
        <v>1</v>
      </c>
      <c r="L512" s="877"/>
      <c r="M512" s="48">
        <f t="shared" si="85"/>
        <v>1</v>
      </c>
      <c r="N512" s="877"/>
      <c r="O512" s="48">
        <f t="shared" si="86"/>
        <v>1</v>
      </c>
      <c r="P512" s="877"/>
      <c r="Q512" s="48">
        <f t="shared" si="87"/>
        <v>1</v>
      </c>
      <c r="R512" s="48">
        <f t="shared" si="88"/>
        <v>0</v>
      </c>
      <c r="S512" s="733">
        <f t="shared" si="89"/>
        <v>0</v>
      </c>
    </row>
    <row r="513" spans="1:19">
      <c r="A513" s="878"/>
      <c r="B513" s="125"/>
      <c r="C513" s="48">
        <f t="shared" si="80"/>
        <v>1</v>
      </c>
      <c r="D513" s="877"/>
      <c r="E513" s="48">
        <f t="shared" si="81"/>
        <v>1</v>
      </c>
      <c r="F513" s="877"/>
      <c r="G513" s="48">
        <f t="shared" si="82"/>
        <v>1</v>
      </c>
      <c r="H513" s="877"/>
      <c r="I513" s="48">
        <f t="shared" si="83"/>
        <v>1</v>
      </c>
      <c r="J513" s="877"/>
      <c r="K513" s="48">
        <f t="shared" si="84"/>
        <v>1</v>
      </c>
      <c r="L513" s="877"/>
      <c r="M513" s="48">
        <f t="shared" si="85"/>
        <v>1</v>
      </c>
      <c r="N513" s="877"/>
      <c r="O513" s="48">
        <f t="shared" si="86"/>
        <v>1</v>
      </c>
      <c r="P513" s="877"/>
      <c r="Q513" s="48">
        <f t="shared" si="87"/>
        <v>1</v>
      </c>
      <c r="R513" s="48">
        <f t="shared" si="88"/>
        <v>0</v>
      </c>
      <c r="S513" s="733">
        <f t="shared" si="89"/>
        <v>0</v>
      </c>
    </row>
    <row r="514" spans="1:19">
      <c r="A514" s="878"/>
      <c r="B514" s="125"/>
      <c r="C514" s="48">
        <f t="shared" si="80"/>
        <v>1</v>
      </c>
      <c r="D514" s="877"/>
      <c r="E514" s="48">
        <f t="shared" si="81"/>
        <v>1</v>
      </c>
      <c r="F514" s="877"/>
      <c r="G514" s="48">
        <f t="shared" si="82"/>
        <v>1</v>
      </c>
      <c r="H514" s="877"/>
      <c r="I514" s="48">
        <f t="shared" si="83"/>
        <v>1</v>
      </c>
      <c r="J514" s="877"/>
      <c r="K514" s="48">
        <f t="shared" si="84"/>
        <v>1</v>
      </c>
      <c r="L514" s="877"/>
      <c r="M514" s="48">
        <f t="shared" si="85"/>
        <v>1</v>
      </c>
      <c r="N514" s="877"/>
      <c r="O514" s="48">
        <f t="shared" si="86"/>
        <v>1</v>
      </c>
      <c r="P514" s="877"/>
      <c r="Q514" s="48">
        <f t="shared" si="87"/>
        <v>1</v>
      </c>
      <c r="R514" s="48">
        <f t="shared" si="88"/>
        <v>0</v>
      </c>
      <c r="S514" s="733">
        <f t="shared" si="89"/>
        <v>0</v>
      </c>
    </row>
    <row r="515" spans="1:19">
      <c r="A515" s="878"/>
      <c r="B515" s="125"/>
      <c r="C515" s="48">
        <f t="shared" si="80"/>
        <v>1</v>
      </c>
      <c r="D515" s="877"/>
      <c r="E515" s="48">
        <f t="shared" si="81"/>
        <v>1</v>
      </c>
      <c r="F515" s="877"/>
      <c r="G515" s="48">
        <f t="shared" si="82"/>
        <v>1</v>
      </c>
      <c r="H515" s="877"/>
      <c r="I515" s="48">
        <f t="shared" si="83"/>
        <v>1</v>
      </c>
      <c r="J515" s="877"/>
      <c r="K515" s="48">
        <f t="shared" si="84"/>
        <v>1</v>
      </c>
      <c r="L515" s="877"/>
      <c r="M515" s="48">
        <f t="shared" si="85"/>
        <v>1</v>
      </c>
      <c r="N515" s="877"/>
      <c r="O515" s="48">
        <f t="shared" si="86"/>
        <v>1</v>
      </c>
      <c r="P515" s="877"/>
      <c r="Q515" s="48">
        <f t="shared" si="87"/>
        <v>1</v>
      </c>
      <c r="R515" s="48">
        <f t="shared" si="88"/>
        <v>0</v>
      </c>
      <c r="S515" s="733">
        <f t="shared" si="89"/>
        <v>0</v>
      </c>
    </row>
    <row r="516" spans="1:19">
      <c r="A516" s="878"/>
      <c r="B516" s="125"/>
      <c r="C516" s="48">
        <f t="shared" si="80"/>
        <v>1</v>
      </c>
      <c r="D516" s="877"/>
      <c r="E516" s="48">
        <f t="shared" si="81"/>
        <v>1</v>
      </c>
      <c r="F516" s="877"/>
      <c r="G516" s="48">
        <f t="shared" si="82"/>
        <v>1</v>
      </c>
      <c r="H516" s="877"/>
      <c r="I516" s="48">
        <f t="shared" si="83"/>
        <v>1</v>
      </c>
      <c r="J516" s="877"/>
      <c r="K516" s="48">
        <f t="shared" si="84"/>
        <v>1</v>
      </c>
      <c r="L516" s="877"/>
      <c r="M516" s="48">
        <f t="shared" si="85"/>
        <v>1</v>
      </c>
      <c r="N516" s="877"/>
      <c r="O516" s="48">
        <f t="shared" si="86"/>
        <v>1</v>
      </c>
      <c r="P516" s="877"/>
      <c r="Q516" s="48">
        <f t="shared" si="87"/>
        <v>1</v>
      </c>
      <c r="R516" s="48">
        <f t="shared" si="88"/>
        <v>0</v>
      </c>
      <c r="S516" s="733">
        <f t="shared" si="89"/>
        <v>0</v>
      </c>
    </row>
    <row r="517" spans="1:19">
      <c r="A517" s="878"/>
      <c r="B517" s="125"/>
      <c r="C517" s="48">
        <f t="shared" si="80"/>
        <v>1</v>
      </c>
      <c r="D517" s="877"/>
      <c r="E517" s="48">
        <f t="shared" si="81"/>
        <v>1</v>
      </c>
      <c r="F517" s="877"/>
      <c r="G517" s="48">
        <f t="shared" si="82"/>
        <v>1</v>
      </c>
      <c r="H517" s="877"/>
      <c r="I517" s="48">
        <f t="shared" si="83"/>
        <v>1</v>
      </c>
      <c r="J517" s="877"/>
      <c r="K517" s="48">
        <f t="shared" si="84"/>
        <v>1</v>
      </c>
      <c r="L517" s="877"/>
      <c r="M517" s="48">
        <f t="shared" si="85"/>
        <v>1</v>
      </c>
      <c r="N517" s="877"/>
      <c r="O517" s="48">
        <f t="shared" si="86"/>
        <v>1</v>
      </c>
      <c r="P517" s="877"/>
      <c r="Q517" s="48">
        <f t="shared" si="87"/>
        <v>1</v>
      </c>
      <c r="R517" s="48">
        <f t="shared" si="88"/>
        <v>0</v>
      </c>
      <c r="S517" s="733">
        <f t="shared" si="89"/>
        <v>0</v>
      </c>
    </row>
    <row r="518" spans="1:19">
      <c r="A518" s="878"/>
      <c r="B518" s="125"/>
      <c r="C518" s="48">
        <f t="shared" si="80"/>
        <v>1</v>
      </c>
      <c r="D518" s="877"/>
      <c r="E518" s="48">
        <f t="shared" si="81"/>
        <v>1</v>
      </c>
      <c r="F518" s="877"/>
      <c r="G518" s="48">
        <f t="shared" si="82"/>
        <v>1</v>
      </c>
      <c r="H518" s="877"/>
      <c r="I518" s="48">
        <f t="shared" si="83"/>
        <v>1</v>
      </c>
      <c r="J518" s="877"/>
      <c r="K518" s="48">
        <f t="shared" si="84"/>
        <v>1</v>
      </c>
      <c r="L518" s="877"/>
      <c r="M518" s="48">
        <f t="shared" si="85"/>
        <v>1</v>
      </c>
      <c r="N518" s="877"/>
      <c r="O518" s="48">
        <f t="shared" si="86"/>
        <v>1</v>
      </c>
      <c r="P518" s="877"/>
      <c r="Q518" s="48">
        <f t="shared" si="87"/>
        <v>1</v>
      </c>
      <c r="R518" s="48">
        <f t="shared" si="88"/>
        <v>0</v>
      </c>
      <c r="S518" s="733">
        <f t="shared" si="89"/>
        <v>0</v>
      </c>
    </row>
    <row r="519" spans="1:19">
      <c r="A519" s="878"/>
      <c r="B519" s="125"/>
      <c r="C519" s="48">
        <f t="shared" si="80"/>
        <v>1</v>
      </c>
      <c r="D519" s="877"/>
      <c r="E519" s="48">
        <f t="shared" si="81"/>
        <v>1</v>
      </c>
      <c r="F519" s="877"/>
      <c r="G519" s="48">
        <f t="shared" si="82"/>
        <v>1</v>
      </c>
      <c r="H519" s="877"/>
      <c r="I519" s="48">
        <f t="shared" si="83"/>
        <v>1</v>
      </c>
      <c r="J519" s="877"/>
      <c r="K519" s="48">
        <f t="shared" si="84"/>
        <v>1</v>
      </c>
      <c r="L519" s="877"/>
      <c r="M519" s="48">
        <f t="shared" si="85"/>
        <v>1</v>
      </c>
      <c r="N519" s="877"/>
      <c r="O519" s="48">
        <f t="shared" si="86"/>
        <v>1</v>
      </c>
      <c r="P519" s="877"/>
      <c r="Q519" s="48">
        <f t="shared" si="87"/>
        <v>1</v>
      </c>
      <c r="R519" s="48">
        <f t="shared" si="88"/>
        <v>0</v>
      </c>
      <c r="S519" s="733">
        <f t="shared" si="89"/>
        <v>0</v>
      </c>
    </row>
    <row r="520" spans="1:19">
      <c r="A520" s="878"/>
      <c r="B520" s="125"/>
      <c r="C520" s="48">
        <f t="shared" si="80"/>
        <v>1</v>
      </c>
      <c r="D520" s="877"/>
      <c r="E520" s="48">
        <f t="shared" si="81"/>
        <v>1</v>
      </c>
      <c r="F520" s="877"/>
      <c r="G520" s="48">
        <f t="shared" si="82"/>
        <v>1</v>
      </c>
      <c r="H520" s="877"/>
      <c r="I520" s="48">
        <f t="shared" si="83"/>
        <v>1</v>
      </c>
      <c r="J520" s="877"/>
      <c r="K520" s="48">
        <f t="shared" si="84"/>
        <v>1</v>
      </c>
      <c r="L520" s="877"/>
      <c r="M520" s="48">
        <f t="shared" si="85"/>
        <v>1</v>
      </c>
      <c r="N520" s="877"/>
      <c r="O520" s="48">
        <f t="shared" si="86"/>
        <v>1</v>
      </c>
      <c r="P520" s="877"/>
      <c r="Q520" s="48">
        <f t="shared" si="87"/>
        <v>1</v>
      </c>
      <c r="R520" s="48">
        <f t="shared" si="88"/>
        <v>0</v>
      </c>
      <c r="S520" s="733">
        <f t="shared" si="89"/>
        <v>0</v>
      </c>
    </row>
    <row r="521" spans="1:19">
      <c r="A521" s="878"/>
      <c r="B521" s="125"/>
      <c r="C521" s="48">
        <f t="shared" si="80"/>
        <v>1</v>
      </c>
      <c r="D521" s="877"/>
      <c r="E521" s="48">
        <f t="shared" si="81"/>
        <v>1</v>
      </c>
      <c r="F521" s="877"/>
      <c r="G521" s="48">
        <f t="shared" si="82"/>
        <v>1</v>
      </c>
      <c r="H521" s="877"/>
      <c r="I521" s="48">
        <f t="shared" si="83"/>
        <v>1</v>
      </c>
      <c r="J521" s="877"/>
      <c r="K521" s="48">
        <f t="shared" si="84"/>
        <v>1</v>
      </c>
      <c r="L521" s="877"/>
      <c r="M521" s="48">
        <f t="shared" si="85"/>
        <v>1</v>
      </c>
      <c r="N521" s="877"/>
      <c r="O521" s="48">
        <f t="shared" si="86"/>
        <v>1</v>
      </c>
      <c r="P521" s="877"/>
      <c r="Q521" s="48">
        <f t="shared" si="87"/>
        <v>1</v>
      </c>
      <c r="R521" s="48">
        <f t="shared" si="88"/>
        <v>0</v>
      </c>
      <c r="S521" s="733">
        <f t="shared" si="89"/>
        <v>0</v>
      </c>
    </row>
    <row r="522" spans="1:19">
      <c r="A522" s="878"/>
      <c r="B522" s="125"/>
      <c r="C522" s="48">
        <f t="shared" si="80"/>
        <v>1</v>
      </c>
      <c r="D522" s="877"/>
      <c r="E522" s="48">
        <f t="shared" si="81"/>
        <v>1</v>
      </c>
      <c r="F522" s="877"/>
      <c r="G522" s="48">
        <f t="shared" si="82"/>
        <v>1</v>
      </c>
      <c r="H522" s="877"/>
      <c r="I522" s="48">
        <f t="shared" si="83"/>
        <v>1</v>
      </c>
      <c r="J522" s="877"/>
      <c r="K522" s="48">
        <f t="shared" si="84"/>
        <v>1</v>
      </c>
      <c r="L522" s="877"/>
      <c r="M522" s="48">
        <f t="shared" si="85"/>
        <v>1</v>
      </c>
      <c r="N522" s="877"/>
      <c r="O522" s="48">
        <f t="shared" si="86"/>
        <v>1</v>
      </c>
      <c r="P522" s="877"/>
      <c r="Q522" s="48">
        <f t="shared" si="87"/>
        <v>1</v>
      </c>
      <c r="R522" s="48">
        <f t="shared" si="88"/>
        <v>0</v>
      </c>
      <c r="S522" s="733">
        <f t="shared" si="89"/>
        <v>0</v>
      </c>
    </row>
    <row r="523" spans="1:19">
      <c r="A523" s="878"/>
      <c r="B523" s="125"/>
      <c r="C523" s="48">
        <f t="shared" si="80"/>
        <v>1</v>
      </c>
      <c r="D523" s="877"/>
      <c r="E523" s="48">
        <f t="shared" si="81"/>
        <v>1</v>
      </c>
      <c r="F523" s="877"/>
      <c r="G523" s="48">
        <f t="shared" si="82"/>
        <v>1</v>
      </c>
      <c r="H523" s="877"/>
      <c r="I523" s="48">
        <f t="shared" si="83"/>
        <v>1</v>
      </c>
      <c r="J523" s="877"/>
      <c r="K523" s="48">
        <f t="shared" si="84"/>
        <v>1</v>
      </c>
      <c r="L523" s="877"/>
      <c r="M523" s="48">
        <f t="shared" si="85"/>
        <v>1</v>
      </c>
      <c r="N523" s="877"/>
      <c r="O523" s="48">
        <f t="shared" si="86"/>
        <v>1</v>
      </c>
      <c r="P523" s="877"/>
      <c r="Q523" s="48">
        <f t="shared" si="87"/>
        <v>1</v>
      </c>
      <c r="R523" s="48">
        <f t="shared" si="88"/>
        <v>0</v>
      </c>
      <c r="S523" s="733">
        <f t="shared" si="89"/>
        <v>0</v>
      </c>
    </row>
    <row r="524" spans="1:19">
      <c r="A524" s="878"/>
      <c r="B524" s="125"/>
      <c r="C524" s="48">
        <f t="shared" si="80"/>
        <v>1</v>
      </c>
      <c r="D524" s="877"/>
      <c r="E524" s="48">
        <f t="shared" si="81"/>
        <v>1</v>
      </c>
      <c r="F524" s="877"/>
      <c r="G524" s="48">
        <f t="shared" si="82"/>
        <v>1</v>
      </c>
      <c r="H524" s="877"/>
      <c r="I524" s="48">
        <f t="shared" si="83"/>
        <v>1</v>
      </c>
      <c r="J524" s="877"/>
      <c r="K524" s="48">
        <f t="shared" si="84"/>
        <v>1</v>
      </c>
      <c r="L524" s="877"/>
      <c r="M524" s="48">
        <f t="shared" si="85"/>
        <v>1</v>
      </c>
      <c r="N524" s="877"/>
      <c r="O524" s="48">
        <f t="shared" si="86"/>
        <v>1</v>
      </c>
      <c r="P524" s="877"/>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2064</v>
      </c>
      <c r="C1" s="2294">
        <f>项目基本情况!D3</f>
        <v>45615</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2095</v>
      </c>
      <c r="C2" s="2295">
        <f>'数据-取费表'!B22</f>
        <v>2.5</v>
      </c>
      <c r="D2" s="2290" t="s">
        <v>2065</v>
      </c>
      <c r="E2" s="2293">
        <f ca="1">INDIRECT("I"&amp;$I$1)/100</f>
        <v>3.1E-2</v>
      </c>
      <c r="G2" s="2235"/>
      <c r="H2" s="2235"/>
      <c r="I2" s="2235" t="s">
        <v>2066</v>
      </c>
      <c r="K2" s="2235"/>
      <c r="L2" s="2235"/>
      <c r="M2" s="2235"/>
      <c r="N2" s="2235" t="s">
        <v>2067</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2097</v>
      </c>
      <c r="C3" s="2292">
        <f>'数据-取费表'!B19</f>
        <v>0</v>
      </c>
      <c r="D3" s="2290" t="s">
        <v>2065</v>
      </c>
      <c r="E3" s="2293">
        <f ca="1">INDIRECT("J"&amp;$J$1)/100</f>
        <v>0</v>
      </c>
      <c r="G3" s="2237" t="s">
        <v>2068</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2096</v>
      </c>
      <c r="C4" s="2293">
        <f ca="1">N4/100</f>
        <v>1.4999999999999999E-2</v>
      </c>
      <c r="G4" s="2243" t="s">
        <v>2069</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2070</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2071</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2072</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2073</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2074</v>
      </c>
      <c r="C10" s="2262"/>
      <c r="D10" s="2262"/>
      <c r="E10" s="2262"/>
      <c r="F10" s="2262"/>
      <c r="G10" s="2262"/>
      <c r="H10" s="2262"/>
      <c r="I10" s="2236"/>
      <c r="J10" s="2236"/>
      <c r="K10" s="2262"/>
      <c r="L10" s="2263" t="s">
        <v>2075</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2076</v>
      </c>
      <c r="C11" s="2267" t="s">
        <v>2077</v>
      </c>
      <c r="D11" s="2268" t="s">
        <v>2078</v>
      </c>
      <c r="E11" s="2269"/>
      <c r="F11" s="2268" t="s">
        <v>2079</v>
      </c>
      <c r="G11" s="2270"/>
      <c r="H11" s="2269"/>
      <c r="I11" s="2268" t="s">
        <v>2080</v>
      </c>
      <c r="J11" s="2269"/>
      <c r="K11" s="2265"/>
      <c r="L11" s="2266" t="s">
        <v>2076</v>
      </c>
      <c r="M11" s="2267" t="s">
        <v>2077</v>
      </c>
      <c r="N11" s="2266" t="s">
        <v>2081</v>
      </c>
      <c r="O11" s="2268" t="s">
        <v>2082</v>
      </c>
      <c r="P11" s="2270"/>
      <c r="Q11" s="2270"/>
      <c r="R11" s="2270"/>
      <c r="S11" s="2270"/>
      <c r="T11" s="2269"/>
      <c r="U11" s="2268" t="s">
        <v>2083</v>
      </c>
      <c r="V11" s="2270"/>
      <c r="W11" s="2269"/>
      <c r="X11" s="2266" t="s">
        <v>2084</v>
      </c>
      <c r="Y11" s="2266" t="s">
        <v>2085</v>
      </c>
      <c r="Z11" s="2266" t="s">
        <v>2086</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2087</v>
      </c>
      <c r="E12" s="2274" t="s">
        <v>2088</v>
      </c>
      <c r="F12" s="2274" t="s">
        <v>2089</v>
      </c>
      <c r="G12" s="2274" t="s">
        <v>2090</v>
      </c>
      <c r="H12" s="2274" t="s">
        <v>2072</v>
      </c>
      <c r="I12" s="2275" t="s">
        <v>2091</v>
      </c>
      <c r="J12" s="2275" t="s">
        <v>2091</v>
      </c>
      <c r="K12" s="2265"/>
      <c r="L12" s="2272"/>
      <c r="M12" s="2273"/>
      <c r="N12" s="2272"/>
      <c r="O12" s="2275" t="s">
        <v>2092</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2093</v>
      </c>
      <c r="C13" s="2278">
        <v>45586</v>
      </c>
      <c r="D13" s="2279">
        <v>3.1</v>
      </c>
      <c r="E13" s="2279">
        <f>D13</f>
        <v>3.1</v>
      </c>
      <c r="F13" s="2279">
        <f>D13</f>
        <v>3.1</v>
      </c>
      <c r="G13" s="2279">
        <f>D13</f>
        <v>3.1</v>
      </c>
      <c r="H13" s="2279">
        <v>3.6</v>
      </c>
      <c r="I13" s="2279"/>
      <c r="J13" s="2279"/>
      <c r="K13" s="2276"/>
      <c r="L13" s="2277" t="s">
        <v>2093</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2286</v>
      </c>
      <c r="C26" s="2285">
        <v>43697</v>
      </c>
      <c r="D26" s="2777">
        <v>4.25</v>
      </c>
      <c r="E26" s="2777">
        <v>4.25</v>
      </c>
      <c r="F26" s="2777">
        <v>4.25</v>
      </c>
      <c r="G26" s="2777">
        <v>4.25</v>
      </c>
      <c r="H26" s="2777">
        <v>4.8499999999999996</v>
      </c>
      <c r="I26" s="2777"/>
      <c r="J26" s="2777"/>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81"/>
      <c r="C27" s="2782">
        <v>42301</v>
      </c>
      <c r="D27" s="2783">
        <v>4.3499999999999996</v>
      </c>
      <c r="E27" s="2783">
        <v>4.3499999999999996</v>
      </c>
      <c r="F27" s="2783">
        <v>4.75</v>
      </c>
      <c r="G27" s="2783">
        <v>4.75</v>
      </c>
      <c r="H27" s="2783">
        <v>4.9000000000000004</v>
      </c>
      <c r="I27" s="2783"/>
      <c r="J27" s="2783"/>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2094</v>
      </c>
      <c r="Y42" s="2283" t="s">
        <v>2094</v>
      </c>
      <c r="Z42" s="2283" t="s">
        <v>2094</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2094</v>
      </c>
      <c r="Y43" s="2283" t="s">
        <v>2094</v>
      </c>
      <c r="Z43" s="2283" t="s">
        <v>2094</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2094</v>
      </c>
      <c r="Y44" s="2283" t="s">
        <v>2094</v>
      </c>
      <c r="Z44" s="2283" t="s">
        <v>2094</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2094</v>
      </c>
      <c r="Y45" s="2283" t="s">
        <v>2094</v>
      </c>
      <c r="Z45" s="2283" t="s">
        <v>2094</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2094</v>
      </c>
      <c r="Y46" s="2283" t="s">
        <v>2094</v>
      </c>
      <c r="Z46" s="2283" t="s">
        <v>2094</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2094</v>
      </c>
      <c r="Y47" s="2283" t="s">
        <v>2094</v>
      </c>
      <c r="Z47" s="2283" t="s">
        <v>2094</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2094</v>
      </c>
      <c r="Y48" s="2283" t="s">
        <v>2094</v>
      </c>
      <c r="Z48" s="2283" t="s">
        <v>2094</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2094</v>
      </c>
      <c r="Y49" s="2283" t="s">
        <v>2094</v>
      </c>
      <c r="Z49" s="2283" t="s">
        <v>2094</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2094</v>
      </c>
      <c r="Y50" s="2283" t="s">
        <v>2094</v>
      </c>
      <c r="Z50" s="2283" t="s">
        <v>2094</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2094</v>
      </c>
      <c r="V51" s="2283" t="s">
        <v>2094</v>
      </c>
      <c r="W51" s="2283" t="s">
        <v>2094</v>
      </c>
      <c r="X51" s="2283" t="s">
        <v>2094</v>
      </c>
      <c r="Y51" s="2283" t="s">
        <v>2094</v>
      </c>
      <c r="Z51" s="2283" t="s">
        <v>2094</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2094</v>
      </c>
      <c r="J69" s="2283" t="s">
        <v>2094</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5" t="s">
        <v>1556</v>
      </c>
      <c r="B1" s="3495"/>
      <c r="C1" s="3495"/>
      <c r="D1" s="3495"/>
      <c r="E1" s="3495"/>
      <c r="F1" s="3495"/>
      <c r="G1" s="3495"/>
      <c r="H1" s="3495"/>
      <c r="I1" s="3495"/>
      <c r="J1" s="3495"/>
      <c r="K1" s="3495"/>
      <c r="L1" s="3495"/>
      <c r="M1" s="3495"/>
      <c r="N1" s="3495"/>
      <c r="O1" s="3495"/>
      <c r="P1" s="3495"/>
      <c r="Q1" s="3495"/>
      <c r="R1" s="3495"/>
    </row>
    <row r="2" spans="1:18">
      <c r="A2" s="1501" t="s">
        <v>1558</v>
      </c>
      <c r="B2" s="1501"/>
      <c r="C2" s="1501"/>
      <c r="D2" s="1501"/>
      <c r="E2" s="1501"/>
      <c r="F2" s="1501"/>
      <c r="G2" s="1501"/>
      <c r="H2" s="1501"/>
      <c r="I2" s="1502"/>
      <c r="J2" s="1502"/>
      <c r="K2" s="1503" t="str">
        <f>"估价期日："&amp;TEXT(项目基本情况!D3,"yyyy年m月d日;;")</f>
        <v>估价期日：2024年11月19日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96" t="s">
        <v>1547</v>
      </c>
      <c r="B3" s="3496" t="s">
        <v>2012</v>
      </c>
      <c r="C3" s="3497" t="s">
        <v>1548</v>
      </c>
      <c r="D3" s="3496" t="s">
        <v>2016</v>
      </c>
      <c r="E3" s="3498" t="s">
        <v>1549</v>
      </c>
      <c r="F3" s="3498"/>
      <c r="G3" s="3498"/>
      <c r="H3" s="3498" t="s">
        <v>1550</v>
      </c>
      <c r="I3" s="3498"/>
      <c r="J3" s="3498"/>
      <c r="K3" s="3497" t="s">
        <v>1551</v>
      </c>
      <c r="L3" s="3497" t="s">
        <v>1552</v>
      </c>
      <c r="M3" s="3496" t="s">
        <v>2013</v>
      </c>
      <c r="N3" s="3496" t="str">
        <f>"（分摊）"&amp;项目基本情况!A17&amp;"国有建设用地使用权面积/㎡"</f>
        <v>（分摊）出让国有建设用地使用权面积/㎡</v>
      </c>
      <c r="O3" s="3496" t="s">
        <v>1581</v>
      </c>
      <c r="P3" s="3497" t="s">
        <v>1561</v>
      </c>
      <c r="Q3" s="3497" t="s">
        <v>1582</v>
      </c>
      <c r="R3" s="3497" t="s">
        <v>1553</v>
      </c>
    </row>
    <row r="4" spans="1:18" ht="36.75" customHeight="1">
      <c r="A4" s="3496"/>
      <c r="B4" s="3496"/>
      <c r="C4" s="3497"/>
      <c r="D4" s="3496"/>
      <c r="E4" s="1504" t="s">
        <v>1560</v>
      </c>
      <c r="F4" s="1504" t="s">
        <v>2025</v>
      </c>
      <c r="G4" s="1504" t="s">
        <v>1554</v>
      </c>
      <c r="H4" s="1504" t="s">
        <v>1555</v>
      </c>
      <c r="I4" s="1504" t="s">
        <v>2026</v>
      </c>
      <c r="J4" s="1504" t="s">
        <v>1554</v>
      </c>
      <c r="K4" s="3497"/>
      <c r="L4" s="3497"/>
      <c r="M4" s="3496"/>
      <c r="N4" s="3496"/>
      <c r="O4" s="3496"/>
      <c r="P4" s="3497"/>
      <c r="Q4" s="3497"/>
      <c r="R4" s="3497"/>
    </row>
    <row r="5" spans="1:18" ht="135" customHeight="1">
      <c r="A5" s="1601" t="s">
        <v>1936</v>
      </c>
      <c r="B5" s="2171" t="s">
        <v>1934</v>
      </c>
      <c r="C5" s="2088">
        <v>22</v>
      </c>
      <c r="D5" s="2087" t="s">
        <v>1935</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红线外七通、宗地红线内场地平整</v>
      </c>
      <c r="L5" s="1504" t="str">
        <f>"红线外"&amp;项目基本情况!T40&amp;"、宗地红线内场地"&amp;项目基本情况!D36</f>
        <v>红线外七通、宗地红线内场地平整</v>
      </c>
      <c r="M5" s="1504">
        <f>IF(项目基本情况!A17="出让",项目基本情况!D20,"——")</f>
        <v>0</v>
      </c>
      <c r="N5" s="1504">
        <f>项目基本情况!C22</f>
        <v>12997.77</v>
      </c>
      <c r="O5" s="1504">
        <f>项目基本情况!C21</f>
        <v>28699.425200000001</v>
      </c>
      <c r="P5" s="1504">
        <f ca="1">结果表!E42</f>
        <v>19202</v>
      </c>
      <c r="Q5" s="1504">
        <f ca="1">结果表!D42</f>
        <v>8696</v>
      </c>
      <c r="R5" s="1505">
        <f ca="1">结果表!C42</f>
        <v>24958</v>
      </c>
    </row>
    <row r="6" spans="1:18">
      <c r="A6" s="3492" t="str">
        <f>IF(项目基本情况!B9="市场价格","——","抵押价格")</f>
        <v>抵押价格</v>
      </c>
      <c r="B6" s="3493"/>
      <c r="C6" s="3493"/>
      <c r="D6" s="3493"/>
      <c r="E6" s="3493"/>
      <c r="F6" s="3493"/>
      <c r="G6" s="3493"/>
      <c r="H6" s="3493"/>
      <c r="I6" s="3493"/>
      <c r="J6" s="3493"/>
      <c r="K6" s="3493"/>
      <c r="L6" s="3493"/>
      <c r="M6" s="3493"/>
      <c r="N6" s="3493"/>
      <c r="O6" s="3493"/>
      <c r="P6" s="3493"/>
      <c r="Q6" s="3494"/>
      <c r="R6" s="1506">
        <f ca="1">结果表!O39</f>
        <v>11739</v>
      </c>
    </row>
    <row r="7" spans="1:18">
      <c r="A7" s="3492" t="str">
        <f>IF(项目基本情况!B9="市场价格","——",IF(项目基本情况!E8="已注销及未注销","抵押担保权已注销时的抵押价格","——"))</f>
        <v>——</v>
      </c>
      <c r="B7" s="3493"/>
      <c r="C7" s="3493"/>
      <c r="D7" s="3493"/>
      <c r="E7" s="3493"/>
      <c r="F7" s="3493"/>
      <c r="G7" s="3493"/>
      <c r="H7" s="3493"/>
      <c r="I7" s="3493"/>
      <c r="J7" s="3493"/>
      <c r="K7" s="3493"/>
      <c r="L7" s="3493"/>
      <c r="M7" s="3493"/>
      <c r="N7" s="3493"/>
      <c r="O7" s="3493"/>
      <c r="P7" s="3493"/>
      <c r="Q7" s="3494"/>
      <c r="R7" s="1506" t="str">
        <f>结果表!O40</f>
        <v>——</v>
      </c>
    </row>
    <row r="8" spans="1:18">
      <c r="A8" s="3492">
        <f>IF(项目基本情况!B9="市场价格","——",项目基本情况!E9)</f>
        <v>0</v>
      </c>
      <c r="B8" s="3493"/>
      <c r="C8" s="3493"/>
      <c r="D8" s="3493"/>
      <c r="E8" s="3493"/>
      <c r="F8" s="3493"/>
      <c r="G8" s="3493"/>
      <c r="H8" s="3493"/>
      <c r="I8" s="3493"/>
      <c r="J8" s="3493"/>
      <c r="K8" s="3493"/>
      <c r="L8" s="3493"/>
      <c r="M8" s="3493"/>
      <c r="N8" s="3493"/>
      <c r="O8" s="3493"/>
      <c r="P8" s="3493"/>
      <c r="Q8" s="3494"/>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18" sqref="H18"/>
    </sheetView>
  </sheetViews>
  <sheetFormatPr defaultRowHeight="13.5"/>
  <cols>
    <col min="1" max="1" width="20" style="1489" customWidth="1"/>
    <col min="2" max="2" width="10.125" style="1489" customWidth="1"/>
    <col min="3" max="3" width="14.25" style="1489" customWidth="1"/>
    <col min="4" max="4" width="12" style="1489" customWidth="1"/>
    <col min="5" max="5" width="13.75" style="1489" customWidth="1"/>
    <col min="6" max="6" width="12.875" style="1489" customWidth="1"/>
    <col min="7" max="7" width="16.625" style="1489" customWidth="1"/>
    <col min="8" max="66" width="20" style="1489" customWidth="1"/>
    <col min="67" max="16384" width="9" style="1489"/>
  </cols>
  <sheetData>
    <row r="1" spans="1:9">
      <c r="A1" s="3812" t="s">
        <v>3660</v>
      </c>
      <c r="B1" s="3812"/>
      <c r="C1" s="3812"/>
      <c r="D1" s="3812"/>
      <c r="E1" s="3812"/>
      <c r="F1" s="3812"/>
      <c r="G1" s="3812"/>
      <c r="H1" s="3812"/>
      <c r="I1" s="3812"/>
    </row>
    <row r="2" spans="1:9">
      <c r="A2" s="1489" t="s">
        <v>3462</v>
      </c>
      <c r="B2" s="1489" t="s">
        <v>3435</v>
      </c>
      <c r="C2" s="1489" t="s">
        <v>3436</v>
      </c>
      <c r="D2" s="1489" t="s">
        <v>3621</v>
      </c>
      <c r="E2" s="1489" t="s">
        <v>3622</v>
      </c>
      <c r="F2" s="1489" t="s">
        <v>3623</v>
      </c>
      <c r="G2" s="1489" t="s">
        <v>3624</v>
      </c>
      <c r="H2" s="1489" t="s">
        <v>3643</v>
      </c>
      <c r="I2" s="1489" t="s">
        <v>3644</v>
      </c>
    </row>
    <row r="3" spans="1:9">
      <c r="A3" s="1489" t="s">
        <v>3629</v>
      </c>
      <c r="B3" s="1489" t="s">
        <v>3464</v>
      </c>
      <c r="C3" s="1489" t="s">
        <v>3630</v>
      </c>
      <c r="D3" s="1489">
        <v>754</v>
      </c>
      <c r="E3" s="1489">
        <v>13199</v>
      </c>
      <c r="F3" s="1489">
        <v>429</v>
      </c>
      <c r="G3" s="1489">
        <v>566.61</v>
      </c>
    </row>
    <row r="4" spans="1:9" s="3444" customFormat="1">
      <c r="A4" s="3444" t="s">
        <v>3627</v>
      </c>
      <c r="B4" s="3444" t="s">
        <v>3464</v>
      </c>
      <c r="C4" s="3444" t="s">
        <v>3465</v>
      </c>
      <c r="D4" s="3444">
        <v>66</v>
      </c>
      <c r="E4" s="3444">
        <v>1264</v>
      </c>
      <c r="F4" s="3444">
        <v>5366</v>
      </c>
      <c r="G4" s="3444">
        <v>677.96</v>
      </c>
      <c r="H4" s="3444">
        <v>224</v>
      </c>
      <c r="I4" s="3444">
        <v>4827</v>
      </c>
    </row>
    <row r="5" spans="1:9" s="3444" customFormat="1">
      <c r="A5" s="3444" t="s">
        <v>3646</v>
      </c>
      <c r="B5" s="3444" t="s">
        <v>3464</v>
      </c>
      <c r="C5" s="3444" t="s">
        <v>3465</v>
      </c>
      <c r="D5" s="3444">
        <v>26</v>
      </c>
      <c r="E5" s="3444">
        <v>438</v>
      </c>
      <c r="F5" s="3444">
        <v>3119</v>
      </c>
      <c r="G5" s="3444">
        <v>136.74</v>
      </c>
    </row>
    <row r="6" spans="1:9" s="3444" customFormat="1">
      <c r="A6" s="3444" t="s">
        <v>3628</v>
      </c>
      <c r="B6" s="3444" t="s">
        <v>3464</v>
      </c>
      <c r="C6" s="3444" t="s">
        <v>3465</v>
      </c>
      <c r="D6" s="3444">
        <v>10</v>
      </c>
      <c r="E6" s="3444">
        <v>160</v>
      </c>
      <c r="F6" s="3444">
        <v>6723</v>
      </c>
      <c r="G6" s="3444">
        <v>107.89</v>
      </c>
    </row>
    <row r="7" spans="1:9">
      <c r="A7" s="1489" t="s">
        <v>3661</v>
      </c>
      <c r="B7" s="1489" t="s">
        <v>3464</v>
      </c>
      <c r="C7" s="1489" t="s">
        <v>3662</v>
      </c>
      <c r="D7" s="1489">
        <v>2</v>
      </c>
      <c r="E7" s="1489">
        <v>59</v>
      </c>
      <c r="F7" s="1489">
        <v>2500</v>
      </c>
      <c r="G7" s="1489">
        <v>14.64</v>
      </c>
    </row>
  </sheetData>
  <mergeCells count="1">
    <mergeCell ref="A1:I1"/>
  </mergeCells>
  <phoneticPr fontId="22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500" t="s">
        <v>1583</v>
      </c>
      <c r="B1" s="3500"/>
      <c r="C1" s="3500"/>
      <c r="D1" s="3500"/>
    </row>
    <row r="2" spans="1:4" ht="47.25" customHeight="1">
      <c r="A2" s="3501" t="str">
        <f>"1.权利限制："&amp;项目基本情况!L24&amp;"未设定租赁等其他他项权利。"</f>
        <v>1.权利限制：根据估价对象《不动产权证书》原件、《国有土地使用权》复印件，截至估价期日，估价对象抵押权未见登记。未设定租赁等其他他项权利。</v>
      </c>
      <c r="B2" s="3501"/>
      <c r="C2" s="3501"/>
      <c r="D2" s="3501"/>
    </row>
    <row r="3" spans="1:4" ht="48" customHeight="1">
      <c r="A3" s="35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499" t="s">
        <v>1584</v>
      </c>
      <c r="B5" s="3499"/>
      <c r="C5" s="3499"/>
      <c r="D5" s="3499"/>
    </row>
    <row r="6" spans="1:4">
      <c r="A6" s="3500" t="s">
        <v>1562</v>
      </c>
      <c r="B6" s="3500"/>
      <c r="C6" s="3500"/>
      <c r="D6" s="3500"/>
    </row>
    <row r="7" spans="1:4" ht="33" customHeight="1">
      <c r="A7" s="3500" t="s">
        <v>1857</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0"/>
      <c r="C8" s="3500"/>
      <c r="D8" s="3500"/>
    </row>
    <row r="9" spans="1:4" ht="33.75" customHeight="1">
      <c r="A9" s="35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0"/>
      <c r="C9" s="3500"/>
      <c r="D9" s="3500"/>
    </row>
    <row r="10" spans="1:4">
      <c r="A10" s="3500" t="str">
        <f>IF(项目基本情况!B8="抵押","4.估价师所知悉的法定优先受偿款情况为：","——")</f>
        <v>4.估价师所知悉的法定优先受偿款情况为：</v>
      </c>
      <c r="B10" s="3500"/>
      <c r="C10" s="3500"/>
      <c r="D10" s="3500"/>
    </row>
    <row r="11" spans="1:4" ht="37.5" customHeight="1">
      <c r="A11" s="35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0"/>
      <c r="C11" s="3500"/>
      <c r="D11" s="3500"/>
    </row>
    <row r="12" spans="1:4" ht="168" customHeight="1">
      <c r="A12" s="3499" t="s">
        <v>1586</v>
      </c>
      <c r="B12" s="3499"/>
      <c r="C12" s="3499"/>
      <c r="D12" s="3499"/>
    </row>
    <row r="13" spans="1:4">
      <c r="A13" s="3502" t="s">
        <v>2027</v>
      </c>
      <c r="B13" s="3502"/>
      <c r="C13" s="3502"/>
      <c r="D13" s="3502"/>
    </row>
    <row r="14" spans="1:4">
      <c r="A14" s="3500" t="str">
        <f>IF(项目基本情况!B8="抵押","综上，"&amp;结果表!K47,"——")</f>
        <v>综上，本次评估估价师知悉的法定优先受偿款为人民币13219万元整。</v>
      </c>
      <c r="B14" s="3500"/>
      <c r="C14" s="3500"/>
      <c r="D14" s="3500"/>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1983</v>
      </c>
      <c r="B17" s="3500"/>
      <c r="C17" s="3500"/>
      <c r="D17" s="3500"/>
    </row>
    <row r="18" spans="1:4">
      <c r="A18" s="3500" t="s">
        <v>1975</v>
      </c>
      <c r="B18" s="3500"/>
      <c r="C18" s="3500"/>
      <c r="D18" s="3500"/>
    </row>
    <row r="19" spans="1:4">
      <c r="A19" s="2172" t="s">
        <v>1976</v>
      </c>
      <c r="B19" s="2172" t="s">
        <v>1977</v>
      </c>
      <c r="C19" s="2172" t="s">
        <v>1978</v>
      </c>
      <c r="D19" s="2172" t="s">
        <v>1979</v>
      </c>
    </row>
    <row r="20" spans="1:4">
      <c r="A20" s="2172" t="str">
        <f>项目基本情况!B4</f>
        <v>吴薇</v>
      </c>
      <c r="B20" s="2172">
        <f ca="1">项目基本情况!C4</f>
        <v>2002110125</v>
      </c>
      <c r="C20" s="2174"/>
      <c r="D20" s="1495" t="s">
        <v>1984</v>
      </c>
    </row>
    <row r="21" spans="1:4">
      <c r="A21" s="2172" t="str">
        <f>项目基本情况!D4</f>
        <v>赵雯</v>
      </c>
      <c r="B21" s="2172">
        <f ca="1">项目基本情况!E4</f>
        <v>2011110090</v>
      </c>
      <c r="C21" s="2174"/>
      <c r="D21" s="1495" t="s">
        <v>1985</v>
      </c>
    </row>
    <row r="23" spans="1:4">
      <c r="A23" s="3500" t="s">
        <v>1980</v>
      </c>
      <c r="B23" s="3500"/>
      <c r="C23" s="3500"/>
      <c r="D23" s="3500"/>
    </row>
    <row r="24" spans="1:4">
      <c r="A24" s="2172" t="s">
        <v>1976</v>
      </c>
      <c r="B24" s="2172" t="s">
        <v>1981</v>
      </c>
      <c r="C24" s="2172" t="s">
        <v>1978</v>
      </c>
      <c r="D24" s="2172" t="s">
        <v>1979</v>
      </c>
    </row>
    <row r="25" spans="1:4">
      <c r="A25" s="2175" t="s">
        <v>1982</v>
      </c>
      <c r="B25" s="2172" t="s">
        <v>877</v>
      </c>
      <c r="C25" s="2174"/>
      <c r="D25" s="1495" t="s">
        <v>1985</v>
      </c>
    </row>
    <row r="29" spans="1:4">
      <c r="D29" s="2173" t="s">
        <v>1557</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10" t="s">
        <v>27</v>
      </c>
      <c r="B15" s="3511" t="s">
        <v>784</v>
      </c>
      <c r="C15" s="3507"/>
    </row>
    <row r="16" spans="1:7" ht="14.25">
      <c r="A16" s="3510"/>
      <c r="B16" s="3508" t="s">
        <v>28</v>
      </c>
      <c r="C16" s="1015" t="s">
        <v>27</v>
      </c>
    </row>
    <row r="17" spans="1:3" ht="14.25">
      <c r="A17" s="3510"/>
      <c r="B17" s="3508"/>
      <c r="C17" s="1015" t="s">
        <v>29</v>
      </c>
    </row>
    <row r="18" spans="1:3" ht="14.25">
      <c r="A18" s="3510"/>
      <c r="B18" s="3508"/>
      <c r="C18" s="1015" t="s">
        <v>30</v>
      </c>
    </row>
    <row r="19" spans="1:3" ht="14.25">
      <c r="A19" s="3510"/>
      <c r="B19" s="3506" t="s">
        <v>31</v>
      </c>
      <c r="C19" s="3507"/>
    </row>
    <row r="20" spans="1:3" ht="14.25">
      <c r="A20" s="1016" t="s">
        <v>32</v>
      </c>
      <c r="B20" s="1017"/>
      <c r="C20" s="1018"/>
    </row>
    <row r="21" spans="1:3" ht="14.25">
      <c r="A21" s="3509" t="s">
        <v>33</v>
      </c>
      <c r="B21" s="3506" t="s">
        <v>34</v>
      </c>
      <c r="C21" s="3507"/>
    </row>
    <row r="22" spans="1:3" ht="14.25">
      <c r="A22" s="3509"/>
      <c r="B22" s="3506" t="s">
        <v>35</v>
      </c>
      <c r="C22" s="3507"/>
    </row>
    <row r="23" spans="1:3" ht="14.25">
      <c r="A23" s="3509"/>
      <c r="B23" s="3506" t="s">
        <v>36</v>
      </c>
      <c r="C23" s="3507"/>
    </row>
    <row r="24" spans="1:3" ht="14.25">
      <c r="A24" s="3509"/>
      <c r="B24" s="3512" t="s">
        <v>37</v>
      </c>
      <c r="C24" s="1019" t="s">
        <v>775</v>
      </c>
    </row>
    <row r="25" spans="1:3" ht="14.25">
      <c r="A25" s="3509"/>
      <c r="B25" s="3513"/>
      <c r="C25" s="1019" t="s">
        <v>776</v>
      </c>
    </row>
    <row r="26" spans="1:3" ht="14.25">
      <c r="A26" s="3509"/>
      <c r="B26" s="3513"/>
      <c r="C26" s="1019" t="s">
        <v>777</v>
      </c>
    </row>
    <row r="27" spans="1:3" ht="14.25">
      <c r="A27" s="3509"/>
      <c r="B27" s="3513"/>
      <c r="C27" s="1019" t="s">
        <v>778</v>
      </c>
    </row>
    <row r="28" spans="1:3" ht="14.25">
      <c r="A28" s="3509"/>
      <c r="B28" s="3513"/>
      <c r="C28" s="1019" t="s">
        <v>779</v>
      </c>
    </row>
    <row r="29" spans="1:3" ht="14.25">
      <c r="A29" s="3509"/>
      <c r="B29" s="3513"/>
      <c r="C29" s="1019" t="s">
        <v>780</v>
      </c>
    </row>
    <row r="30" spans="1:3" ht="14.25">
      <c r="A30" s="3509"/>
      <c r="B30" s="3513"/>
      <c r="C30" s="1019" t="s">
        <v>781</v>
      </c>
    </row>
    <row r="31" spans="1:3" ht="14.25">
      <c r="A31" s="3509"/>
      <c r="B31" s="3513"/>
      <c r="C31" s="1019" t="s">
        <v>782</v>
      </c>
    </row>
    <row r="32" spans="1:3" ht="14.25">
      <c r="A32" s="3509"/>
      <c r="B32" s="3513"/>
      <c r="C32" s="1019" t="s">
        <v>1181</v>
      </c>
    </row>
    <row r="33" spans="1:3" ht="14.25">
      <c r="A33" s="3509"/>
      <c r="B33" s="3503" t="s">
        <v>1187</v>
      </c>
      <c r="C33" s="1019" t="s">
        <v>1182</v>
      </c>
    </row>
    <row r="34" spans="1:3" ht="14.25">
      <c r="A34" s="3509"/>
      <c r="B34" s="3504"/>
      <c r="C34" s="1024" t="s">
        <v>1183</v>
      </c>
    </row>
    <row r="35" spans="1:3" ht="14.25">
      <c r="A35" s="3509"/>
      <c r="B35" s="3504"/>
      <c r="C35" s="1025" t="s">
        <v>1184</v>
      </c>
    </row>
    <row r="36" spans="1:3" ht="14.25">
      <c r="A36" s="3509"/>
      <c r="B36" s="3504"/>
      <c r="C36" s="1025" t="s">
        <v>1185</v>
      </c>
    </row>
    <row r="37" spans="1:3" ht="14.25">
      <c r="A37" s="3509"/>
      <c r="B37" s="3505"/>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45639</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2237</v>
      </c>
      <c r="B12" s="2564">
        <f ca="1">IF(C12&lt;B2,"已过期",1120040230)</f>
        <v>1120040230</v>
      </c>
      <c r="C12" s="2567">
        <v>45937</v>
      </c>
      <c r="D12" s="2573" t="s">
        <v>2238</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2248</v>
      </c>
      <c r="B15" s="2564" t="str">
        <f ca="1">IF(C15&lt;B2,"已过期",1119980106)</f>
        <v>已过期</v>
      </c>
      <c r="C15" s="2567">
        <v>44969</v>
      </c>
      <c r="D15" s="2573"/>
      <c r="E15" s="2564"/>
      <c r="F15" s="2564"/>
      <c r="G15" s="2559"/>
    </row>
    <row r="16" spans="1:7" ht="20.25" customHeight="1">
      <c r="A16" s="2563" t="s">
        <v>2447</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517" t="s">
        <v>1448</v>
      </c>
      <c r="B18" s="3518"/>
      <c r="C18" s="3518"/>
      <c r="D18" s="3518"/>
      <c r="E18" s="3518"/>
      <c r="F18" s="3518"/>
      <c r="G18" s="2559"/>
    </row>
    <row r="19" spans="1:7" ht="20.25" customHeight="1">
      <c r="A19" s="3514" t="s">
        <v>1449</v>
      </c>
      <c r="B19" s="3514"/>
      <c r="C19" s="3515"/>
      <c r="D19" s="3516" t="s">
        <v>1450</v>
      </c>
      <c r="E19" s="3514"/>
      <c r="F19" s="3514"/>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2448</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31" sqref="F31"/>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794</v>
      </c>
      <c r="B1" s="3" t="s">
        <v>99</v>
      </c>
      <c r="C1" s="1292" t="s">
        <v>1237</v>
      </c>
      <c r="D1" s="2047" t="s">
        <v>2760</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2746</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2747</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2748</v>
      </c>
      <c r="K4" s="7" t="s">
        <v>64</v>
      </c>
      <c r="L4" s="7" t="s">
        <v>64</v>
      </c>
      <c r="M4" s="7" t="s">
        <v>64</v>
      </c>
      <c r="N4" s="7" t="s">
        <v>64</v>
      </c>
      <c r="O4" s="7" t="s">
        <v>64</v>
      </c>
      <c r="P4" s="916" t="s">
        <v>700</v>
      </c>
      <c r="Q4" s="7" t="s">
        <v>64</v>
      </c>
      <c r="R4" s="916" t="s">
        <v>1825</v>
      </c>
      <c r="S4" s="7" t="s">
        <v>64</v>
      </c>
      <c r="T4" s="7" t="s">
        <v>65</v>
      </c>
      <c r="U4" s="7" t="s">
        <v>64</v>
      </c>
      <c r="W4" s="7" t="s">
        <v>814</v>
      </c>
    </row>
    <row r="5" spans="1:23">
      <c r="A5" s="6" t="s">
        <v>66</v>
      </c>
      <c r="B5" s="6" t="s">
        <v>119</v>
      </c>
      <c r="C5" s="1293" t="s">
        <v>1241</v>
      </c>
      <c r="F5" s="7" t="s">
        <v>67</v>
      </c>
      <c r="G5" s="7">
        <v>70</v>
      </c>
      <c r="H5" s="7" t="s">
        <v>44</v>
      </c>
      <c r="I5" s="7" t="s">
        <v>2749</v>
      </c>
      <c r="K5" s="7" t="s">
        <v>68</v>
      </c>
      <c r="L5" s="7" t="s">
        <v>68</v>
      </c>
      <c r="M5" s="7" t="s">
        <v>68</v>
      </c>
      <c r="N5" s="7" t="s">
        <v>68</v>
      </c>
      <c r="O5" s="7" t="s">
        <v>68</v>
      </c>
      <c r="P5" s="916" t="s">
        <v>495</v>
      </c>
      <c r="Q5" s="7" t="s">
        <v>68</v>
      </c>
      <c r="R5" s="916" t="s">
        <v>1826</v>
      </c>
      <c r="S5" s="7" t="s">
        <v>68</v>
      </c>
      <c r="T5" s="7" t="s">
        <v>69</v>
      </c>
      <c r="U5" s="7" t="s">
        <v>68</v>
      </c>
      <c r="W5" s="7" t="s">
        <v>815</v>
      </c>
    </row>
    <row r="6" spans="1:23">
      <c r="A6" s="6" t="s">
        <v>70</v>
      </c>
      <c r="B6" s="994" t="s">
        <v>1176</v>
      </c>
      <c r="C6" s="1294" t="s">
        <v>1242</v>
      </c>
      <c r="F6" s="7" t="s">
        <v>45</v>
      </c>
      <c r="H6" s="7" t="s">
        <v>46</v>
      </c>
      <c r="I6" s="7" t="s">
        <v>2750</v>
      </c>
      <c r="K6" s="7" t="s">
        <v>71</v>
      </c>
      <c r="L6" s="7" t="s">
        <v>71</v>
      </c>
      <c r="M6" s="7" t="s">
        <v>71</v>
      </c>
      <c r="N6" s="7" t="s">
        <v>71</v>
      </c>
      <c r="O6" s="7" t="s">
        <v>71</v>
      </c>
      <c r="P6" s="916" t="s">
        <v>818</v>
      </c>
      <c r="Q6" s="7" t="s">
        <v>71</v>
      </c>
      <c r="R6" s="916" t="s">
        <v>1827</v>
      </c>
      <c r="S6" s="7" t="s">
        <v>71</v>
      </c>
      <c r="T6" s="7"/>
      <c r="U6" s="7" t="s">
        <v>71</v>
      </c>
      <c r="W6" s="7" t="s">
        <v>816</v>
      </c>
    </row>
    <row r="7" spans="1:23">
      <c r="A7" s="6" t="s">
        <v>72</v>
      </c>
      <c r="B7" s="6" t="s">
        <v>73</v>
      </c>
      <c r="C7" s="1293" t="s">
        <v>1243</v>
      </c>
      <c r="F7" s="7" t="s">
        <v>120</v>
      </c>
      <c r="H7" s="7" t="s">
        <v>74</v>
      </c>
      <c r="I7" s="7" t="s">
        <v>2751</v>
      </c>
    </row>
    <row r="8" spans="1:23">
      <c r="A8" s="6" t="s">
        <v>75</v>
      </c>
      <c r="B8" s="6" t="s">
        <v>76</v>
      </c>
      <c r="C8" s="1293" t="s">
        <v>1244</v>
      </c>
      <c r="F8" s="7" t="s">
        <v>121</v>
      </c>
      <c r="H8" s="3082" t="s">
        <v>2745</v>
      </c>
      <c r="I8" s="7" t="s">
        <v>2752</v>
      </c>
    </row>
    <row r="9" spans="1:23">
      <c r="A9" s="6" t="s">
        <v>77</v>
      </c>
      <c r="B9" s="6" t="s">
        <v>122</v>
      </c>
      <c r="C9" s="1293" t="s">
        <v>1245</v>
      </c>
      <c r="F9" s="7" t="s">
        <v>78</v>
      </c>
      <c r="H9" s="7"/>
      <c r="I9" s="7" t="s">
        <v>2753</v>
      </c>
    </row>
    <row r="10" spans="1:23">
      <c r="A10" s="6" t="s">
        <v>79</v>
      </c>
      <c r="B10" s="6" t="s">
        <v>123</v>
      </c>
      <c r="C10" s="1293" t="s">
        <v>1246</v>
      </c>
      <c r="F10" s="3082" t="s">
        <v>2744</v>
      </c>
      <c r="I10" s="7" t="s">
        <v>2754</v>
      </c>
    </row>
    <row r="11" spans="1:23">
      <c r="A11" s="6" t="s">
        <v>80</v>
      </c>
      <c r="B11" s="6" t="s">
        <v>124</v>
      </c>
      <c r="C11" s="1293" t="s">
        <v>1247</v>
      </c>
      <c r="I11" s="7" t="s">
        <v>2755</v>
      </c>
    </row>
    <row r="12" spans="1:23">
      <c r="A12" s="6" t="s">
        <v>81</v>
      </c>
      <c r="B12" s="6" t="s">
        <v>125</v>
      </c>
      <c r="C12" s="1293" t="s">
        <v>1248</v>
      </c>
      <c r="I12" s="7" t="s">
        <v>2756</v>
      </c>
    </row>
    <row r="13" spans="1:23">
      <c r="A13" s="6" t="s">
        <v>82</v>
      </c>
      <c r="B13" s="6" t="s">
        <v>126</v>
      </c>
      <c r="C13" s="1293" t="s">
        <v>1249</v>
      </c>
      <c r="I13" s="7" t="s">
        <v>2757</v>
      </c>
    </row>
    <row r="14" spans="1:23">
      <c r="A14" s="6" t="s">
        <v>83</v>
      </c>
      <c r="B14" s="6" t="s">
        <v>127</v>
      </c>
      <c r="C14" s="1295" t="s">
        <v>1421</v>
      </c>
      <c r="I14" s="7" t="s">
        <v>2758</v>
      </c>
    </row>
    <row r="15" spans="1:23">
      <c r="A15" s="6" t="s">
        <v>84</v>
      </c>
      <c r="B15" s="6" t="s">
        <v>1214</v>
      </c>
      <c r="C15" s="1295"/>
      <c r="I15" s="7" t="s">
        <v>2759</v>
      </c>
    </row>
    <row r="16" spans="1:23">
      <c r="A16" s="6" t="s">
        <v>85</v>
      </c>
      <c r="B16" s="6" t="s">
        <v>1215</v>
      </c>
      <c r="C16" s="1295"/>
    </row>
    <row r="17" spans="1:3">
      <c r="A17" s="6" t="s">
        <v>86</v>
      </c>
      <c r="B17" s="6" t="s">
        <v>1216</v>
      </c>
      <c r="C17" s="1295"/>
    </row>
    <row r="18" spans="1:3">
      <c r="A18" s="6" t="s">
        <v>87</v>
      </c>
      <c r="B18" s="2356" t="s">
        <v>2214</v>
      </c>
      <c r="C18" s="1295"/>
    </row>
    <row r="19" spans="1:3">
      <c r="A19" s="6" t="s">
        <v>88</v>
      </c>
      <c r="B19" s="2356" t="s">
        <v>2221</v>
      </c>
      <c r="C19" s="1295"/>
    </row>
    <row r="20" spans="1:3">
      <c r="A20" s="6" t="s">
        <v>89</v>
      </c>
      <c r="B20" s="2356" t="s">
        <v>2261</v>
      </c>
      <c r="C20" s="1295"/>
    </row>
    <row r="21" spans="1:3">
      <c r="A21" s="6" t="s">
        <v>90</v>
      </c>
      <c r="B21" s="6" t="s">
        <v>2439</v>
      </c>
      <c r="C21" s="1295"/>
    </row>
    <row r="22" spans="1:3">
      <c r="A22" s="6" t="s">
        <v>91</v>
      </c>
      <c r="B22" s="6" t="s">
        <v>3738</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延庆区南辛堡村、民主村、百眼泉村棚户区改造项目YQ00-0309-0017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519"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19日，在规划利用条件下、设定土地开发程度为红线外“七通”、宗地内场地平整，设定用途为，剩余土地使用年限为的出让国有建设用地使用权价格。</v>
      </c>
      <c r="D53" s="1468"/>
      <c r="E53" s="1468"/>
    </row>
    <row r="54" spans="1:5">
      <c r="A54" s="3519"/>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519"/>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519"/>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519"/>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工规面积指标</vt:lpstr>
      <vt:lpstr>总投</vt:lpstr>
      <vt:lpstr>街道图</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收益还原法</vt:lpstr>
      <vt:lpstr>不动产收益法-车位</vt:lpstr>
      <vt:lpstr>不动产收益法</vt:lpstr>
      <vt:lpstr>车位</vt:lpstr>
      <vt:lpstr>不动产比较法-仓储</vt:lpstr>
      <vt:lpstr>典型户型修正</vt:lpstr>
      <vt:lpstr>存贷款利率</vt:lpstr>
      <vt:lpstr>仓储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2024-12-13T06:30:42Z</dcterms:modified>
</cp:coreProperties>
</file>