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租赁" sheetId="77"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state="hidden" r:id="rId21"/>
    <sheet name="成本法" sheetId="68" state="hidden" r:id="rId22"/>
    <sheet name="成本法 (元)" sheetId="69" state="hidden" r:id="rId23"/>
    <sheet name="假设开发法" sheetId="12" state="hidden" r:id="rId24"/>
    <sheet name="收益法" sheetId="15" r:id="rId25"/>
    <sheet name="收益法 (元)" sheetId="67" state="hidden" r:id="rId26"/>
    <sheet name="收益法5层" sheetId="78"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6">收益法5层!$A$1:$AK$69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AH6" i="1"/>
  <c r="E35" i="77" l="1"/>
  <c r="E34" i="77"/>
  <c r="E33" i="77"/>
  <c r="J32" i="77" s="1"/>
  <c r="E30" i="77"/>
  <c r="J29" i="77" s="1"/>
  <c r="E31" i="77"/>
  <c r="J30" i="77" s="1"/>
  <c r="E32" i="77"/>
  <c r="J31" i="77" s="1"/>
  <c r="E29" i="77"/>
  <c r="J28" i="77" s="1"/>
  <c r="C33" i="77"/>
  <c r="C34" i="77"/>
  <c r="C30" i="77"/>
  <c r="C31" i="77"/>
  <c r="C32" i="77"/>
  <c r="C29" i="77"/>
  <c r="G24" i="77"/>
  <c r="G21" i="77"/>
  <c r="J33" i="77" l="1"/>
  <c r="G25" i="77"/>
  <c r="K33" i="77"/>
  <c r="G5" i="39"/>
  <c r="I32" i="9" l="1"/>
  <c r="I31" i="9"/>
  <c r="E57" i="39" l="1"/>
  <c r="I38" i="39"/>
  <c r="G38" i="39"/>
  <c r="E38" i="39"/>
  <c r="C38" i="39"/>
  <c r="I11" i="39"/>
  <c r="G11" i="39"/>
  <c r="E11" i="39"/>
  <c r="I46" i="39"/>
  <c r="G46" i="39"/>
  <c r="E46" i="39"/>
  <c r="I7" i="39"/>
  <c r="G7" i="39"/>
  <c r="E7" i="39"/>
  <c r="I5" i="39"/>
  <c r="E5" i="39"/>
  <c r="U6" i="43"/>
  <c r="U5" i="43"/>
  <c r="U4" i="43"/>
  <c r="U3" i="43"/>
  <c r="U2" i="43"/>
  <c r="D33" i="43"/>
  <c r="D29" i="43"/>
  <c r="Q72" i="78"/>
  <c r="F60" i="78"/>
  <c r="Q59" i="78"/>
  <c r="K59" i="78"/>
  <c r="P61" i="78" s="1"/>
  <c r="F59" i="78"/>
  <c r="Q58" i="78"/>
  <c r="Q51" i="78"/>
  <c r="J50" i="78"/>
  <c r="M47" i="78"/>
  <c r="D46" i="78"/>
  <c r="F34" i="78"/>
  <c r="F62" i="78" s="1"/>
  <c r="F33" i="78"/>
  <c r="F61" i="78" s="1"/>
  <c r="F32" i="78"/>
  <c r="F31" i="78"/>
  <c r="F28" i="78"/>
  <c r="F23" i="78"/>
  <c r="D24" i="78" s="1"/>
  <c r="D23" i="78"/>
  <c r="F21" i="78"/>
  <c r="M20" i="78"/>
  <c r="F20" i="78"/>
  <c r="M19" i="78"/>
  <c r="M18" i="78"/>
  <c r="F18" i="78"/>
  <c r="M17" i="78"/>
  <c r="F17" i="78"/>
  <c r="F15" i="78"/>
  <c r="K11" i="77"/>
  <c r="L11" i="77" s="1"/>
  <c r="M11" i="77" s="1"/>
  <c r="N11" i="77" s="1"/>
  <c r="O11" i="77" s="1"/>
  <c r="P11" i="77" s="1"/>
  <c r="L10" i="77"/>
  <c r="M10" i="77" s="1"/>
  <c r="N10" i="77" s="1"/>
  <c r="O10" i="77" s="1"/>
  <c r="P10" i="77" s="1"/>
  <c r="K9" i="77"/>
  <c r="L9" i="77" s="1"/>
  <c r="M9" i="77" s="1"/>
  <c r="N9" i="77" s="1"/>
  <c r="O9" i="77" s="1"/>
  <c r="P9" i="77" s="1"/>
  <c r="D11" i="77"/>
  <c r="D10" i="77"/>
  <c r="Q10" i="77" l="1"/>
  <c r="Q11" i="77"/>
  <c r="P74" i="78"/>
  <c r="D22" i="78"/>
  <c r="B7" i="4" l="1"/>
  <c r="D3" i="4"/>
  <c r="D7" i="71" l="1"/>
  <c r="AH5" i="71" l="1"/>
  <c r="AG5" i="71"/>
  <c r="AE5" i="71"/>
  <c r="AF5" i="71" s="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T6" i="71" s="1"/>
  <c r="Q7" i="71"/>
  <c r="F6" i="71" s="1"/>
  <c r="F5" i="71" s="1"/>
  <c r="P7" i="71"/>
  <c r="E6" i="71" s="1"/>
  <c r="O7" i="71"/>
  <c r="N7" i="71"/>
  <c r="B6" i="71" s="1"/>
  <c r="S6" i="71" s="1"/>
  <c r="E5" i="71" l="1"/>
  <c r="V6" i="71"/>
  <c r="B5" i="71"/>
  <c r="D6" i="71"/>
  <c r="U6" i="71" s="1"/>
  <c r="C5" i="71"/>
  <c r="D5" i="71" s="1"/>
  <c r="AB6" i="71"/>
  <c r="Y6" i="71"/>
  <c r="Z6" i="71" s="1"/>
  <c r="X6" i="71"/>
  <c r="AA6" i="71"/>
  <c r="A2" i="53"/>
  <c r="K59" i="67" l="1"/>
  <c r="P61" i="67" s="1"/>
  <c r="K59" i="15"/>
  <c r="P61" i="15" s="1"/>
  <c r="P74"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7" i="76"/>
  <c r="E13" i="76"/>
  <c r="E10" i="76"/>
  <c r="E12" i="76"/>
  <c r="E11" i="76"/>
  <c r="E9" i="76"/>
  <c r="B12" i="76"/>
  <c r="B11" i="76"/>
  <c r="B10" i="76"/>
  <c r="E8" i="76"/>
  <c r="B9" i="76"/>
  <c r="B13" i="76"/>
  <c r="B8"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5" i="73"/>
  <c r="D3" i="73"/>
  <c r="F5" i="73"/>
  <c r="F6" i="73"/>
  <c r="D6" i="73"/>
  <c r="F3" i="73"/>
  <c r="F4" i="73"/>
  <c r="I1" i="73" l="1"/>
  <c r="B39" i="1" s="1"/>
  <c r="D4" i="73"/>
  <c r="D7"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2" i="1"/>
  <c r="AO11" i="1"/>
  <c r="AO13" i="1"/>
  <c r="B11" i="70" l="1"/>
  <c r="B13" i="70"/>
  <c r="B12" i="70"/>
  <c r="B10" i="70"/>
  <c r="B9" i="70"/>
  <c r="B75" i="43"/>
  <c r="B55" i="43"/>
  <c r="B66" i="43"/>
  <c r="C25" i="40"/>
  <c r="C29" i="39"/>
  <c r="S25" i="40"/>
  <c r="S29" i="39"/>
  <c r="S18" i="36"/>
  <c r="U18" i="36"/>
  <c r="S21" i="34"/>
  <c r="F94" i="40"/>
  <c r="H25" i="40"/>
  <c r="G94"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c r="K54" i="43"/>
  <c r="J54" i="43" s="1"/>
  <c r="D54" i="43" s="1"/>
  <c r="M53" i="43"/>
  <c r="N53" i="43" s="1"/>
  <c r="K53" i="43"/>
  <c r="J53" i="43" s="1"/>
  <c r="D53" i="43" s="1"/>
  <c r="M52" i="43"/>
  <c r="N52" i="43" s="1"/>
  <c r="K52" i="43"/>
  <c r="J52" i="43"/>
  <c r="D52" i="43" s="1"/>
  <c r="M51" i="43"/>
  <c r="N51" i="43" s="1"/>
  <c r="K51" i="43"/>
  <c r="J51" i="43" s="1"/>
  <c r="D51" i="43" s="1"/>
  <c r="M50" i="43"/>
  <c r="N50" i="43"/>
  <c r="K50" i="43"/>
  <c r="J50" i="43" s="1"/>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8" s="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5" i="3" s="1"/>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5" i="3" s="1"/>
  <c r="BP15" i="3"/>
  <c r="BP16" i="3"/>
  <c r="BP17" i="3"/>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A15" i="3" s="1"/>
  <c r="BF15" i="3"/>
  <c r="BG15" i="3"/>
  <c r="BH15" i="3"/>
  <c r="BI15" i="3"/>
  <c r="BJ15" i="3"/>
  <c r="BK15" i="3"/>
  <c r="BB16" i="3"/>
  <c r="BC16" i="3"/>
  <c r="BD16" i="3"/>
  <c r="BE16" i="3"/>
  <c r="BF16" i="3"/>
  <c r="BG16" i="3"/>
  <c r="BH16" i="3"/>
  <c r="BI16" i="3"/>
  <c r="BJ16" i="3"/>
  <c r="BK16" i="3"/>
  <c r="BB17" i="3"/>
  <c r="BC17" i="3"/>
  <c r="BD17" i="3"/>
  <c r="BE17" i="3"/>
  <c r="BA17" i="3" s="1"/>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AA37" i="39" s="1"/>
  <c r="J37" i="39"/>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s="1"/>
  <c r="Q38" i="39"/>
  <c r="Z38" i="39"/>
  <c r="Q36" i="39"/>
  <c r="Z36" i="39" s="1"/>
  <c r="Q37" i="39"/>
  <c r="Z37" i="39" s="1"/>
  <c r="B131" i="39"/>
  <c r="H45" i="39"/>
  <c r="AB45" i="39" s="1"/>
  <c r="B129" i="39"/>
  <c r="H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F35" i="39"/>
  <c r="AA35"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E101" i="39"/>
  <c r="J27" i="39" s="1"/>
  <c r="H19" i="39"/>
  <c r="AB19" i="39" s="1"/>
  <c r="F19" i="39"/>
  <c r="AA19" i="39" s="1"/>
  <c r="J23" i="40"/>
  <c r="AC23" i="40" s="1"/>
  <c r="F21" i="40"/>
  <c r="AA21" i="40" s="1"/>
  <c r="J21" i="40"/>
  <c r="W21" i="40"/>
  <c r="H42" i="39"/>
  <c r="AB42" i="39" s="1"/>
  <c r="J34" i="39"/>
  <c r="AC34" i="39" s="1"/>
  <c r="F109" i="39"/>
  <c r="G109" i="39"/>
  <c r="H109" i="39" s="1"/>
  <c r="I109" i="39" s="1"/>
  <c r="J109" i="39" s="1"/>
  <c r="K109" i="39" s="1"/>
  <c r="L109" i="39" s="1"/>
  <c r="M109" i="39" s="1"/>
  <c r="J19" i="39"/>
  <c r="AC19" i="39" s="1"/>
  <c r="F27" i="39"/>
  <c r="F11" i="21"/>
  <c r="S11" i="21" s="1"/>
  <c r="S40" i="21"/>
  <c r="U34" i="21"/>
  <c r="S34" i="21"/>
  <c r="C25"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43" i="39"/>
  <c r="U45" i="39"/>
  <c r="W37" i="39"/>
  <c r="H25" i="39"/>
  <c r="AB25" i="39" s="1"/>
  <c r="J25" i="39"/>
  <c r="F25" i="39"/>
  <c r="AA25" i="39" s="1"/>
  <c r="F15" i="39"/>
  <c r="AA15" i="39" s="1"/>
  <c r="H15" i="39"/>
  <c r="U15" i="39" s="1"/>
  <c r="J15" i="39"/>
  <c r="W15" i="39" s="1"/>
  <c r="H41" i="39"/>
  <c r="AB34" i="39"/>
  <c r="S42" i="39"/>
  <c r="W14" i="39"/>
  <c r="J19" i="40"/>
  <c r="AC19" i="40" s="1"/>
  <c r="J50" i="40"/>
  <c r="B54" i="72"/>
  <c r="H103" i="9"/>
  <c r="D8" i="53" s="1"/>
  <c r="B16" i="53"/>
  <c r="B33" i="72" s="1"/>
  <c r="C7" i="37"/>
  <c r="W35" i="40"/>
  <c r="A118" i="9"/>
  <c r="A4" i="52"/>
  <c r="B41" i="72" s="1"/>
  <c r="A12" i="52"/>
  <c r="B56" i="72" s="1"/>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AZ309" i="3"/>
  <c r="AZ317" i="3"/>
  <c r="AZ325" i="3"/>
  <c r="AZ333" i="3"/>
  <c r="AZ341" i="3"/>
  <c r="AC5" i="3"/>
  <c r="AZ549" i="3"/>
  <c r="AZ506" i="3"/>
  <c r="AZ496" i="3"/>
  <c r="G548" i="3"/>
  <c r="G538" i="3"/>
  <c r="G520" i="3"/>
  <c r="G502" i="3"/>
  <c r="AZ343" i="3"/>
  <c r="BK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1" i="43"/>
  <c r="H83" i="43" s="1"/>
  <c r="H113" i="43"/>
  <c r="F70" i="43"/>
  <c r="H73" i="43" s="1"/>
  <c r="M6" i="43"/>
  <c r="F39" i="43"/>
  <c r="F6" i="1"/>
  <c r="I20" i="43" s="1"/>
  <c r="S14" i="35"/>
  <c r="U43" i="21"/>
  <c r="U35" i="21"/>
  <c r="AC35" i="21"/>
  <c r="U10" i="21"/>
  <c r="G8"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M9" i="78"/>
  <c r="M22" i="78"/>
  <c r="F37" i="78"/>
  <c r="F26" i="78"/>
  <c r="F16" i="78"/>
  <c r="L47" i="78"/>
  <c r="M28" i="78"/>
  <c r="F8" i="78"/>
  <c r="M6" i="78"/>
  <c r="M27" i="78"/>
  <c r="F13" i="78"/>
  <c r="L48" i="78"/>
  <c r="M26" i="78"/>
  <c r="F38" i="78"/>
  <c r="J15" i="78"/>
  <c r="F9" i="78"/>
  <c r="C76" i="78"/>
  <c r="M24" i="78"/>
  <c r="F6" i="78"/>
  <c r="F36" i="78"/>
  <c r="M23" i="78"/>
  <c r="F42" i="78"/>
  <c r="F40" i="78"/>
  <c r="M8" i="78"/>
  <c r="F68" i="78" l="1"/>
  <c r="Q71" i="78"/>
  <c r="C27" i="78"/>
  <c r="F65" i="78"/>
  <c r="F51" i="78"/>
  <c r="F64" i="78"/>
  <c r="F66" i="78"/>
  <c r="C7" i="36"/>
  <c r="J51" i="78"/>
  <c r="N59" i="78" s="1"/>
  <c r="L59" i="78"/>
  <c r="M59" i="78"/>
  <c r="G10" i="1"/>
  <c r="G13" i="1"/>
  <c r="G9" i="1"/>
  <c r="H5" i="3"/>
  <c r="I4" i="6"/>
  <c r="G3" i="43" s="1"/>
  <c r="G19" i="6"/>
  <c r="G27" i="6" s="1"/>
  <c r="F19" i="6"/>
  <c r="D9" i="77"/>
  <c r="Q9" i="77" s="1"/>
  <c r="G14" i="3"/>
  <c r="BB5" i="3"/>
  <c r="J53" i="78"/>
  <c r="I54" i="78"/>
  <c r="J57" i="78"/>
  <c r="J55" i="78" s="1"/>
  <c r="J58" i="78" s="1"/>
  <c r="Q50" i="78" s="1"/>
  <c r="L58" i="78"/>
  <c r="G7" i="1"/>
  <c r="F17" i="39"/>
  <c r="AA17" i="39" s="1"/>
  <c r="H17" i="39"/>
  <c r="AB17" i="39" s="1"/>
  <c r="U40" i="39"/>
  <c r="W40" i="39"/>
  <c r="S40" i="39"/>
  <c r="AB44" i="39"/>
  <c r="U44" i="39"/>
  <c r="J44" i="39"/>
  <c r="F44" i="39"/>
  <c r="AC45" i="39"/>
  <c r="S35" i="39"/>
  <c r="J35" i="39"/>
  <c r="AB36" i="39"/>
  <c r="U36" i="39"/>
  <c r="H37" i="39"/>
  <c r="AB37" i="39" s="1"/>
  <c r="J36" i="39"/>
  <c r="F36" i="39"/>
  <c r="C27" i="39"/>
  <c r="AC38" i="39"/>
  <c r="AA41" i="39"/>
  <c r="S38" i="39"/>
  <c r="F31" i="39"/>
  <c r="AA31" i="39" s="1"/>
  <c r="H31" i="39"/>
  <c r="AB31" i="39" s="1"/>
  <c r="J31" i="39"/>
  <c r="W31" i="39" s="1"/>
  <c r="AC27" i="39"/>
  <c r="W27" i="39"/>
  <c r="H27" i="39"/>
  <c r="U27" i="39" s="1"/>
  <c r="F101" i="39"/>
  <c r="G101" i="39" s="1"/>
  <c r="W23" i="39"/>
  <c r="J17" i="39"/>
  <c r="W17" i="39" s="1"/>
  <c r="W9" i="39"/>
  <c r="W8" i="39"/>
  <c r="AB8" i="39"/>
  <c r="K100" i="43"/>
  <c r="L100" i="43"/>
  <c r="F35" i="43"/>
  <c r="F36" i="43"/>
  <c r="J17" i="43"/>
  <c r="E17" i="43"/>
  <c r="I17" i="43"/>
  <c r="H87" i="43"/>
  <c r="G20" i="43"/>
  <c r="C20" i="43" s="1"/>
  <c r="G12" i="1"/>
  <c r="C5" i="11"/>
  <c r="F3" i="35"/>
  <c r="AZ16" i="3"/>
  <c r="BG5" i="3"/>
  <c r="BI5" i="3"/>
  <c r="BT5" i="3"/>
  <c r="BO5" i="3"/>
  <c r="F29" i="6" s="1"/>
  <c r="BJ5" i="3"/>
  <c r="BF5" i="3"/>
  <c r="BH5" i="3"/>
  <c r="BN5" i="3"/>
  <c r="BL15" i="3"/>
  <c r="AZ15" i="3" s="1"/>
  <c r="BC5" i="3"/>
  <c r="BE5" i="3"/>
  <c r="BR5" i="3"/>
  <c r="BS5" i="3"/>
  <c r="BD5" i="3"/>
  <c r="E8" i="6" s="1"/>
  <c r="BA18" i="3"/>
  <c r="AZ18" i="3" s="1"/>
  <c r="N2" i="43"/>
  <c r="F59" i="43" s="1"/>
  <c r="H61" i="43" s="1"/>
  <c r="N7" i="43"/>
  <c r="M11" i="43"/>
  <c r="N4" i="43"/>
  <c r="H82" i="43"/>
  <c r="H86" i="43"/>
  <c r="H74" i="43"/>
  <c r="A15" i="62"/>
  <c r="B61" i="72" s="1"/>
  <c r="G11" i="1"/>
  <c r="C7" i="34"/>
  <c r="D93" i="9"/>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28" i="78" s="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10" i="6"/>
  <c r="BL17" i="3"/>
  <c r="AZ17" i="3" s="1"/>
  <c r="BL13" i="3"/>
  <c r="J56" i="9"/>
  <c r="J57" i="9" s="1"/>
  <c r="A24" i="51"/>
  <c r="B18" i="72" s="1"/>
  <c r="U29" i="34"/>
  <c r="C106" i="43"/>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G103" i="43"/>
  <c r="C102" i="43"/>
  <c r="S2" i="43" s="1"/>
  <c r="E19" i="69"/>
  <c r="E19" i="68"/>
  <c r="E19" i="11"/>
  <c r="E1" i="73"/>
  <c r="K1" i="73" s="1"/>
  <c r="G41" i="69"/>
  <c r="G22" i="69"/>
  <c r="G41" i="68"/>
  <c r="G22" i="68"/>
  <c r="G27" i="12"/>
  <c r="G26" i="12"/>
  <c r="G41" i="11"/>
  <c r="G22" i="11"/>
  <c r="G25" i="12"/>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48" i="35"/>
  <c r="D48" i="35" s="1"/>
  <c r="C94" i="9"/>
  <c r="C4" i="12"/>
  <c r="C92" i="9"/>
  <c r="H62" i="43"/>
  <c r="H66" i="43"/>
  <c r="H65" i="43"/>
  <c r="H60" i="43"/>
  <c r="H64" i="43"/>
  <c r="H63" i="43"/>
  <c r="H67"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67"/>
  <c r="M8" i="67"/>
  <c r="M28" i="67"/>
  <c r="M9" i="15"/>
  <c r="M29" i="78"/>
  <c r="M22" i="15"/>
  <c r="M24" i="15"/>
  <c r="F8" i="67"/>
  <c r="C76" i="15"/>
  <c r="F6" i="67"/>
  <c r="F36" i="67"/>
  <c r="F38" i="67"/>
  <c r="F7" i="78"/>
  <c r="G1" i="73"/>
  <c r="L47" i="67"/>
  <c r="M29" i="67"/>
  <c r="F13" i="67"/>
  <c r="L48" i="15"/>
  <c r="F37" i="15"/>
  <c r="F16" i="15"/>
  <c r="F9" i="67"/>
  <c r="F8" i="15"/>
  <c r="F43" i="78"/>
  <c r="M8" i="15"/>
  <c r="M22" i="67"/>
  <c r="F26" i="67"/>
  <c r="M23" i="15"/>
  <c r="F16" i="67"/>
  <c r="F40" i="15"/>
  <c r="F13" i="15"/>
  <c r="F36" i="15"/>
  <c r="M6" i="67"/>
  <c r="F37" i="67"/>
  <c r="M23" i="67"/>
  <c r="M9" i="67"/>
  <c r="F43" i="67"/>
  <c r="L48" i="67"/>
  <c r="F7" i="67"/>
  <c r="F42" i="67"/>
  <c r="J15" i="67"/>
  <c r="F26" i="15"/>
  <c r="M26" i="67"/>
  <c r="L47" i="15"/>
  <c r="M28" i="15"/>
  <c r="F42" i="15"/>
  <c r="F38" i="15"/>
  <c r="C76" i="67"/>
  <c r="F40" i="67"/>
  <c r="M26" i="15"/>
  <c r="J15" i="15"/>
  <c r="F9" i="15"/>
  <c r="M6" i="15"/>
  <c r="Q74" i="78" l="1"/>
  <c r="Q61" i="78"/>
  <c r="E13" i="6"/>
  <c r="E58" i="40" s="1"/>
  <c r="F71" i="78"/>
  <c r="M7" i="78"/>
  <c r="J6" i="78" s="1"/>
  <c r="J10" i="78" s="1"/>
  <c r="J5" i="78" s="1"/>
  <c r="C6" i="78"/>
  <c r="C5" i="78" s="1"/>
  <c r="F50" i="78"/>
  <c r="C49" i="78" s="1"/>
  <c r="C48" i="78" s="1"/>
  <c r="E19" i="6"/>
  <c r="K6" i="1" s="1"/>
  <c r="E12" i="6"/>
  <c r="E62" i="39" s="1"/>
  <c r="S9" i="77"/>
  <c r="U17" i="39"/>
  <c r="Q73" i="78"/>
  <c r="Q60" i="78"/>
  <c r="L56" i="78"/>
  <c r="F1" i="78"/>
  <c r="Q52" i="78"/>
  <c r="AC31" i="39"/>
  <c r="U31" i="39"/>
  <c r="AA44" i="39"/>
  <c r="S44" i="39"/>
  <c r="AC44" i="39"/>
  <c r="W44" i="39"/>
  <c r="AC35" i="39"/>
  <c r="W35" i="39"/>
  <c r="AC36" i="39"/>
  <c r="W36" i="39"/>
  <c r="U37" i="39"/>
  <c r="S36" i="39"/>
  <c r="AA36" i="39"/>
  <c r="S31" i="39"/>
  <c r="H59" i="43"/>
  <c r="H52" i="43"/>
  <c r="H49" i="43"/>
  <c r="H48" i="43"/>
  <c r="H50" i="43"/>
  <c r="H51" i="43"/>
  <c r="H56" i="43"/>
  <c r="C6" i="43"/>
  <c r="H55" i="43"/>
  <c r="H54" i="43"/>
  <c r="D118" i="43"/>
  <c r="E118" i="43" s="1"/>
  <c r="F118" i="43" s="1"/>
  <c r="E28" i="6"/>
  <c r="F30" i="6"/>
  <c r="G28" i="6"/>
  <c r="E29" i="6"/>
  <c r="E30" i="6" s="1"/>
  <c r="T10" i="1"/>
  <c r="E14" i="6"/>
  <c r="E64" i="39" s="1"/>
  <c r="E11" i="6"/>
  <c r="E61" i="39" s="1"/>
  <c r="AZ14" i="3"/>
  <c r="E15" i="6"/>
  <c r="F27" i="6"/>
  <c r="F31" i="6" s="1"/>
  <c r="E56" i="39"/>
  <c r="E51" i="40"/>
  <c r="I117" i="43"/>
  <c r="J117" i="43" s="1"/>
  <c r="K117" i="43" s="1"/>
  <c r="L117" i="43" s="1"/>
  <c r="M117" i="43" s="1"/>
  <c r="B117" i="43"/>
  <c r="C117" i="43" s="1"/>
  <c r="G118" i="43"/>
  <c r="H118" i="43" s="1"/>
  <c r="G30" i="6"/>
  <c r="G31" i="6" s="1"/>
  <c r="D116" i="43"/>
  <c r="E116" i="43" s="1"/>
  <c r="F116" i="43" s="1"/>
  <c r="G116" i="43" s="1"/>
  <c r="H116" i="43" s="1"/>
  <c r="K105" i="43"/>
  <c r="G107" i="43"/>
  <c r="D115" i="43"/>
  <c r="E115" i="43" s="1"/>
  <c r="F115" i="43" s="1"/>
  <c r="G115" i="43" s="1"/>
  <c r="H115" i="43" s="1"/>
  <c r="B118" i="43"/>
  <c r="C118" i="43" s="1"/>
  <c r="K107" i="43"/>
  <c r="G109" i="43"/>
  <c r="I116" i="43"/>
  <c r="J116" i="43" s="1"/>
  <c r="K116" i="43" s="1"/>
  <c r="L116" i="43" s="1"/>
  <c r="M116" i="43" s="1"/>
  <c r="B116" i="43"/>
  <c r="C116" i="43" s="1"/>
  <c r="I118" i="43"/>
  <c r="J118" i="43" s="1"/>
  <c r="K118" i="43" s="1"/>
  <c r="L118" i="43" s="1"/>
  <c r="M118" i="43" s="1"/>
  <c r="D22" i="43"/>
  <c r="AR10" i="1"/>
  <c r="F106" i="43"/>
  <c r="N106" i="43"/>
  <c r="E56" i="40"/>
  <c r="N109" i="43"/>
  <c r="J109" i="43"/>
  <c r="T12" i="1"/>
  <c r="N107" i="43"/>
  <c r="E57" i="40"/>
  <c r="J102" i="43"/>
  <c r="N105" i="43"/>
  <c r="AQ12" i="1"/>
  <c r="N104" i="43"/>
  <c r="J103" i="43"/>
  <c r="N103" i="43"/>
  <c r="J105" i="43"/>
  <c r="J106" i="43"/>
  <c r="J107" i="43"/>
  <c r="C109" i="43"/>
  <c r="F103" i="43"/>
  <c r="G106" i="43"/>
  <c r="G104" i="43"/>
  <c r="K102" i="43"/>
  <c r="C107" i="43"/>
  <c r="G102" i="43"/>
  <c r="C103" i="43"/>
  <c r="F102" i="43"/>
  <c r="S5" i="43"/>
  <c r="F109" i="43"/>
  <c r="F105" i="43"/>
  <c r="K106" i="43"/>
  <c r="K104" i="43"/>
  <c r="C105" i="43"/>
  <c r="F107" i="43"/>
  <c r="C4" i="4"/>
  <c r="B4" i="62" s="1"/>
  <c r="B71" i="72" s="1"/>
  <c r="E4" i="4"/>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AP7" i="1"/>
  <c r="C36" i="69" s="1"/>
  <c r="M7" i="1"/>
  <c r="Q16" i="1"/>
  <c r="F27" i="69" s="1"/>
  <c r="H16" i="1"/>
  <c r="AB45" i="21"/>
  <c r="AC33" i="21"/>
  <c r="W33" i="21"/>
  <c r="S33" i="21"/>
  <c r="AA33" i="21"/>
  <c r="W32" i="21"/>
  <c r="AC32" i="21"/>
  <c r="AB9" i="21"/>
  <c r="U9" i="21"/>
  <c r="AA32" i="21"/>
  <c r="S32" i="21"/>
  <c r="W9" i="21"/>
  <c r="AC9" i="21"/>
  <c r="AB32" i="21"/>
  <c r="U32" i="21"/>
  <c r="AA10" i="21"/>
  <c r="S10" i="21"/>
  <c r="M17" i="15"/>
  <c r="F31" i="67"/>
  <c r="F31" i="15"/>
  <c r="F59" i="67"/>
  <c r="F59" i="15"/>
  <c r="M17" i="67"/>
  <c r="F43" i="15"/>
  <c r="C16" i="15"/>
  <c r="C16" i="67"/>
  <c r="F7" i="15"/>
  <c r="M29" i="15"/>
  <c r="C16" i="78"/>
  <c r="F6" i="15"/>
  <c r="C6" i="15" l="1"/>
  <c r="C10" i="15" s="1"/>
  <c r="M7" i="15"/>
  <c r="F50" i="15"/>
  <c r="C49" i="15" s="1"/>
  <c r="F71" i="15"/>
  <c r="C66" i="78"/>
  <c r="C60" i="78"/>
  <c r="J24" i="78"/>
  <c r="J18" i="78"/>
  <c r="J26" i="78"/>
  <c r="C32" i="78"/>
  <c r="C38" i="78"/>
  <c r="O7" i="1"/>
  <c r="C24" i="78"/>
  <c r="D5" i="43"/>
  <c r="C34" i="43" s="1"/>
  <c r="C5" i="43"/>
  <c r="T16" i="43" s="1"/>
  <c r="V16" i="43" s="1"/>
  <c r="E16" i="6"/>
  <c r="E27" i="6"/>
  <c r="K26" i="6" s="1"/>
  <c r="M26" i="6" s="1"/>
  <c r="I26" i="6" s="1"/>
  <c r="S26" i="6" s="1"/>
  <c r="E60" i="40"/>
  <c r="E65" i="39"/>
  <c r="E66" i="39" s="1"/>
  <c r="E3" i="6"/>
  <c r="D3" i="33" s="1"/>
  <c r="K19" i="6"/>
  <c r="D113" i="43"/>
  <c r="J22" i="43" s="1"/>
  <c r="K16" i="1"/>
  <c r="B29" i="1" s="1"/>
  <c r="C8" i="68" s="1"/>
  <c r="K4" i="4"/>
  <c r="B46" i="48" s="1"/>
  <c r="B4" i="72" s="1"/>
  <c r="B5" i="62"/>
  <c r="B73" i="72" s="1"/>
  <c r="L59" i="15"/>
  <c r="Q74" i="15" s="1"/>
  <c r="C30" i="11"/>
  <c r="A18" i="62"/>
  <c r="B64" i="72" s="1"/>
  <c r="D3" i="34"/>
  <c r="D3" i="21"/>
  <c r="C33" i="43"/>
  <c r="G33" i="43" s="1"/>
  <c r="I33" i="43" s="1"/>
  <c r="C36" i="43"/>
  <c r="E36"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C17" i="4"/>
  <c r="B4" i="52" s="1"/>
  <c r="B43" i="72" s="1"/>
  <c r="D37" i="1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9" i="43"/>
  <c r="V9" i="43" s="1"/>
  <c r="T8" i="43"/>
  <c r="V8" i="43" s="1"/>
  <c r="T5" i="43"/>
  <c r="V5" i="43" s="1"/>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Q60" i="15"/>
  <c r="M16" i="1"/>
  <c r="N16" i="1" s="1"/>
  <c r="Q60" i="67"/>
  <c r="Q73" i="67"/>
  <c r="F27" i="11"/>
  <c r="Q61" i="67"/>
  <c r="Q74" i="67"/>
  <c r="C49" i="67"/>
  <c r="F1" i="67"/>
  <c r="Q52" i="67"/>
  <c r="AE6" i="1"/>
  <c r="K23" i="6" l="1"/>
  <c r="M23" i="6" s="1"/>
  <c r="I23" i="6" s="1"/>
  <c r="S23" i="6" s="1"/>
  <c r="E31" i="6"/>
  <c r="T10" i="43"/>
  <c r="V10" i="43" s="1"/>
  <c r="T2" i="43"/>
  <c r="V2" i="43" s="1"/>
  <c r="T12" i="43"/>
  <c r="V12" i="43" s="1"/>
  <c r="C29" i="43"/>
  <c r="C30" i="43" s="1"/>
  <c r="E30" i="43" s="1"/>
  <c r="C37" i="43"/>
  <c r="G37" i="43" s="1"/>
  <c r="I37" i="43" s="1"/>
  <c r="T4" i="43"/>
  <c r="V4" i="43" s="1"/>
  <c r="T13" i="43"/>
  <c r="V13" i="43" s="1"/>
  <c r="T7" i="43"/>
  <c r="V7" i="43" s="1"/>
  <c r="T14" i="43"/>
  <c r="V14" i="43" s="1"/>
  <c r="C35" i="43"/>
  <c r="E35" i="43" s="1"/>
  <c r="C39" i="43"/>
  <c r="E39" i="43" s="1"/>
  <c r="T6" i="43"/>
  <c r="V6" i="43" s="1"/>
  <c r="T15" i="43"/>
  <c r="V15" i="43" s="1"/>
  <c r="T3" i="43"/>
  <c r="V3" i="43" s="1"/>
  <c r="K24" i="6"/>
  <c r="M24" i="6" s="1"/>
  <c r="I24" i="6" s="1"/>
  <c r="S24" i="6" s="1"/>
  <c r="K25" i="6"/>
  <c r="M25" i="6" s="1"/>
  <c r="I25" i="6" s="1"/>
  <c r="S25" i="6" s="1"/>
  <c r="K20" i="6"/>
  <c r="K21" i="6"/>
  <c r="M21" i="6" s="1"/>
  <c r="I21" i="6" s="1"/>
  <c r="S21" i="6" s="1"/>
  <c r="K22" i="6"/>
  <c r="M22" i="6" s="1"/>
  <c r="I22" i="6" s="1"/>
  <c r="S22" i="6" s="1"/>
  <c r="D14" i="12"/>
  <c r="D17" i="12" s="1"/>
  <c r="C17" i="12" s="1"/>
  <c r="D19" i="11"/>
  <c r="C19" i="11" s="1"/>
  <c r="C20" i="11" s="1"/>
  <c r="C25" i="11" s="1"/>
  <c r="L18" i="9"/>
  <c r="E6" i="6"/>
  <c r="D20" i="12" s="1"/>
  <c r="C20" i="12" s="1"/>
  <c r="C18" i="12" s="1"/>
  <c r="S6" i="1"/>
  <c r="E6" i="70" s="1"/>
  <c r="M19" i="6"/>
  <c r="K27" i="6"/>
  <c r="Q61" i="15"/>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3"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24" i="11"/>
  <c r="C44" i="11"/>
  <c r="D41" i="11" s="1"/>
  <c r="C23" i="11"/>
  <c r="E33"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28" i="11" l="1"/>
  <c r="C27" i="11" s="1"/>
  <c r="G35" i="43"/>
  <c r="I35" i="43" s="1"/>
  <c r="C27" i="43" s="1"/>
  <c r="E37" i="43"/>
  <c r="E29" i="43"/>
  <c r="J59" i="78"/>
  <c r="J60" i="78" s="1"/>
  <c r="H21" i="6"/>
  <c r="H25" i="6"/>
  <c r="R25" i="6" s="1"/>
  <c r="D10" i="11"/>
  <c r="C10" i="11" s="1"/>
  <c r="D6" i="6"/>
  <c r="S7" i="1"/>
  <c r="M20" i="6"/>
  <c r="I20" i="6" s="1"/>
  <c r="H22" i="6"/>
  <c r="R22" i="6" s="1"/>
  <c r="D10" i="68"/>
  <c r="C10" i="68" s="1"/>
  <c r="I19" i="6"/>
  <c r="AQ6" i="1"/>
  <c r="T6" i="1"/>
  <c r="AR6" i="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D30" i="6"/>
  <c r="D16" i="6"/>
  <c r="A7" i="51"/>
  <c r="B7" i="72" s="1"/>
  <c r="C4" i="52"/>
  <c r="B45" i="72" s="1"/>
  <c r="A10" i="51"/>
  <c r="B9" i="72" s="1"/>
  <c r="D27" i="6"/>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78"/>
  <c r="C17" i="15"/>
  <c r="C26" i="43" l="1"/>
  <c r="B2" i="43" s="1"/>
  <c r="Q48" i="78"/>
  <c r="M27" i="6"/>
  <c r="D19" i="68"/>
  <c r="D37" i="68" s="1"/>
  <c r="C37" i="68" s="1"/>
  <c r="E7" i="70"/>
  <c r="AR7" i="1"/>
  <c r="T7" i="1"/>
  <c r="AQ7" i="1"/>
  <c r="S20" i="6"/>
  <c r="H20" i="6"/>
  <c r="R20" i="6" s="1"/>
  <c r="R7" i="1" s="1"/>
  <c r="I27" i="6"/>
  <c r="H19" i="6"/>
  <c r="S19" i="6"/>
  <c r="S27" i="6" s="1"/>
  <c r="C38" i="11"/>
  <c r="C33" i="11" s="1"/>
  <c r="C42" i="11" s="1"/>
  <c r="D31" i="6"/>
  <c r="I6" i="6" s="1"/>
  <c r="C11" i="39" s="1"/>
  <c r="R49" i="21"/>
  <c r="C48" i="21" s="1"/>
  <c r="G54" i="34"/>
  <c r="H54" i="34" s="1"/>
  <c r="I53" i="21"/>
  <c r="J53" i="21" s="1"/>
  <c r="C37" i="36"/>
  <c r="C36" i="36"/>
  <c r="G40" i="36"/>
  <c r="H40" i="36" s="1"/>
  <c r="E41" i="36"/>
  <c r="F41" i="36" s="1"/>
  <c r="G41" i="36"/>
  <c r="H41" i="36"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C14" i="78"/>
  <c r="F35" i="67"/>
  <c r="F35" i="78"/>
  <c r="B6" i="76"/>
  <c r="E6" i="76"/>
  <c r="M21" i="78"/>
  <c r="C18" i="78" l="1"/>
  <c r="C15" i="78"/>
  <c r="H11" i="39"/>
  <c r="J11" i="39"/>
  <c r="F11" i="39"/>
  <c r="E2" i="76"/>
  <c r="J20" i="78"/>
  <c r="F63" i="78"/>
  <c r="C62" i="78" s="1"/>
  <c r="C34" i="78"/>
  <c r="C19" i="68"/>
  <c r="C24" i="68" s="1"/>
  <c r="R19" i="6"/>
  <c r="H27" i="6"/>
  <c r="I5" i="6"/>
  <c r="B2" i="76"/>
  <c r="B3" i="43"/>
  <c r="C49" i="21"/>
  <c r="F63" i="67"/>
  <c r="C62" i="67" s="1"/>
  <c r="C34" i="67"/>
  <c r="J20" i="67"/>
  <c r="C22" i="12"/>
  <c r="C30" i="12" s="1"/>
  <c r="C28" i="12" s="1"/>
  <c r="C33" i="68"/>
  <c r="I63" i="40"/>
  <c r="H65" i="40"/>
  <c r="C39" i="11"/>
  <c r="C43" i="11" s="1"/>
  <c r="C41" i="11" s="1"/>
  <c r="I70" i="39"/>
  <c r="C19" i="78" l="1"/>
  <c r="C20" i="78" s="1"/>
  <c r="C23" i="78" s="1"/>
  <c r="W11" i="39"/>
  <c r="AC11" i="39"/>
  <c r="AA11" i="39"/>
  <c r="S11" i="39"/>
  <c r="AB11" i="39"/>
  <c r="U11" i="39"/>
  <c r="B3" i="76"/>
  <c r="L57" i="78"/>
  <c r="L60" i="78" s="1"/>
  <c r="L46" i="78" s="1"/>
  <c r="R27" i="6"/>
  <c r="R6" i="1"/>
  <c r="C27" i="12"/>
  <c r="C25" i="12" s="1"/>
  <c r="C32" i="12" s="1"/>
  <c r="B2" i="12" s="1"/>
  <c r="B3" i="12" s="1"/>
  <c r="C39" i="68"/>
  <c r="C43" i="68" s="1"/>
  <c r="C42" i="68"/>
  <c r="J63" i="40"/>
  <c r="I65" i="40"/>
  <c r="C46" i="11"/>
  <c r="C45" i="11" s="1"/>
  <c r="C49" i="11" s="1"/>
  <c r="C51" i="11" s="1"/>
  <c r="C52" i="11" s="1"/>
  <c r="B2" i="11" s="1"/>
  <c r="B3" i="11" s="1"/>
  <c r="J70" i="39"/>
  <c r="F35" i="15"/>
  <c r="M21" i="15"/>
  <c r="C26" i="78" l="1"/>
  <c r="C29" i="78" s="1"/>
  <c r="F63" i="15"/>
  <c r="C62" i="15" s="1"/>
  <c r="C34" i="15"/>
  <c r="J20" i="15"/>
  <c r="R16" i="1"/>
  <c r="Q57" i="78"/>
  <c r="Q66" i="78"/>
  <c r="C41" i="68"/>
  <c r="C46" i="68"/>
  <c r="C45" i="68" s="1"/>
  <c r="K63" i="40"/>
  <c r="J65" i="40"/>
  <c r="K70" i="39"/>
  <c r="C56" i="11"/>
  <c r="C57" i="11" s="1"/>
  <c r="Q49" i="78" l="1"/>
  <c r="C33" i="78"/>
  <c r="C31" i="78" s="1"/>
  <c r="J14" i="78"/>
  <c r="C36" i="78"/>
  <c r="C57" i="78"/>
  <c r="J19" i="78"/>
  <c r="J17" i="78" s="1"/>
  <c r="C13" i="78"/>
  <c r="C49" i="68"/>
  <c r="C51" i="68" s="1"/>
  <c r="L63" i="40"/>
  <c r="K65" i="40"/>
  <c r="L70" i="39"/>
  <c r="E2" i="70"/>
  <c r="C34" i="69"/>
  <c r="C17" i="67"/>
  <c r="C56" i="78" l="1"/>
  <c r="C65" i="78" s="1"/>
  <c r="C37" i="78"/>
  <c r="C30" i="78" s="1"/>
  <c r="C39" i="78" s="1"/>
  <c r="Q70" i="78"/>
  <c r="C75" i="78"/>
  <c r="C61" i="78"/>
  <c r="C59" i="78" s="1"/>
  <c r="C64" i="78"/>
  <c r="J13" i="78"/>
  <c r="J23" i="78" s="1"/>
  <c r="J22" i="78"/>
  <c r="M63" i="40"/>
  <c r="L65" i="40"/>
  <c r="M70" i="39"/>
  <c r="C35" i="69"/>
  <c r="C38" i="69"/>
  <c r="D10" i="69"/>
  <c r="L51" i="78"/>
  <c r="C58" i="78" l="1"/>
  <c r="C67" i="78" s="1"/>
  <c r="J16" i="78"/>
  <c r="J25" i="78" s="1"/>
  <c r="Q67" i="78"/>
  <c r="C80" i="78"/>
  <c r="C79" i="78" s="1"/>
  <c r="Q69" i="78"/>
  <c r="Q68" i="7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8"/>
  <c r="F69" i="78" l="1"/>
  <c r="C68" i="78" s="1"/>
  <c r="J29" i="78"/>
  <c r="C40" i="78"/>
  <c r="C66" i="15"/>
  <c r="C60" i="15"/>
  <c r="C59" i="15" s="1"/>
  <c r="AG6" i="1"/>
  <c r="C80" i="15"/>
  <c r="C79" i="15" s="1"/>
  <c r="C65" i="15"/>
  <c r="Q68" i="15"/>
  <c r="L57" i="15"/>
  <c r="L60" i="15" s="1"/>
  <c r="F41" i="67"/>
  <c r="F41" i="15"/>
  <c r="L51" i="15"/>
  <c r="M27" i="67"/>
  <c r="M27" i="15"/>
  <c r="Q67" i="15" l="1"/>
  <c r="C71" i="78"/>
  <c r="C46" i="78"/>
  <c r="B2" i="78"/>
  <c r="B3" i="78" s="1"/>
  <c r="Q65" i="78"/>
  <c r="Q75" i="78" s="1"/>
  <c r="Q56" i="78"/>
  <c r="Q62" i="78" s="1"/>
  <c r="C43" i="78"/>
  <c r="Q47" i="78"/>
  <c r="Q53" i="78" s="1"/>
  <c r="C83" i="78"/>
  <c r="C82" i="78" s="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3" i="67"/>
  <c r="D2" i="37"/>
  <c r="D2" i="21"/>
  <c r="D2" i="35"/>
  <c r="D2" i="33"/>
  <c r="D2" i="34"/>
  <c r="E2" i="68"/>
  <c r="F20" i="31"/>
  <c r="D2" i="36"/>
  <c r="B20" i="31" l="1"/>
  <c r="B2" i="36"/>
  <c r="B3" i="36" s="1"/>
  <c r="B2" i="35"/>
  <c r="B3" i="35" s="1"/>
  <c r="B2" i="37"/>
  <c r="B3" i="37" s="1"/>
  <c r="B2" i="34"/>
  <c r="B3" i="34" s="1"/>
  <c r="B2" i="21"/>
  <c r="B3" i="21" s="1"/>
  <c r="B2" i="70"/>
  <c r="B3" i="70" s="1"/>
  <c r="D20" i="9"/>
  <c r="D19" i="9"/>
  <c r="G20" i="9" l="1"/>
  <c r="G19" i="9"/>
  <c r="D102" i="9"/>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J5" i="68" l="1"/>
  <c r="C7" i="68"/>
  <c r="C5" i="68" s="1"/>
  <c r="C23" i="68" l="1"/>
  <c r="C20" i="68"/>
  <c r="H112" i="9"/>
  <c r="D21" i="53" s="1"/>
  <c r="B39" i="72" s="1"/>
  <c r="H111" i="9"/>
  <c r="D126" i="9" s="1"/>
  <c r="D59" i="9"/>
  <c r="M55" i="9"/>
  <c r="C28" i="68" l="1"/>
  <c r="C27" i="68" s="1"/>
  <c r="C25" i="68"/>
  <c r="C22" i="68" s="1"/>
  <c r="D19" i="53"/>
  <c r="B38" i="72"/>
  <c r="D20" i="53"/>
  <c r="B40" i="72" s="1"/>
  <c r="I14" i="74"/>
  <c r="B8" i="74" s="1"/>
  <c r="D127" i="9"/>
  <c r="D13" i="52" s="1"/>
  <c r="D12" i="52"/>
  <c r="C31" i="68" l="1"/>
  <c r="C52" i="68" s="1"/>
  <c r="C57" i="68" s="1"/>
  <c r="C56" i="68" s="1"/>
  <c r="D8" i="74"/>
  <c r="C8" i="74"/>
  <c r="B2" i="68" l="1"/>
  <c r="B3" i="68" s="1"/>
  <c r="C19" i="9"/>
  <c r="D34" i="9"/>
  <c r="D35" i="9"/>
  <c r="C20" i="9"/>
  <c r="C21" i="9" l="1"/>
  <c r="C102" i="9"/>
  <c r="G21" i="9"/>
  <c r="D22" i="9"/>
  <c r="C103" i="9"/>
  <c r="I33" i="9"/>
  <c r="C32" i="9" l="1"/>
  <c r="C35" i="9" s="1"/>
  <c r="F118" i="9" s="1"/>
  <c r="H118" i="9" l="1"/>
  <c r="C34" i="9"/>
  <c r="D118" i="9" s="1"/>
  <c r="G118" i="9"/>
  <c r="G4" i="52" s="1"/>
  <c r="B52" i="72" s="1"/>
  <c r="F119" i="9"/>
  <c r="F5" i="52" s="1"/>
  <c r="B53" i="72" s="1"/>
  <c r="F4" i="52"/>
  <c r="B51" i="72" s="1"/>
  <c r="C104" i="9" l="1"/>
  <c r="F27" i="77"/>
  <c r="I118" i="9"/>
  <c r="C105" i="9" s="1"/>
  <c r="H4" i="52"/>
  <c r="H101" i="9"/>
  <c r="H107" i="9" s="1"/>
  <c r="H119" i="9"/>
  <c r="H5" i="52" s="1"/>
  <c r="D14" i="74"/>
  <c r="B5" i="74" s="1"/>
  <c r="D119" i="9"/>
  <c r="D5" i="52" s="1"/>
  <c r="B49" i="72" s="1"/>
  <c r="D4" i="52"/>
  <c r="B47" i="72" s="1"/>
  <c r="H28" i="77" l="1"/>
  <c r="M48" i="9"/>
  <c r="H102" i="9"/>
  <c r="D7" i="53" s="1"/>
  <c r="B21" i="72" s="1"/>
  <c r="D45" i="9"/>
  <c r="C85" i="9" s="1"/>
  <c r="F14" i="74"/>
  <c r="I4" i="52"/>
  <c r="D5" i="53"/>
  <c r="B20" i="72" s="1"/>
  <c r="E14" i="74"/>
  <c r="E118" i="9"/>
  <c r="E4" i="52" s="1"/>
  <c r="B48" i="72" s="1"/>
  <c r="D5" i="74"/>
  <c r="C5" i="74"/>
  <c r="M49" i="9"/>
  <c r="D122" i="9"/>
  <c r="D13" i="53"/>
  <c r="H108" i="9"/>
  <c r="D15" i="53" s="1"/>
  <c r="B31" i="72" s="1"/>
  <c r="AD3" i="71"/>
  <c r="P21" i="43" s="1"/>
  <c r="J34" i="77" l="1"/>
  <c r="L29" i="77" s="1"/>
  <c r="M29" i="77" s="1"/>
  <c r="F30" i="77" s="1"/>
  <c r="H29" i="77"/>
  <c r="F34" i="77" s="1"/>
  <c r="G35" i="77" s="1"/>
  <c r="C93" i="9"/>
  <c r="C86" i="9" s="1"/>
  <c r="C95" i="9" s="1"/>
  <c r="C96" i="9" s="1"/>
  <c r="E96" i="9" s="1"/>
  <c r="E97" i="9" s="1"/>
  <c r="D53" i="9"/>
  <c r="D52" i="9"/>
  <c r="C78" i="9"/>
  <c r="C73" i="9" s="1"/>
  <c r="D55" i="9"/>
  <c r="M53" i="9" s="1"/>
  <c r="C72" i="9"/>
  <c r="C64" i="9"/>
  <c r="C63" i="9" s="1"/>
  <c r="C67" i="9" s="1"/>
  <c r="C68" i="9" s="1"/>
  <c r="D54" i="9" s="1"/>
  <c r="D6" i="53"/>
  <c r="B22" i="72" s="1"/>
  <c r="B30" i="72"/>
  <c r="D14" i="53"/>
  <c r="B32" i="72" s="1"/>
  <c r="G14" i="74"/>
  <c r="B6" i="74" s="1"/>
  <c r="D123" i="9"/>
  <c r="D9" i="52" s="1"/>
  <c r="D8" i="52"/>
  <c r="L65" i="9"/>
  <c r="M65" i="9" s="1"/>
  <c r="L64" i="9"/>
  <c r="M64" i="9" s="1"/>
  <c r="L68" i="9"/>
  <c r="M68" i="9" s="1"/>
  <c r="L67" i="9"/>
  <c r="M67" i="9" s="1"/>
  <c r="L63" i="9"/>
  <c r="M63" i="9" s="1"/>
  <c r="L66" i="9"/>
  <c r="M66" i="9" s="1"/>
  <c r="P22" i="43"/>
  <c r="P23" i="43"/>
  <c r="B71" i="39" s="1"/>
  <c r="P24" i="43"/>
  <c r="B66" i="40" s="1"/>
  <c r="P25" i="43"/>
  <c r="L31" i="77" l="1"/>
  <c r="M31" i="77" s="1"/>
  <c r="F32" i="77" s="1"/>
  <c r="L32" i="77"/>
  <c r="M32" i="77" s="1"/>
  <c r="F33" i="77" s="1"/>
  <c r="L30" i="77"/>
  <c r="M30" i="77" s="1"/>
  <c r="F31" i="77" s="1"/>
  <c r="L28" i="77"/>
  <c r="C79" i="9"/>
  <c r="C80" i="9" s="1"/>
  <c r="E80" i="9" s="1"/>
  <c r="E81" i="9" s="1"/>
  <c r="C97" i="9"/>
  <c r="D58" i="9" s="1"/>
  <c r="D56" i="9" s="1"/>
  <c r="M54" i="9" s="1"/>
  <c r="N57" i="9" s="1"/>
  <c r="P57" i="9" s="1"/>
  <c r="D6" i="74"/>
  <c r="C6" i="74"/>
  <c r="M69" i="9"/>
  <c r="N69" i="9" s="1"/>
  <c r="M28" i="77" l="1"/>
  <c r="F29" i="77" s="1"/>
  <c r="F35" i="77" s="1"/>
  <c r="C81" i="9"/>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<sst xmlns="http://schemas.openxmlformats.org/spreadsheetml/2006/main" count="7906" uniqueCount="3205">
  <si>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</si>
  <si>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</si>
  <si>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</si>
  <si>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</si>
  <si>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</si>
  <si>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</si>
  <si>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</si>
  <si>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</si>
  <si>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</si>
  <si>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</si>
  <si>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</si>
  <si>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</si>
  <si>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</si>
  <si>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</si>
  <si>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</si>
  <si>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</si>
  <si>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</si>
  <si>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</si>
  <si>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</si>
  <si>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</si>
  <si>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</si>
  <si>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</si>
  <si>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</si>
  <si>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</si>
  <si>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</si>
  <si>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</si>
  <si>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</si>
  <si>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</si>
  <si>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</si>
  <si>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</si>
  <si>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</si>
  <si>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</si>
  <si>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</si>
  <si>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</si>
  <si>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</si>
  <si>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</si>
  <si>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</si>
  <si>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</si>
  <si>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</si>
  <si>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</si>
  <si>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</si>
  <si>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</si>
  <si>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</si>
  <si>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</si>
  <si>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</si>
  <si>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</si>
  <si>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</si>
  <si>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</si>
  <si>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</si>
  <si>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</si>
  <si>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</si>
  <si>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</si>
  <si>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</si>
  <si>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</si>
  <si>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</si>
  <si>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</si>
  <si>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</si>
  <si>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</si>
  <si>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</si>
  <si>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</si>
  <si>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</si>
  <si>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</si>
  <si>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</si>
  <si>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</si>
  <si>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</si>
  <si>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</si>
  <si>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</si>
  <si>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</si>
  <si>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</si>
  <si>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</si>
  <si>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</si>
  <si>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</si>
  <si>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</si>
  <si>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</si>
  <si>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</si>
  <si>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</si>
  <si>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</si>
  <si>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</si>
  <si>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</si>
  <si>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</si>
  <si>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</si>
  <si>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</si>
  <si>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</si>
  <si>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</si>
  <si>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</si>
  <si>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</si>
  <si>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</si>
  <si>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</si>
  <si>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</si>
  <si>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</si>
  <si>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</si>
  <si>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</si>
  <si>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</si>
  <si>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</si>
  <si>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</si>
  <si>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</si>
  <si>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</si>
  <si>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</si>
  <si>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</si>
  <si>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</si>
  <si>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</si>
  <si>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</si>
  <si>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</si>
  <si>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</si>
  <si>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</si>
  <si>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</si>
  <si>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</si>
  <si>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</si>
  <si>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</si>
  <si>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</si>
  <si>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</si>
  <si>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</si>
  <si>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</si>
  <si>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</si>
  <si>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</si>
  <si>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</si>
  <si>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</si>
  <si>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</si>
  <si>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</si>
  <si>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</si>
  <si>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</si>
  <si>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</si>
  <si>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</si>
  <si>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</si>
  <si>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</si>
  <si>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</si>
  <si>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</si>
  <si>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</si>
  <si>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</si>
  <si>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</si>
  <si>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</si>
  <si>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</si>
  <si>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</si>
  <si>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</si>
  <si>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</si>
  <si>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</si>
  <si>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</si>
  <si>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</si>
  <si>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</si>
  <si>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</si>
  <si>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</si>
  <si>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</si>
  <si>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</si>
  <si>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</si>
  <si>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</si>
  <si>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</si>
  <si>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</si>
  <si>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</si>
  <si>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</si>
  <si>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</si>
  <si>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</si>
  <si>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</si>
  <si>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</si>
  <si>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</si>
  <si>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</si>
  <si>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</si>
  <si>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</si>
  <si>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</si>
  <si>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</si>
  <si>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</si>
  <si>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</si>
  <si>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</si>
  <si>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</si>
  <si>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</si>
  <si>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</si>
  <si>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</si>
  <si>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</si>
  <si>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</si>
  <si>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</si>
  <si>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</si>
  <si>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</si>
  <si>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</si>
  <si>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</si>
  <si>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</si>
  <si>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</si>
  <si>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</si>
  <si>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</si>
  <si>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</si>
  <si>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</si>
  <si>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</si>
  <si>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</si>
  <si>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</si>
  <si>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</si>
  <si>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</si>
  <si>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</si>
  <si>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</si>
  <si>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</si>
  <si>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</si>
  <si>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</si>
  <si>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</si>
  <si>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</si>
  <si>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</si>
  <si>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</si>
  <si>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</si>
  <si>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</si>
  <si>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</si>
  <si>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</si>
  <si>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</si>
  <si>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</si>
  <si>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</si>
  <si>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</si>
  <si>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</si>
  <si>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</si>
  <si>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</si>
  <si>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</si>
  <si>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</si>
  <si>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</si>
  <si>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</si>
  <si>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</si>
  <si>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</si>
  <si>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</si>
  <si>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</si>
  <si>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</si>
  <si>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</si>
  <si>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</si>
  <si>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</si>
  <si>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</si>
  <si>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</si>
  <si>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</si>
  <si>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</si>
  <si>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</si>
  <si>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</si>
  <si>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</si>
  <si>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</si>
  <si>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</si>
  <si>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</si>
  <si>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</si>
  <si>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</si>
  <si>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</si>
  <si>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</si>
  <si>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</si>
  <si>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</si>
  <si>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</si>
  <si>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</si>
  <si>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</si>
  <si>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</si>
  <si>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</si>
  <si>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</si>
  <si>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</si>
  <si>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</si>
  <si>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</si>
  <si>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</si>
  <si>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</si>
  <si>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</si>
  <si>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</si>
  <si>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</si>
  <si>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</si>
  <si>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</si>
  <si>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</si>
  <si>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</si>
  <si>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</si>
  <si>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</si>
  <si>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</si>
  <si>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</si>
  <si>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</si>
  <si>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</si>
  <si>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</si>
  <si>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</si>
  <si>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</si>
  <si>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</si>
  <si>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</si>
  <si>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</si>
  <si>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</si>
  <si>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</si>
  <si>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</si>
  <si>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</si>
  <si>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</si>
  <si>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</si>
  <si>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</si>
  <si>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</si>
  <si>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</si>
  <si>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</si>
  <si>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</si>
  <si>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</si>
  <si>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</si>
  <si>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</si>
  <si>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</si>
  <si>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</si>
  <si>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</si>
  <si>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</si>
  <si>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</si>
  <si>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</si>
  <si>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</si>
  <si>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</si>
  <si>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</si>
  <si>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</si>
  <si>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</si>
  <si>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</si>
  <si>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</si>
  <si>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</si>
  <si>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</si>
  <si>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</si>
  <si>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</si>
  <si>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</si>
  <si>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</si>
  <si>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</si>
  <si>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</si>
  <si>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</si>
  <si>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</si>
  <si>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</si>
  <si>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</si>
  <si>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</si>
  <si>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</si>
  <si>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</si>
  <si>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</si>
  <si>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</si>
  <si>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</si>
  <si>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</si>
  <si>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</si>
  <si>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</si>
  <si>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</si>
  <si>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</si>
  <si>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</si>
  <si>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</si>
  <si>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</si>
  <si>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</si>
  <si>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</si>
  <si>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</si>
  <si>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</si>
  <si>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</si>
  <si>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</si>
  <si>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</si>
  <si>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</si>
  <si>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</si>
  <si>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</si>
  <si>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</si>
  <si>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</si>
  <si>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</si>
  <si>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</si>
  <si>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</si>
  <si>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</si>
  <si>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</si>
  <si>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</si>
  <si>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</si>
  <si>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</si>
  <si>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</si>
  <si>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</si>
  <si>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</si>
  <si>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</si>
  <si>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</si>
  <si>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</si>
  <si>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</si>
  <si>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</si>
  <si>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</si>
  <si>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</si>
  <si>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</si>
  <si>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</si>
  <si>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</si>
  <si>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</si>
  <si>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</si>
  <si>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</si>
  <si>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</si>
  <si>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</si>
  <si>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</si>
  <si>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</si>
  <si>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</si>
  <si>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</si>
  <si>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</si>
  <si>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</si>
  <si>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</si>
  <si>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</si>
  <si>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</si>
  <si>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</si>
  <si>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</si>
  <si>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</si>
  <si>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</si>
  <si>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</si>
  <si>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</si>
  <si>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</si>
  <si>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</si>
  <si>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</si>
  <si>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</si>
  <si>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</si>
  <si>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</si>
  <si>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</si>
  <si>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</si>
  <si>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</si>
  <si>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</si>
  <si>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</si>
  <si>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</si>
  <si>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</si>
  <si>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</si>
  <si>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</si>
  <si>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</si>
  <si>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</si>
  <si>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</si>
  <si>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</si>
  <si>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</si>
  <si>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</si>
  <si>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</si>
  <si>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</si>
  <si>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</si>
  <si>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</si>
  <si>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</si>
  <si>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</si>
  <si>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</si>
  <si>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</si>
  <si>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</si>
  <si>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</si>
  <si>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</si>
  <si>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</si>
  <si>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</si>
  <si>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</si>
  <si>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</si>
  <si>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</si>
  <si>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</si>
  <si>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</si>
  <si>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</si>
  <si>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</si>
  <si>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</si>
  <si>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</si>
  <si>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</si>
  <si>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</si>
  <si>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</si>
  <si>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</si>
  <si>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</si>
  <si>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</si>
  <si>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</si>
  <si>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</si>
  <si>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</si>
  <si>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</si>
  <si>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</si>
  <si>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</si>
  <si>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</si>
  <si>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</si>
  <si>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</si>
  <si>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</si>
  <si>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</si>
  <si>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</si>
  <si>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</si>
  <si>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</si>
  <si>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</si>
  <si>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</si>
  <si>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</si>
  <si>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</si>
  <si>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</si>
  <si>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</si>
  <si>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</si>
  <si>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</si>
  <si>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</si>
  <si>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</si>
  <si>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</si>
  <si>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</si>
  <si>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</si>
  <si>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</si>
  <si>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</si>
  <si>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</si>
  <si>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</si>
  <si>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</si>
  <si>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</si>
  <si>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</si>
  <si>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</si>
  <si>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</si>
  <si>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</si>
  <si>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</si>
  <si>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</si>
  <si>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</si>
  <si>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</si>
  <si>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</si>
  <si>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</si>
  <si>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</si>
  <si>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</si>
  <si>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</si>
  <si>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</si>
  <si>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</si>
  <si>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</si>
  <si>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</si>
  <si>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</si>
  <si>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</si>
  <si>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</si>
  <si>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</si>
  <si>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</si>
  <si>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</si>
  <si>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</si>
  <si>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</si>
  <si>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</si>
  <si>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</si>
  <si>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</si>
  <si>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</si>
  <si>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</si>
  <si>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</si>
  <si>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</si>
  <si>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</si>
  <si>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</si>
  <si>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</si>
  <si>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</si>
  <si>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</si>
  <si>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</si>
  <si>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</si>
  <si>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</si>
  <si>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</si>
  <si>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</si>
  <si>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</si>
  <si>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</si>
  <si>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</si>
  <si>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</si>
  <si>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</si>
  <si>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</si>
  <si>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</si>
  <si>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</si>
  <si>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</si>
  <si>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</si>
  <si>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</si>
  <si>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</si>
  <si>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</si>
  <si>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</si>
  <si>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</si>
  <si>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</si>
  <si>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</si>
  <si>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</si>
  <si>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</si>
  <si>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</si>
  <si>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</si>
  <si>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</si>
  <si>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</si>
  <si>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</si>
  <si>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</si>
  <si>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</si>
  <si>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</si>
  <si>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</si>
  <si>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</si>
  <si>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</si>
  <si>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</si>
  <si>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</si>
  <si>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</si>
  <si>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</si>
  <si>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</si>
  <si>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</si>
  <si>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</si>
  <si>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</si>
  <si>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</si>
  <si>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</si>
  <si>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</si>
  <si>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</si>
  <si>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</si>
  <si>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</si>
  <si>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</si>
  <si>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</si>
  <si>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</si>
  <si>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</si>
  <si>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</si>
  <si>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</si>
  <si>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</si>
  <si>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</si>
  <si>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</si>
  <si>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</si>
  <si>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</si>
  <si>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</si>
  <si>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</si>
  <si>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</si>
  <si>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</si>
  <si>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</si>
  <si>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</si>
  <si>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</si>
  <si>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</si>
  <si>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</si>
  <si>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</si>
  <si>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</si>
  <si>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</si>
  <si>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</si>
  <si>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</si>
  <si>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</si>
  <si>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</si>
  <si>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</si>
  <si>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</si>
  <si>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</si>
  <si>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</si>
  <si>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</si>
  <si>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</si>
  <si>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</si>
  <si>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</si>
  <si>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</si>
  <si>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</si>
  <si>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</si>
  <si>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</si>
  <si>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</si>
  <si>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</si>
  <si>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</si>
  <si>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</si>
  <si>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</si>
  <si>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</si>
  <si>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</si>
  <si>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</si>
  <si>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</si>
  <si>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</si>
  <si>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</si>
  <si>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</si>
  <si>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</si>
  <si>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</si>
  <si>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</si>
  <si>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</si>
  <si>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</si>
  <si>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</si>
  <si>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</si>
  <si>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</si>
  <si>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</si>
  <si>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</si>
  <si>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</si>
  <si>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</si>
  <si>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</si>
  <si>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</si>
  <si>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</si>
  <si>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</si>
  <si>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</si>
  <si>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</si>
  <si>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</si>
  <si>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</si>
  <si>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</si>
  <si>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</si>
  <si>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</si>
  <si>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</si>
  <si>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</si>
  <si>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</si>
  <si>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</si>
  <si>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</si>
  <si>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</si>
  <si>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</si>
  <si>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</si>
  <si>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</si>
  <si>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</si>
  <si>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</si>
  <si>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</si>
  <si>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</si>
  <si>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</si>
  <si>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</si>
  <si>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</si>
  <si>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</si>
  <si>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</si>
  <si>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</si>
  <si>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</si>
  <si>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</si>
  <si>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</si>
  <si>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</si>
  <si>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</si>
  <si>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</si>
  <si>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</si>
  <si>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</si>
  <si>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</si>
  <si>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</si>
  <si>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</si>
  <si>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</si>
  <si>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</si>
  <si>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</si>
  <si>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</si>
  <si>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</si>
  <si>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</si>
  <si>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</si>
  <si>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</si>
  <si>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</si>
  <si>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</si>
  <si>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</si>
  <si>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</si>
  <si>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</si>
  <si>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</si>
  <si>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</si>
  <si>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</si>
  <si>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</si>
  <si>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</si>
  <si>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</si>
  <si>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</si>
  <si>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</si>
  <si>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</si>
  <si>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</si>
  <si>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</si>
  <si>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</si>
  <si>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</si>
  <si>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</si>
  <si>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</si>
  <si>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</si>
  <si>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</si>
  <si>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</si>
  <si>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</si>
  <si>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</si>
  <si>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</si>
  <si>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</si>
  <si>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</si>
  <si>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</si>
  <si>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</si>
  <si>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</si>
  <si>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</si>
  <si>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</si>
  <si>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</si>
  <si>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</si>
  <si>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</si>
  <si>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</si>
  <si>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</si>
  <si>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</si>
  <si>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</si>
  <si>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</si>
  <si>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</si>
  <si>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</si>
  <si>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</si>
  <si>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</si>
  <si>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</si>
  <si>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</si>
  <si>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</si>
  <si>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</si>
  <si>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</si>
  <si>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</si>
  <si>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</si>
  <si>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</si>
  <si>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</si>
  <si>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</si>
  <si>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</si>
  <si>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</si>
  <si>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</si>
  <si>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</si>
  <si>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</si>
  <si>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</si>
  <si>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</si>
  <si>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</si>
  <si>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</si>
  <si>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</si>
  <si>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</si>
  <si>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</si>
  <si>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</si>
  <si>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</si>
  <si>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</si>
  <si>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</si>
  <si>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</si>
  <si>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</si>
  <si>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</si>
  <si>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</si>
  <si>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</si>
  <si>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</si>
  <si>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</si>
  <si>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</si>
  <si>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</si>
  <si>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</si>
  <si>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</si>
  <si>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</si>
  <si>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</si>
  <si>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</si>
  <si>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</si>
  <si>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</si>
  <si>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</si>
  <si>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</si>
  <si>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</si>
  <si>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</si>
  <si>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</si>
  <si>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</si>
  <si>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</si>
  <si>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</si>
  <si>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</si>
  <si>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</si>
  <si>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</si>
  <si>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</si>
  <si>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</si>
  <si>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</si>
  <si>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</si>
  <si>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</si>
  <si>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</si>
  <si>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</si>
  <si>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</si>
  <si>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</si>
  <si>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</si>
  <si>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</si>
  <si>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</si>
  <si>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</si>
  <si>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</si>
  <si>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</si>
  <si>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</si>
  <si>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</si>
  <si>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</si>
  <si>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</si>
  <si>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</si>
  <si>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</si>
  <si>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</si>
  <si>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</si>
  <si>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</si>
  <si>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</si>
  <si>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</si>
  <si>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</si>
  <si>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</si>
  <si>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</si>
  <si>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</si>
  <si>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</si>
  <si>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</si>
  <si>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</si>
  <si>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</si>
  <si>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</si>
  <si>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</si>
  <si>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</si>
  <si>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</si>
  <si>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</si>
  <si>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</si>
  <si>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</si>
  <si>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</si>
  <si>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</si>
  <si>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</si>
  <si>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</si>
  <si>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</si>
  <si>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</si>
  <si>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</si>
  <si>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</si>
  <si>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</si>
  <si>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</si>
  <si>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</si>
  <si>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</si>
  <si>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</si>
  <si>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</si>
  <si>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</si>
  <si>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</si>
  <si>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</si>
  <si>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</si>
  <si>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</si>
  <si>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</si>
  <si>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</si>
  <si>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</si>
  <si>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</si>
  <si>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</si>
  <si>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</si>
  <si>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</si>
  <si>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</si>
  <si>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</si>
  <si>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</si>
  <si>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</si>
  <si>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</si>
  <si>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</si>
  <si>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</si>
  <si>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</si>
  <si>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</si>
  <si>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</si>
  <si>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</si>
  <si>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</si>
  <si>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</si>
  <si>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</si>
  <si>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</si>
  <si>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</si>
  <si>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</si>
  <si>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</si>
  <si>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</si>
  <si>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</si>
  <si>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</si>
  <si>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</si>
  <si>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</si>
  <si>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</si>
  <si>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</si>
  <si>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</si>
  <si>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</si>
  <si>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</si>
  <si>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</si>
  <si>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</si>
  <si>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</si>
  <si>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</si>
  <si>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</si>
  <si>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</si>
  <si>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</si>
  <si>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</si>
  <si>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</si>
  <si>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</si>
  <si>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</si>
  <si>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</si>
  <si>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</si>
  <si>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</si>
  <si>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</si>
  <si>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</si>
  <si>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</si>
  <si>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</si>
  <si>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</si>
  <si>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</si>
  <si>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</si>
  <si>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</si>
  <si>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</si>
  <si>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</si>
  <si>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</si>
  <si>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</si>
  <si>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</si>
  <si>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</si>
  <si>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</si>
  <si>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</si>
  <si>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</si>
  <si>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</si>
  <si>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</si>
  <si>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</si>
  <si>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</si>
  <si>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</si>
  <si>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</si>
  <si>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</si>
  <si>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</si>
  <si>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</si>
  <si>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</si>
  <si>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</si>
  <si>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</si>
  <si>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</si>
  <si>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</si>
  <si>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</si>
  <si>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</si>
  <si>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</si>
  <si>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</si>
  <si>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</si>
  <si>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</si>
  <si>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</si>
  <si>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</si>
  <si>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</si>
  <si>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</si>
  <si>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</si>
  <si>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</si>
  <si>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</si>
  <si>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</si>
  <si>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</si>
  <si>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</si>
  <si>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</si>
  <si>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</si>
  <si>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</si>
  <si>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</si>
  <si>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</si>
  <si>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</si>
  <si>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</si>
  <si>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</si>
  <si>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</si>
  <si>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</si>
  <si>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</si>
  <si>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</si>
  <si>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</si>
  <si>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</si>
  <si>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</si>
  <si>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</si>
  <si>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</si>
  <si>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</si>
  <si>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</si>
  <si>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</si>
  <si>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</si>
  <si>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</si>
  <si>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</si>
  <si>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</si>
  <si>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</si>
  <si>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</si>
  <si>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</si>
  <si>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</si>
  <si>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</si>
  <si>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</si>
  <si>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</si>
  <si>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</si>
  <si>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</si>
  <si>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</si>
  <si>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</si>
  <si>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</si>
  <si>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</si>
  <si>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</si>
  <si>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</si>
  <si>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</si>
  <si>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</si>
  <si>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</si>
  <si>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</si>
  <si>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</si>
  <si>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</si>
  <si>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</si>
  <si>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</si>
  <si>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</si>
  <si>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</si>
  <si>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</si>
  <si>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</si>
  <si>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</si>
  <si>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</si>
  <si>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</si>
  <si>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</si>
  <si>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</si>
  <si>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</si>
  <si>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</si>
  <si>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</si>
  <si>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</si>
  <si>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</si>
  <si>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</si>
  <si>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</si>
  <si>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</si>
  <si>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</si>
  <si>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</si>
  <si>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</si>
  <si>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</si>
  <si>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</si>
  <si>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</si>
  <si>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</si>
  <si>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</si>
  <si>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</si>
  <si>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</si>
  <si>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</si>
  <si>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</si>
  <si>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</si>
  <si>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</si>
  <si>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</si>
  <si>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</si>
  <si>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</si>
  <si>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</si>
  <si>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</si>
  <si>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</si>
  <si>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</si>
  <si>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</si>
  <si>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</si>
  <si>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</si>
  <si>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</si>
  <si>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</si>
  <si>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</si>
  <si>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</si>
  <si>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</si>
  <si>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</si>
  <si>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</si>
  <si>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</si>
  <si>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</si>
  <si>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</si>
  <si>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</si>
  <si>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</si>
  <si>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</si>
  <si>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</si>
  <si>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</si>
  <si>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</si>
  <si>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</si>
  <si>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</si>
  <si>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</si>
  <si>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</si>
  <si>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</si>
  <si>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</si>
  <si>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</si>
  <si>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</si>
  <si>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</si>
  <si>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</si>
  <si>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</si>
  <si>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</si>
  <si>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</si>
  <si>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</si>
  <si>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</si>
  <si>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</si>
  <si>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</si>
  <si>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</si>
  <si>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</si>
  <si>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</si>
  <si>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</si>
  <si>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</si>
  <si>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</si>
  <si>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</si>
  <si>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</si>
  <si>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</si>
  <si>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</si>
  <si>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</si>
  <si>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</si>
  <si>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</si>
  <si>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</si>
  <si>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</si>
  <si>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</si>
  <si>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</si>
  <si>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</si>
  <si>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</si>
  <si>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</si>
  <si>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</si>
  <si>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</si>
  <si>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</si>
  <si>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</si>
  <si>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</si>
  <si>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</si>
  <si>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</si>
  <si>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</si>
  <si>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</si>
  <si>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</si>
  <si>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</si>
  <si>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</si>
  <si>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</si>
  <si>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</si>
  <si>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</si>
  <si>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</si>
  <si>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</si>
  <si>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</si>
  <si>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</si>
  <si>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</si>
  <si>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</si>
  <si>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</si>
  <si>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</si>
  <si>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</si>
  <si>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</si>
  <si>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</si>
  <si>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</si>
  <si>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</si>
  <si>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</si>
  <si>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</si>
  <si>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</si>
  <si>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</si>
  <si>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</si>
  <si>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</si>
  <si>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</si>
  <si>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</si>
  <si>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</si>
  <si>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</si>
  <si>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</si>
  <si>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</si>
  <si>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</si>
  <si>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</si>
  <si>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</si>
  <si>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</si>
  <si>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</si>
  <si>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</si>
  <si>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</si>
  <si>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</si>
  <si>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</si>
  <si>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</si>
  <si>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</si>
  <si>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</si>
  <si>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</si>
  <si>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</si>
  <si>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</si>
  <si>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</si>
  <si>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</si>
  <si>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</si>
  <si>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</si>
  <si>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</si>
  <si>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</si>
  <si>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</si>
  <si>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</si>
  <si>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</si>
  <si>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</si>
  <si>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</si>
  <si>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</si>
  <si>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</si>
  <si>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</si>
  <si>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</si>
  <si>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</si>
  <si>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</si>
  <si>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</si>
  <si>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</si>
  <si>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</si>
  <si>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</si>
  <si>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</si>
  <si>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</si>
  <si>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</si>
  <si>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</si>
  <si>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</si>
  <si>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</si>
  <si>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</si>
  <si>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</si>
  <si>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</si>
  <si>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</si>
  <si>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</si>
  <si>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</si>
  <si>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</si>
  <si>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</si>
  <si>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</si>
  <si>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</si>
  <si>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</si>
  <si>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</si>
  <si>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</si>
  <si>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</si>
  <si>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</si>
  <si>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</si>
  <si>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</si>
  <si>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</si>
  <si>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</si>
  <si>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</si>
  <si>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</si>
  <si>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</si>
  <si>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</si>
  <si>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</si>
  <si>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</si>
  <si>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</si>
  <si>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</si>
  <si>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</si>
  <si>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</si>
  <si>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</si>
  <si>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</si>
  <si>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</si>
  <si>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</si>
  <si>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</si>
  <si>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</si>
  <si>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</si>
  <si>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</si>
  <si>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</si>
  <si>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</si>
  <si>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</si>
  <si>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</si>
  <si>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</si>
  <si>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</si>
  <si>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</si>
  <si>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</si>
  <si>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</si>
  <si>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</si>
  <si>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</si>
  <si>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</si>
  <si>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</si>
  <si>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</si>
  <si>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</si>
  <si>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</si>
  <si>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</si>
  <si>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</si>
  <si>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</si>
  <si>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</si>
  <si>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</si>
  <si>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</si>
  <si>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</si>
  <si>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</si>
  <si>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</si>
  <si>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</si>
  <si>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</si>
  <si>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</si>
  <si>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</si>
  <si>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</si>
  <si>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</si>
  <si>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</si>
  <si>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</si>
  <si>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</si>
  <si>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</si>
  <si>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</si>
  <si>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</si>
  <si>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</si>
  <si>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</si>
  <si>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</si>
  <si>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</si>
  <si>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</si>
  <si>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</si>
  <si>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</si>
  <si>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</si>
  <si>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</si>
  <si>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</si>
  <si>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</si>
  <si>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</si>
  <si>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</si>
  <si>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</si>
  <si>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</si>
  <si>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</si>
  <si>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</si>
  <si>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</si>
  <si>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</si>
  <si>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</si>
  <si>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</si>
  <si>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</si>
  <si>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</si>
  <si>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</si>
  <si>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</si>
  <si>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</si>
  <si>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</si>
  <si>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</si>
  <si>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</si>
  <si>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</si>
  <si>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</si>
  <si>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</si>
  <si>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</si>
  <si>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</si>
  <si>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</si>
  <si>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</si>
  <si>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</si>
  <si>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</si>
  <si>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</si>
  <si>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</si>
  <si>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</si>
  <si>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</si>
  <si>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</si>
  <si>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</si>
  <si>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</si>
  <si>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</si>
  <si>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</si>
  <si>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</si>
  <si>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</si>
  <si>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</si>
  <si>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</si>
  <si>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</si>
  <si>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</si>
  <si>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</si>
  <si>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</si>
  <si>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</si>
  <si>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</si>
  <si>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</si>
  <si>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</si>
  <si>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</si>
  <si>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</si>
  <si>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</si>
  <si>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</si>
  <si>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</si>
  <si>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</si>
  <si>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</si>
  <si>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</si>
  <si>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</si>
  <si>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</si>
  <si>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</si>
  <si>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</si>
  <si>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</si>
  <si>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</si>
  <si>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</si>
  <si>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</si>
  <si>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</si>
  <si>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</si>
  <si>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</si>
  <si>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</si>
  <si>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</si>
  <si>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</si>
  <si>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</si>
  <si>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</si>
  <si>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</si>
  <si>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</si>
  <si>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</si>
  <si>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</si>
  <si>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</si>
  <si>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</si>
  <si>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</si>
  <si>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</si>
  <si>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</si>
  <si>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</si>
  <si>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</si>
  <si>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</si>
  <si>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</si>
  <si>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</si>
  <si>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</si>
  <si>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</si>
  <si>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</si>
  <si>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</si>
  <si>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</si>
  <si>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</si>
  <si>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</si>
  <si>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</si>
  <si>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</si>
  <si>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</si>
  <si>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</si>
  <si>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</si>
  <si>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</si>
  <si>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</si>
  <si>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</si>
  <si>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</si>
  <si>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</si>
  <si>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</si>
  <si>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</si>
  <si>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</si>
  <si>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</si>
  <si>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</si>
  <si>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</si>
  <si>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</si>
  <si>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</si>
  <si>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</si>
  <si>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</si>
  <si>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</si>
  <si>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</si>
  <si>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</si>
  <si>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</si>
  <si>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</si>
  <si>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</si>
  <si>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</si>
  <si>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</si>
  <si>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</si>
  <si>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</si>
  <si>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</si>
  <si>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</si>
  <si>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</si>
  <si>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</si>
  <si>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</si>
  <si>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</si>
  <si>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</si>
  <si>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</si>
  <si>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</si>
  <si>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</si>
  <si>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</si>
  <si>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</si>
  <si>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</si>
  <si>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</si>
  <si>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</si>
  <si>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</si>
  <si>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</si>
  <si>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</si>
  <si>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</si>
  <si>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</si>
  <si>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</si>
  <si>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</si>
  <si>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</si>
  <si>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</si>
  <si>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</si>
  <si>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</si>
  <si>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</si>
  <si>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</si>
  <si>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</si>
  <si>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</si>
  <si>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</si>
  <si>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</si>
  <si>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</si>
  <si>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</si>
  <si>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</si>
  <si>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</si>
  <si>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</si>
  <si>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</si>
  <si>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</si>
  <si>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</si>
  <si>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</si>
  <si>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</si>
  <si>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</si>
  <si>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</si>
  <si>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</si>
  <si>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</si>
  <si>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</si>
  <si>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</si>
  <si>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</si>
  <si>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</si>
  <si>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</si>
  <si>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</si>
  <si>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</si>
  <si>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</si>
  <si>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</si>
  <si>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</si>
  <si>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</si>
  <si>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</si>
  <si>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</si>
  <si>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</si>
  <si>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</si>
  <si>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</si>
  <si>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</si>
  <si>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</si>
  <si>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</si>
  <si>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</si>
  <si>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</si>
  <si>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</si>
  <si>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</si>
  <si>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</si>
  <si>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</si>
  <si>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</si>
  <si>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</si>
  <si>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</si>
  <si>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</si>
  <si>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</si>
  <si>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</si>
  <si>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</si>
  <si>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</si>
  <si>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</si>
  <si>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</si>
  <si>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</si>
  <si>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</si>
  <si>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</si>
  <si>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</si>
  <si>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</si>
  <si>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</si>
  <si>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</si>
  <si>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</si>
  <si>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</si>
  <si>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</si>
  <si>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</si>
  <si>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</si>
  <si>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</si>
  <si>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</si>
  <si>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</si>
  <si>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</si>
  <si>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</si>
  <si>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</si>
  <si>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</si>
  <si>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</si>
  <si>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</si>
  <si>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</si>
  <si>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</si>
  <si>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</si>
  <si>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</si>
  <si>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</si>
  <si>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</si>
  <si>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</si>
  <si>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</si>
  <si>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</si>
  <si>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</si>
  <si>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</si>
  <si>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</si>
  <si>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</si>
  <si>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</si>
  <si>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</si>
  <si>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</si>
  <si>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</si>
  <si>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</si>
  <si>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</si>
  <si>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</si>
  <si>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</si>
  <si>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</si>
  <si>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</si>
  <si>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</si>
  <si>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</si>
  <si>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</si>
  <si>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</si>
  <si>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</si>
  <si>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</si>
  <si>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</si>
  <si>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</si>
  <si>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</si>
  <si>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</si>
  <si>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</si>
  <si>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</si>
  <si>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</si>
  <si>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</si>
  <si>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</si>
  <si>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</si>
  <si>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</si>
  <si>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</si>
  <si>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</si>
  <si>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</si>
  <si>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</si>
  <si>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</si>
  <si>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</si>
  <si>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</si>
  <si>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</si>
  <si>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</si>
  <si>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</si>
  <si>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</si>
  <si>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</si>
  <si>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</si>
  <si>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</si>
  <si>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</si>
  <si>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</si>
  <si>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</si>
  <si>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</si>
  <si>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</si>
  <si>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</si>
  <si>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</si>
  <si>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</si>
  <si>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</si>
  <si>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</si>
  <si>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</si>
  <si>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</si>
  <si>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</si>
  <si>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</si>
  <si>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</si>
  <si>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</si>
  <si>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</si>
  <si>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</si>
  <si>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</si>
  <si>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</si>
  <si>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</si>
  <si>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</si>
  <si>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</si>
  <si>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</si>
  <si>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</si>
  <si>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</si>
  <si>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</si>
  <si>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</si>
  <si>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</si>
  <si>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</si>
  <si>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</si>
  <si>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</si>
  <si>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</si>
  <si>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</si>
  <si>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</si>
  <si>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</si>
  <si>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</si>
  <si>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</si>
  <si>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</si>
  <si>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</si>
  <si>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</si>
  <si>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</si>
  <si>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</si>
  <si>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</si>
  <si>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</si>
  <si>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</si>
  <si>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</si>
  <si>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</si>
  <si>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</si>
  <si>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</si>
  <si>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</si>
  <si>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</si>
  <si>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</si>
  <si>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</si>
  <si>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</si>
  <si>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</si>
  <si>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</si>
  <si>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</si>
  <si>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</si>
  <si>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</si>
  <si>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</si>
  <si>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</si>
  <si>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</si>
  <si>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</si>
  <si>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</si>
  <si>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</si>
  <si>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</si>
  <si>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</si>
  <si>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</si>
  <si>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</si>
  <si>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</si>
  <si>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</si>
  <si>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</si>
  <si>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</si>
  <si>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</si>
  <si>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</si>
  <si>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</si>
  <si>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</si>
  <si>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</si>
  <si>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</si>
  <si>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</si>
  <si>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</si>
  <si>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</si>
  <si>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</si>
  <si>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</si>
  <si>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</si>
  <si>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</si>
  <si>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</si>
  <si>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</si>
  <si>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</si>
  <si>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</si>
  <si>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</si>
  <si>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</si>
  <si>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</si>
  <si>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</si>
  <si>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</si>
  <si>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</si>
  <si>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</si>
  <si>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</si>
  <si>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</si>
  <si>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</si>
  <si>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</si>
  <si>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</si>
  <si>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</si>
  <si>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</si>
  <si>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</si>
  <si>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</si>
  <si>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</si>
  <si>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</si>
  <si>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</si>
  <si>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</si>
  <si>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</si>
  <si>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</si>
  <si>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</si>
  <si>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</si>
  <si>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</si>
  <si>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</si>
  <si>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</si>
  <si>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</si>
  <si>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</si>
  <si>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</si>
  <si>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</si>
  <si>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</si>
  <si>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</si>
  <si>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</si>
  <si>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</si>
  <si>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</si>
  <si>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</si>
  <si>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</si>
  <si>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</si>
  <si>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</si>
  <si>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</si>
  <si>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</si>
  <si>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</si>
  <si>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</si>
  <si>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</si>
  <si>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</si>
  <si>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</si>
  <si>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</si>
  <si>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</si>
  <si>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</si>
  <si>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</si>
  <si>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</si>
  <si>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</si>
  <si>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</si>
  <si>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</si>
  <si>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</si>
  <si>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</si>
  <si>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</si>
  <si>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</si>
  <si>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</si>
  <si>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</si>
  <si>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</si>
  <si>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</si>
  <si>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</si>
  <si>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</si>
  <si>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</si>
  <si>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</si>
  <si>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</si>
  <si>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</si>
  <si>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</si>
  <si>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</si>
  <si>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</si>
  <si>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</si>
  <si>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</si>
  <si>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</si>
  <si>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</si>
  <si>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</si>
  <si>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</si>
  <si>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</si>
  <si>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</si>
  <si>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</si>
  <si>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</si>
  <si>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</si>
  <si>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</si>
  <si>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</si>
  <si>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</si>
  <si>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</si>
  <si>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</si>
  <si>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</si>
  <si>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</si>
  <si>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</si>
  <si>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</si>
  <si>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</si>
  <si>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</si>
  <si>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</si>
  <si>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</si>
  <si>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</si>
  <si>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</si>
  <si>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</si>
  <si>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</si>
  <si>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</si>
  <si>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</si>
  <si>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</si>
  <si>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</si>
  <si>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</si>
  <si>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</si>
  <si>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</si>
  <si>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</si>
  <si>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</si>
  <si>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</si>
  <si>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</si>
  <si>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</si>
  <si>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</si>
  <si>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</si>
  <si>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</si>
  <si>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</si>
  <si>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</si>
  <si>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</si>
  <si>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</si>
  <si>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</si>
  <si>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</si>
  <si>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</si>
  <si>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</si>
  <si>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</si>
  <si>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</si>
  <si>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</si>
  <si>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</si>
  <si>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</si>
  <si>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</si>
  <si>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</si>
  <si>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</si>
  <si>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</si>
  <si>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</si>
  <si>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</si>
  <si>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</si>
  <si>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</si>
  <si>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</si>
  <si>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</si>
  <si>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</si>
  <si>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</si>
  <si>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</si>
  <si>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</si>
  <si>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</si>
  <si>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</si>
  <si>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</si>
  <si>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</si>
  <si>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</si>
  <si>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</si>
  <si>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</si>
  <si>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</si>
  <si>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</si>
  <si>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</si>
  <si>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</si>
  <si>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</si>
  <si>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</si>
  <si>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</si>
  <si>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</si>
  <si>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</si>
  <si>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</si>
  <si>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</si>
  <si>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</si>
  <si>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</si>
  <si>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</si>
  <si>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</si>
  <si>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</si>
  <si>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</si>
  <si>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</si>
  <si>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</si>
  <si>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</si>
  <si>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</si>
  <si>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</si>
  <si>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</si>
  <si>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</si>
  <si>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</si>
  <si>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</si>
  <si>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</si>
  <si>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</si>
  <si>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</si>
  <si>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</si>
  <si>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</si>
  <si>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</si>
  <si>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</si>
  <si>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</si>
  <si>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</si>
  <si>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</si>
  <si>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</si>
  <si>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</si>
  <si>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</si>
  <si>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</si>
  <si>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</si>
  <si>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</si>
  <si>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</si>
  <si>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</si>
  <si>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</si>
  <si>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</si>
  <si>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</si>
  <si>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</si>
  <si>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</si>
  <si>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</si>
  <si>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</si>
  <si>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</si>
  <si>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</si>
  <si>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</si>
  <si>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</si>
  <si>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</si>
  <si>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</si>
  <si>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</si>
  <si>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</si>
  <si>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</si>
  <si>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</si>
  <si>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</si>
  <si>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</si>
  <si>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</si>
  <si>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</si>
  <si>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</si>
  <si>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</si>
  <si>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</si>
  <si>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</si>
  <si>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</si>
  <si>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</si>
  <si>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</si>
  <si>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</si>
  <si>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</si>
  <si>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</si>
  <si>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</si>
  <si>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</si>
  <si>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</si>
  <si>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</si>
  <si>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</si>
  <si>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</si>
  <si>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</si>
  <si>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</si>
  <si>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</si>
  <si>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</si>
  <si>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</si>
  <si>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</si>
  <si>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</si>
  <si>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</si>
  <si>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</si>
  <si>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</si>
  <si>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</si>
  <si>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</si>
  <si>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</si>
  <si>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</si>
  <si>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</si>
  <si>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</si>
  <si>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</si>
  <si>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</si>
  <si>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</si>
  <si>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</si>
  <si>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</si>
  <si>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</si>
  <si>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</si>
  <si>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</si>
  <si>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</si>
  <si>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</si>
  <si>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</si>
  <si>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</si>
  <si>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</si>
  <si>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</si>
  <si>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</si>
  <si>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</si>
  <si>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</si>
  <si>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</si>
  <si>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</si>
  <si>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</si>
  <si>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</si>
  <si>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</si>
  <si>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</si>
  <si>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</si>
  <si>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</si>
  <si>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</si>
  <si>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</si>
  <si>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</si>
  <si>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</si>
  <si>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</si>
  <si>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</si>
  <si>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</si>
  <si>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</si>
  <si>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</si>
  <si>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</si>
  <si>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</si>
  <si>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</si>
  <si>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</si>
  <si>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</si>
  <si>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</si>
  <si>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</si>
  <si>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</si>
  <si>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</si>
  <si>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</si>
  <si>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</si>
  <si>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</si>
  <si>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</si>
  <si>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</si>
  <si>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</si>
  <si>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</si>
  <si>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</si>
  <si>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</si>
  <si>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</si>
  <si>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</si>
  <si>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</si>
  <si>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</si>
  <si>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</si>
  <si>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</si>
  <si>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</si>
  <si>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</si>
  <si>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</si>
  <si>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</si>
  <si>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</si>
  <si>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</si>
  <si>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</si>
  <si>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</si>
  <si>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</si>
  <si>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</si>
  <si>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</si>
  <si>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</si>
  <si>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</si>
  <si>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</si>
  <si>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</si>
  <si>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</si>
  <si>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</si>
  <si>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</si>
  <si>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</si>
  <si>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</si>
  <si>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</si>
  <si>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</si>
  <si>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</si>
  <si>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</si>
  <si>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</si>
  <si>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</si>
  <si>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</si>
  <si>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</si>
  <si>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</si>
  <si>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</si>
  <si>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</si>
  <si>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</si>
  <si>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</si>
  <si>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</si>
  <si>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</si>
  <si>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</si>
  <si>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</si>
  <si>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</si>
  <si>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</si>
  <si>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</si>
  <si>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</si>
  <si>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</si>
  <si>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</si>
  <si>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</si>
  <si>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</si>
  <si>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</si>
  <si>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</si>
  <si>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</si>
  <si>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</si>
  <si>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</si>
  <si>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</si>
  <si>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</si>
  <si>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</si>
  <si>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</si>
  <si>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</si>
  <si>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</si>
  <si>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</si>
  <si>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</si>
  <si>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</si>
  <si>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</si>
  <si>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</si>
  <si>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</si>
  <si>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</si>
  <si>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</si>
  <si>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</si>
  <si>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</si>
  <si>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</si>
  <si>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</si>
  <si>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</si>
  <si>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</si>
  <si>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</si>
  <si>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</si>
  <si>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</si>
  <si>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</si>
  <si>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</si>
  <si>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</si>
  <si>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</si>
  <si>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</si>
  <si>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</si>
  <si>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</si>
  <si>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</si>
  <si>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</si>
  <si>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</si>
  <si>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</si>
  <si>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</si>
  <si>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</si>
  <si>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</si>
  <si>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</si>
  <si>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</si>
  <si>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</si>
  <si>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</si>
  <si>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</si>
  <si>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</si>
  <si>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</si>
  <si>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</si>
  <si>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</si>
  <si>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</si>
  <si>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</si>
  <si>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</si>
  <si>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</si>
  <si>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</si>
  <si>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</si>
  <si>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</si>
  <si>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</si>
  <si>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</si>
  <si>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</si>
  <si>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</si>
  <si>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</si>
  <si>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</si>
  <si>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</si>
  <si>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</si>
  <si>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</si>
  <si>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</si>
  <si>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</si>
  <si>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</si>
  <si>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</si>
  <si>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</si>
  <si>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</si>
  <si>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</si>
  <si>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</si>
  <si>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</si>
  <si>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</si>
  <si>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</si>
  <si>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</si>
  <si>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</si>
  <si>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</si>
  <si>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</si>
  <si>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</si>
  <si>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</si>
  <si>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</si>
  <si>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</si>
  <si>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</si>
  <si>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</si>
  <si>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</si>
  <si>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</si>
  <si>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</si>
  <si>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</si>
  <si>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</si>
  <si>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</si>
  <si>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</si>
  <si>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</si>
  <si>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</si>
  <si>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</si>
  <si>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</si>
  <si>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</si>
  <si>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</si>
  <si>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</si>
  <si>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</si>
  <si>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</si>
  <si>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</si>
  <si>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</si>
  <si>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</si>
  <si>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</si>
  <si>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</si>
  <si>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</si>
  <si>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</si>
  <si>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</si>
  <si>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</si>
  <si>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</si>
  <si>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</si>
  <si>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</si>
  <si>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</si>
  <si>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</si>
  <si>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</si>
  <si>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</si>
  <si>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</si>
  <si>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</si>
  <si>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</si>
  <si>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</si>
  <si>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</si>
  <si>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</si>
  <si>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</si>
  <si>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</si>
  <si>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</si>
  <si>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</si>
  <si>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</si>
  <si>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</si>
  <si>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</si>
  <si>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</si>
  <si>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</si>
  <si>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</si>
  <si>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</si>
  <si>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</si>
  <si>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</si>
  <si>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</si>
  <si>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</si>
  <si>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</si>
  <si>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</si>
  <si>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</si>
  <si>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</si>
  <si>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</si>
  <si>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</si>
  <si>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</si>
  <si>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</si>
  <si>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</si>
  <si>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</si>
  <si>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</si>
  <si>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</si>
  <si>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</si>
  <si>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</si>
  <si>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</si>
  <si>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</si>
  <si>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</si>
  <si>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</si>
  <si>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</si>
  <si>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</si>
  <si>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</si>
  <si>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</si>
  <si>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</si>
  <si>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</si>
  <si>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</si>
  <si>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</si>
  <si>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</si>
  <si>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</si>
  <si>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</si>
  <si>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</si>
  <si>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</si>
  <si>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</si>
  <si>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</si>
  <si>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</si>
  <si>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</si>
  <si>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</si>
  <si>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</si>
  <si>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</si>
  <si>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</si>
  <si>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</si>
  <si>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</si>
  <si>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</si>
  <si>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</si>
  <si>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</si>
  <si>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</si>
  <si>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</si>
  <si>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</si>
  <si>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</si>
  <si>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</si>
  <si>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</si>
  <si>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</si>
  <si>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</si>
  <si>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</si>
  <si>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</si>
  <si>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</si>
  <si>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</si>
  <si>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</si>
  <si>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</si>
  <si>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</si>
  <si>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</si>
  <si>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</si>
  <si>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</si>
  <si>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</si>
  <si>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</si>
  <si>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</si>
  <si>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</si>
  <si>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</si>
  <si>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</si>
  <si>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</si>
  <si>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</si>
  <si>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</si>
  <si>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</si>
  <si>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</si>
  <si>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</si>
  <si>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</si>
  <si>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</si>
  <si>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</si>
  <si>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</si>
  <si>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</si>
  <si>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</si>
  <si>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</si>
  <si>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</si>
  <si>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</si>
  <si>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</si>
  <si>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</si>
  <si>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</si>
  <si>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</si>
  <si>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</si>
  <si>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</si>
  <si>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</si>
  <si>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</si>
  <si>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</si>
  <si>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</si>
  <si>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</si>
  <si>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</si>
  <si>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</si>
  <si>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</si>
  <si>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</si>
  <si>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</si>
  <si>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</si>
  <si>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</si>
  <si>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</si>
  <si>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</si>
  <si>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</si>
  <si>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</si>
  <si>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</si>
  <si>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</si>
  <si>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</si>
  <si>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</si>
  <si>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</si>
  <si>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</si>
  <si>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</si>
  <si>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</si>
  <si>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</si>
  <si>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</si>
  <si>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</si>
  <si>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</si>
  <si>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</si>
  <si>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</si>
  <si>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</si>
  <si>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</si>
  <si>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</si>
  <si>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</si>
  <si>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</si>
  <si>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</si>
  <si>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</si>
  <si>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</si>
  <si>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</si>
  <si>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</si>
  <si>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</si>
  <si>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</si>
  <si>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</si>
  <si>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</si>
  <si>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</si>
  <si>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</si>
  <si>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</si>
  <si>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</si>
  <si>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</si>
  <si>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</si>
  <si>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</si>
  <si>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</si>
  <si>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</si>
  <si>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</si>
  <si>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</si>
  <si>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</si>
  <si>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</si>
  <si>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</si>
  <si>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</si>
  <si>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</si>
  <si>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</si>
  <si>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</si>
  <si>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</si>
  <si>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</si>
  <si>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</si>
  <si>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</si>
  <si>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</si>
  <si>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</si>
  <si>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</si>
  <si>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</si>
  <si>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</si>
  <si>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</si>
  <si>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</si>
  <si>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</si>
  <si>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</si>
  <si>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</si>
  <si>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</si>
  <si>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</si>
  <si>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</si>
  <si>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</si>
  <si>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</si>
  <si>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</si>
  <si>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</si>
  <si>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</si>
  <si>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</si>
  <si>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</si>
  <si>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</si>
  <si>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</si>
  <si>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</si>
  <si>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</si>
  <si>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</si>
  <si>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</si>
  <si>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</si>
  <si>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</si>
  <si>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</si>
  <si>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</si>
  <si>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</si>
  <si>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</si>
  <si>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</si>
  <si>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</si>
  <si>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</si>
  <si>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</si>
  <si>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</si>
  <si>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</si>
  <si>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</si>
  <si>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</si>
  <si>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</si>
  <si>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</si>
  <si>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</si>
  <si>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</si>
  <si>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</si>
  <si>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</si>
  <si>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</si>
  <si>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</si>
  <si>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</si>
  <si>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</si>
  <si>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</si>
  <si>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</si>
  <si>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</si>
  <si>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</si>
  <si>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</si>
  <si>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</si>
  <si>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</si>
  <si>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</si>
  <si>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</si>
  <si>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</si>
  <si>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</si>
  <si>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</si>
  <si>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</si>
  <si>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</si>
  <si>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</si>
  <si>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</si>
  <si>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</si>
  <si>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</si>
  <si>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</si>
  <si>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</si>
  <si>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</si>
  <si>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</si>
  <si>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</si>
  <si>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</si>
  <si>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</si>
  <si>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</si>
  <si>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</si>
  <si>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</si>
  <si>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</si>
  <si>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</si>
  <si>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</si>
  <si>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</si>
  <si>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</si>
  <si>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</si>
  <si>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</si>
  <si>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</si>
  <si>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</si>
  <si>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</si>
  <si>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</si>
  <si>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</si>
  <si>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</si>
  <si>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</si>
  <si>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</si>
  <si>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</si>
  <si>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</si>
  <si>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</si>
  <si>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</si>
  <si>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</si>
  <si>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</si>
  <si>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</si>
  <si>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</si>
  <si>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</si>
  <si>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</si>
  <si>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</si>
  <si>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</si>
  <si>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</si>
  <si>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</si>
  <si>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</si>
  <si>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</si>
  <si>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</si>
  <si>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</si>
  <si>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</si>
  <si>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</si>
  <si>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</si>
  <si>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</si>
  <si>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</si>
  <si>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</si>
  <si>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</si>
  <si>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</si>
  <si>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</si>
  <si>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</si>
  <si>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</si>
  <si>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</si>
  <si>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</si>
  <si>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</si>
  <si>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</si>
  <si>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</si>
  <si>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</si>
  <si>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</si>
  <si>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</si>
  <si>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</si>
  <si>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</si>
  <si>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</si>
  <si>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</si>
  <si>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</si>
  <si>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</si>
  <si>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</si>
  <si>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</si>
  <si>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</si>
  <si>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</si>
  <si>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</si>
  <si>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</si>
  <si>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</si>
  <si>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</si>
  <si>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</si>
  <si>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</si>
  <si>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</si>
  <si>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</si>
  <si>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</si>
  <si>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</si>
  <si>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</si>
  <si>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</si>
  <si>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</si>
  <si>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</si>
  <si>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</si>
  <si>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</si>
  <si>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</si>
  <si>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</si>
  <si>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</si>
  <si>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</si>
  <si>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</si>
  <si>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</si>
  <si>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</si>
  <si>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</si>
  <si>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</si>
  <si>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</si>
  <si>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</si>
  <si>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</si>
  <si>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</si>
  <si>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</si>
  <si>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</si>
  <si>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</si>
  <si>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</si>
  <si>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</si>
  <si>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</si>
  <si>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</si>
  <si>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</si>
  <si>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</si>
  <si>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</si>
  <si>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</si>
  <si>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</si>
  <si>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</si>
  <si>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</si>
  <si>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</si>
  <si>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</si>
  <si>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</si>
  <si>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</si>
  <si>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</si>
  <si>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</si>
  <si>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</si>
  <si>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</si>
  <si>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</si>
  <si>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</si>
  <si>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</si>
  <si>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</si>
  <si>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</si>
  <si>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</si>
  <si>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</si>
  <si>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</si>
  <si>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</si>
  <si>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</si>
  <si>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</si>
  <si>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</si>
  <si>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</si>
  <si>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</si>
  <si>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</si>
  <si>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</si>
  <si>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</si>
  <si>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</si>
  <si>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</si>
  <si>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</si>
  <si>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</si>
  <si>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</si>
  <si>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</si>
  <si>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</si>
  <si>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</si>
  <si>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</si>
  <si>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</si>
  <si>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</si>
  <si>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</si>
  <si>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</si>
  <si>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</si>
  <si>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</si>
  <si>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</si>
  <si>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</si>
  <si>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</si>
  <si>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</si>
  <si>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</si>
  <si>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</si>
  <si>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</si>
  <si>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</si>
  <si>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</si>
  <si>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</si>
  <si>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</si>
  <si>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</si>
  <si>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</si>
  <si>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</si>
  <si>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</si>
  <si>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</si>
  <si>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</si>
  <si>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</si>
  <si>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</si>
  <si>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</si>
  <si>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</si>
  <si>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</si>
  <si>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</si>
  <si>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</si>
  <si>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</si>
  <si>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</si>
  <si>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</si>
  <si>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</si>
  <si>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</si>
  <si>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</si>
  <si>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</si>
  <si>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</si>
  <si>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</si>
  <si>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</si>
  <si>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</si>
  <si>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</si>
  <si>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</si>
  <si>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</si>
  <si>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</si>
  <si>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</si>
  <si>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</si>
  <si>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</si>
  <si>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</si>
  <si>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</si>
  <si>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</si>
  <si>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</si>
  <si>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</si>
  <si>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</si>
  <si>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</si>
  <si>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</si>
  <si>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</si>
  <si>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</si>
  <si>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</si>
  <si>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</si>
  <si>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</si>
  <si>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</si>
  <si>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</si>
  <si>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</si>
  <si>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</si>
  <si>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</si>
  <si>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</si>
  <si>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</si>
  <si>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</si>
  <si>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</si>
  <si>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</si>
  <si>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</si>
  <si>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</si>
  <si>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</si>
  <si>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</si>
  <si>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</si>
  <si>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</si>
  <si>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</si>
  <si>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</si>
  <si>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</si>
  <si>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</si>
  <si>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</si>
  <si>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</si>
  <si>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</si>
  <si>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</si>
  <si>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</si>
  <si>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</si>
  <si>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</si>
  <si>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</si>
  <si>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</si>
  <si>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</si>
  <si>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</si>
  <si>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</si>
  <si>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</si>
  <si>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</si>
  <si>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</si>
  <si>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</si>
  <si>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</si>
  <si>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</si>
  <si>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</si>
  <si>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</si>
  <si>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</si>
  <si>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</si>
  <si>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</si>
  <si>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</si>
  <si>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</si>
  <si>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</si>
  <si>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</si>
  <si>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</si>
  <si>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</si>
  <si>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</si>
  <si>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</si>
  <si>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</si>
  <si>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</si>
  <si>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</si>
  <si>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</si>
  <si>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</si>
  <si>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</si>
  <si>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</si>
  <si>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</si>
  <si>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</si>
  <si>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</si>
  <si>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</si>
  <si>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</si>
  <si>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</si>
  <si>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</si>
  <si>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</si>
  <si>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</si>
  <si>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</si>
  <si>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</si>
  <si>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</si>
  <si>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</si>
  <si>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</si>
  <si>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</si>
  <si>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</si>
  <si>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</si>
  <si>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</si>
  <si>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</si>
  <si>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</si>
  <si>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</si>
  <si>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</si>
  <si>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</si>
  <si>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</si>
  <si>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</si>
  <si>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</si>
  <si>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</si>
  <si>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</si>
  <si>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</si>
  <si>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</si>
  <si>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</si>
  <si>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</si>
  <si>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</si>
  <si>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</si>
  <si>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</si>
  <si>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</si>
  <si>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</si>
  <si>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</si>
  <si>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</si>
  <si>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</si>
  <si>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</si>
  <si>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</si>
  <si>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</si>
  <si>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</si>
  <si>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</si>
  <si>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</si>
  <si>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</si>
  <si>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</si>
  <si>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</si>
  <si>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</si>
  <si>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</si>
  <si>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</si>
  <si>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</si>
  <si>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</si>
  <si>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</si>
  <si>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</si>
  <si>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</si>
  <si>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</si>
  <si>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</si>
  <si>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</si>
  <si>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</si>
  <si>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</si>
  <si>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</si>
  <si>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</si>
  <si>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</si>
  <si>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</si>
  <si>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</si>
  <si>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</si>
  <si>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</si>
  <si>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</si>
  <si>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</si>
  <si>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</si>
  <si>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</si>
  <si>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</si>
  <si>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</si>
  <si>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</si>
  <si>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</si>
  <si>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</si>
  <si>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</si>
  <si>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</si>
  <si>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</si>
  <si>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</si>
  <si>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</si>
  <si>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</si>
  <si>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</si>
  <si>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</si>
  <si>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</si>
  <si>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</si>
  <si>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</si>
  <si>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</si>
  <si>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</si>
  <si>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</si>
  <si>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</si>
  <si>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</si>
  <si>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</si>
  <si>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</si>
  <si>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</si>
  <si>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</si>
  <si>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</si>
  <si>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</si>
  <si>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</si>
  <si>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</si>
  <si>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</si>
  <si>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</si>
  <si>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</si>
  <si>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</si>
  <si>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</si>
  <si>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</si>
  <si>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</si>
  <si>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</si>
  <si>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</si>
  <si>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</si>
  <si>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</si>
  <si>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</si>
  <si>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</si>
  <si>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</si>
  <si>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</si>
  <si>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</si>
  <si>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</si>
  <si>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</si>
  <si>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</si>
  <si>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</si>
  <si>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</si>
  <si>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</si>
  <si>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</si>
  <si>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</si>
  <si>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</si>
  <si>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</si>
  <si>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</si>
  <si>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</si>
  <si>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</si>
  <si>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</si>
  <si>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</si>
  <si>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</si>
  <si>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</si>
  <si>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</si>
  <si>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</si>
  <si>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</si>
  <si>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</si>
  <si>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</si>
  <si>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</si>
  <si>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</si>
  <si>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</si>
  <si>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</si>
  <si>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</si>
  <si>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</si>
  <si>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</si>
  <si>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</si>
  <si>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</si>
  <si>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</si>
  <si>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</si>
  <si>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</si>
  <si>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</si>
  <si>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</si>
  <si>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</si>
  <si>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</si>
  <si>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</si>
  <si>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</si>
  <si>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</si>
  <si>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</si>
  <si>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</si>
  <si>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</si>
  <si>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</si>
  <si>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</si>
  <si>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</si>
  <si>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</si>
  <si>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</si>
  <si>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</si>
  <si>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</si>
  <si>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</si>
  <si>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</si>
  <si>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</si>
  <si>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</si>
  <si>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</si>
  <si>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</si>
  <si>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</si>
  <si>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</si>
  <si>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</si>
  <si>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</si>
  <si>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</si>
  <si>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</si>
  <si>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</si>
  <si>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</si>
  <si>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</si>
  <si>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</si>
  <si>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</si>
  <si>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</si>
  <si>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</si>
  <si>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</si>
  <si>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</si>
  <si>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</si>
  <si>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</si>
  <si>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</si>
  <si>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</si>
  <si>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</si>
  <si>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</si>
  <si>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</si>
  <si>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</si>
  <si>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</si>
  <si>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</si>
  <si>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</si>
  <si>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</si>
  <si>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</si>
  <si>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</si>
  <si>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</si>
  <si>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</si>
  <si>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</si>
  <si>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</si>
  <si>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</si>
  <si>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</si>
  <si>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</si>
  <si>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</si>
  <si>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</si>
  <si>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</si>
  <si>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</si>
  <si>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</si>
  <si>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</si>
  <si>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</si>
  <si>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</si>
  <si>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</si>
  <si>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</si>
  <si>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</si>
  <si>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</si>
  <si>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</si>
  <si>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</si>
  <si>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</si>
  <si>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</si>
  <si>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</si>
  <si>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</si>
  <si>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</si>
  <si>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</si>
  <si>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</si>
  <si>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</si>
  <si>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</si>
  <si>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</si>
  <si>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</si>
  <si>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</si>
  <si>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</si>
  <si>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</si>
  <si>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</si>
  <si>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</si>
  <si>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</si>
  <si>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</si>
  <si>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</si>
  <si>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</si>
  <si>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</si>
  <si>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</si>
  <si>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</si>
  <si>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</si>
  <si>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</si>
  <si>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</si>
  <si>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</si>
  <si>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</si>
  <si>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</si>
  <si>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</si>
  <si>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</si>
  <si>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</si>
  <si>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</si>
  <si>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</si>
  <si>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</si>
  <si>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</si>
  <si>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</si>
  <si>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</si>
  <si>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</si>
  <si>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</si>
  <si>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</si>
  <si>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</si>
  <si>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</si>
  <si>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</si>
  <si>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</si>
  <si>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</si>
  <si>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</si>
  <si>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</si>
  <si>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</si>
  <si>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</si>
  <si>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</si>
  <si>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</si>
  <si>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</si>
  <si>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</si>
  <si>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</si>
  <si>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</si>
  <si>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</si>
  <si>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</si>
  <si>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</si>
  <si>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</si>
  <si>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</si>
  <si>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</si>
  <si>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</si>
  <si>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</si>
  <si>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</si>
  <si>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</si>
  <si>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</si>
  <si>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</si>
  <si>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</si>
  <si>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</si>
  <si>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</si>
  <si>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</si>
  <si>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</si>
  <si>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</si>
  <si>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</si>
  <si>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</si>
  <si>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</si>
  <si>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</si>
  <si>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</si>
  <si>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</si>
  <si>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</si>
  <si>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</si>
  <si>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</si>
  <si>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</si>
  <si>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</si>
  <si>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</si>
  <si>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</si>
  <si>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</si>
  <si>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</si>
  <si>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</si>
  <si>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</si>
  <si>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</si>
  <si>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</si>
  <si>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</si>
  <si>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</si>
  <si>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</si>
  <si>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</si>
  <si>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</si>
  <si>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</si>
  <si>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</si>
  <si>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</si>
  <si>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</si>
  <si>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</si>
  <si>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</si>
  <si>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</si>
  <si>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</si>
  <si>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</si>
  <si>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</si>
  <si>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</si>
  <si>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</si>
  <si>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</si>
  <si>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</si>
  <si>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</si>
  <si>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</si>
  <si>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</si>
  <si>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</si>
  <si>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</si>
  <si>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</si>
  <si>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</si>
  <si>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</si>
  <si>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</si>
  <si>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</si>
  <si>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</si>
  <si>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</si>
  <si>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</si>
  <si>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</si>
  <si>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</si>
  <si>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</si>
  <si>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</si>
  <si>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</si>
  <si>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</si>
  <si>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</si>
  <si>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</si>
  <si>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</si>
  <si>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</si>
  <si>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</si>
  <si>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</si>
  <si>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</si>
  <si>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</si>
  <si>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</si>
  <si>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</si>
  <si>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</si>
  <si>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</si>
  <si>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</si>
  <si>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</si>
  <si>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</si>
  <si>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</si>
  <si>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</si>
  <si>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</si>
  <si>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</si>
  <si>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</si>
  <si>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</si>
  <si>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</si>
  <si>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</si>
  <si>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</si>
  <si>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</si>
  <si>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</si>
  <si>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</si>
  <si>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</si>
  <si>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</si>
  <si>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</si>
  <si>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</si>
  <si>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</si>
  <si>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</si>
  <si>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</si>
  <si>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</si>
  <si>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</si>
  <si>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</si>
  <si>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</si>
  <si>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</si>
  <si>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</si>
  <si>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</si>
  <si>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</si>
  <si>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</si>
  <si>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</si>
  <si>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</si>
  <si>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</si>
  <si>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</si>
  <si>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</si>
  <si>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</si>
  <si>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</si>
  <si>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</si>
  <si>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</si>
  <si>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</si>
  <si>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</si>
  <si>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</si>
  <si>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</si>
  <si>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</si>
  <si>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</si>
  <si>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</si>
  <si>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</si>
  <si>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</si>
  <si>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</si>
  <si>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</si>
  <si>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</si>
  <si>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</si>
  <si>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</si>
  <si>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</si>
  <si>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</si>
  <si>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</si>
  <si>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</si>
  <si>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</si>
  <si>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</si>
  <si>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</si>
  <si>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</si>
  <si>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</si>
  <si>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</si>
  <si>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</si>
  <si>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</si>
  <si>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</si>
  <si>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</si>
  <si>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</si>
  <si>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</si>
  <si>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</si>
  <si>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</si>
  <si>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</si>
  <si>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</si>
  <si>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</si>
  <si>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</si>
  <si>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</si>
  <si>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</si>
  <si>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</si>
  <si>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</si>
  <si>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</si>
  <si>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</si>
  <si>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</si>
  <si>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</si>
  <si>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</si>
  <si>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</si>
  <si>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</si>
  <si>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</si>
  <si>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</si>
  <si>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</si>
  <si>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</si>
  <si>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</si>
  <si>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</si>
  <si>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</si>
  <si>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</si>
  <si>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</si>
  <si>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</si>
  <si>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</si>
  <si>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</si>
  <si>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</si>
  <si>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</si>
  <si>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</si>
  <si>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</si>
  <si>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</si>
  <si>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</si>
  <si>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</si>
  <si>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</si>
  <si>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</si>
  <si>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</si>
  <si>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</si>
  <si>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</si>
  <si>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</si>
  <si>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</si>
  <si>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</si>
  <si>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</si>
  <si>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</si>
  <si>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</si>
  <si>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渤海银行北京分行</t>
    <phoneticPr fontId="6" type="noConversion"/>
  </si>
  <si>
    <t>抵押</t>
  </si>
  <si>
    <t>房地产抵押价值</t>
  </si>
  <si>
    <t>北京市</t>
  </si>
  <si>
    <r>
      <rPr>
        <sz val="12"/>
        <color theme="9" tint="-0.249977111117893"/>
        <rFont val="宋体"/>
        <family val="3"/>
        <charset val="134"/>
      </rPr>
      <t>丰台区南顶村</t>
    </r>
    <r>
      <rPr>
        <sz val="12"/>
        <color theme="9" tint="-0.249977111117893"/>
        <rFont val="Arial"/>
        <family val="2"/>
      </rPr>
      <t>58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层配套用房</t>
    </r>
    <phoneticPr fontId="6" type="noConversion"/>
  </si>
  <si>
    <t>出让</t>
  </si>
  <si>
    <t>企业</t>
  </si>
  <si>
    <t>商业、地下商业</t>
    <phoneticPr fontId="6" type="noConversion"/>
  </si>
  <si>
    <r>
      <rPr>
        <sz val="12"/>
        <color theme="9" tint="-0.249977111117893"/>
        <rFont val="宋体"/>
        <family val="3"/>
        <charset val="134"/>
      </rPr>
      <t>商业、地下商业</t>
    </r>
    <r>
      <rPr>
        <sz val="12"/>
        <color theme="9" tint="-0.249977111117893"/>
        <rFont val="Arial"/>
        <family val="2"/>
      </rPr>
      <t>25.46</t>
    </r>
    <phoneticPr fontId="6" type="noConversion"/>
  </si>
  <si>
    <t>否</t>
  </si>
  <si>
    <t>复印件</t>
  </si>
  <si>
    <t>商业项目</t>
  </si>
  <si>
    <t>酒店</t>
  </si>
  <si>
    <t>现房</t>
  </si>
  <si>
    <t>正常</t>
  </si>
  <si>
    <t>正常</t>
    <phoneticPr fontId="6" type="noConversion"/>
  </si>
  <si>
    <t>通路</t>
  </si>
  <si>
    <t>通电</t>
  </si>
  <si>
    <t>通讯</t>
  </si>
  <si>
    <t>通上水</t>
  </si>
  <si>
    <t>通下水</t>
  </si>
  <si>
    <t>燃气</t>
  </si>
  <si>
    <t>地上</t>
  </si>
  <si>
    <t>地下</t>
  </si>
  <si>
    <t>办公楼</t>
  </si>
  <si>
    <t>是</t>
  </si>
  <si>
    <t>办公用房</t>
  </si>
  <si>
    <t>成新度</t>
  </si>
  <si>
    <r>
      <rPr>
        <sz val="11"/>
        <color theme="1"/>
        <rFont val="宋体"/>
        <family val="3"/>
        <charset val="134"/>
      </rPr>
      <t>租赁面积</t>
    </r>
    <phoneticPr fontId="143" type="noConversion"/>
  </si>
  <si>
    <r>
      <rPr>
        <sz val="11"/>
        <color theme="1"/>
        <rFont val="宋体"/>
        <family val="3"/>
        <charset val="134"/>
      </rPr>
      <t>建筑面积</t>
    </r>
    <phoneticPr fontId="143" type="noConversion"/>
  </si>
  <si>
    <r>
      <rPr>
        <sz val="11"/>
        <color theme="1"/>
        <rFont val="宋体"/>
        <family val="3"/>
        <charset val="134"/>
      </rPr>
      <t>起租日期</t>
    </r>
    <phoneticPr fontId="143" type="noConversion"/>
  </si>
  <si>
    <r>
      <rPr>
        <sz val="11"/>
        <color theme="1"/>
        <rFont val="宋体"/>
        <family val="3"/>
        <charset val="134"/>
      </rPr>
      <t>终止日期</t>
    </r>
    <phoneticPr fontId="143" type="noConversion"/>
  </si>
  <si>
    <r>
      <rPr>
        <sz val="11"/>
        <color theme="1"/>
        <rFont val="宋体"/>
        <family val="3"/>
        <charset val="134"/>
      </rPr>
      <t>剩余租赁期</t>
    </r>
    <phoneticPr fontId="143" type="noConversion"/>
  </si>
  <si>
    <r>
      <rPr>
        <sz val="11"/>
        <color theme="1"/>
        <rFont val="宋体"/>
        <family val="3"/>
        <charset val="134"/>
      </rPr>
      <t>第一年租金</t>
    </r>
    <phoneticPr fontId="143" type="noConversion"/>
  </si>
  <si>
    <r>
      <rPr>
        <sz val="11"/>
        <color theme="1"/>
        <rFont val="宋体"/>
        <family val="3"/>
        <charset val="134"/>
      </rPr>
      <t>增长率</t>
    </r>
    <phoneticPr fontId="143" type="noConversion"/>
  </si>
  <si>
    <r>
      <rPr>
        <sz val="11"/>
        <color theme="1"/>
        <rFont val="宋体"/>
        <family val="3"/>
        <charset val="134"/>
      </rPr>
      <t>酒店</t>
    </r>
    <phoneticPr fontId="143" type="noConversion"/>
  </si>
  <si>
    <r>
      <rPr>
        <sz val="11"/>
        <color theme="1"/>
        <rFont val="宋体"/>
        <family val="3"/>
        <charset val="134"/>
      </rPr>
      <t>办公</t>
    </r>
    <phoneticPr fontId="143" type="noConversion"/>
  </si>
  <si>
    <t>住宿餐饮用地</t>
  </si>
  <si>
    <t>不临58条商业街</t>
  </si>
  <si>
    <t>六通一平</t>
  </si>
  <si>
    <t>缺少</t>
  </si>
  <si>
    <t>通热</t>
  </si>
  <si>
    <t>按公示增长率计算</t>
  </si>
  <si>
    <t>楼层修正</t>
  </si>
  <si>
    <t>远邦控股集团有限公司</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</si>
  <si>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00178</t>
    </r>
    <r>
      <rPr>
        <sz val="12"/>
        <color theme="9" tint="-0.249977111117893"/>
        <rFont val="宋体"/>
        <family val="3"/>
        <charset val="134"/>
      </rPr>
      <t>号</t>
    </r>
    <r>
      <rPr>
        <sz val="12"/>
        <color theme="9" tint="-0.249977111117893"/>
        <rFont val="Arial"/>
        <family val="2"/>
      </rPr>
      <t>]</t>
    </r>
    <phoneticPr fontId="6" type="noConversion"/>
  </si>
  <si>
    <t>合同租金</t>
    <phoneticPr fontId="143" type="noConversion"/>
  </si>
  <si>
    <t>收益法5层</t>
    <phoneticPr fontId="16" type="noConversion"/>
  </si>
  <si>
    <t>押一</t>
  </si>
  <si>
    <t>钢混</t>
  </si>
  <si>
    <t>非生产用房</t>
  </si>
  <si>
    <t>收益法</t>
  </si>
  <si>
    <t>未包含在土地购买价格中</t>
  </si>
  <si>
    <t>全部缴纳</t>
  </si>
  <si>
    <t>已包含在土地取得成本中</t>
  </si>
  <si>
    <t>项目全部</t>
  </si>
  <si>
    <t>成本法</t>
  </si>
  <si>
    <t>收益法（汇总）</t>
  </si>
  <si>
    <t>成本比率</t>
  </si>
  <si>
    <t>一般</t>
  </si>
  <si>
    <t>较好</t>
  </si>
  <si>
    <t>较差</t>
  </si>
  <si>
    <t>好</t>
  </si>
  <si>
    <t>地块名称</t>
  </si>
  <si>
    <t>城市</t>
  </si>
  <si>
    <t>用地性质</t>
  </si>
  <si>
    <t>区县</t>
  </si>
  <si>
    <t>建设用地面积(㎡)</t>
  </si>
  <si>
    <t>规划建筑面积(㎡)</t>
  </si>
  <si>
    <t>容积率</t>
  </si>
  <si>
    <t>成交日期</t>
  </si>
  <si>
    <t>受让单位</t>
  </si>
  <si>
    <t>成交价(万元)</t>
  </si>
  <si>
    <t>成交每亩价(万元/亩)</t>
  </si>
  <si>
    <t>成交楼面价(元/㎡)</t>
  </si>
  <si>
    <t>溢价率</t>
  </si>
  <si>
    <t>商业/办公用地</t>
  </si>
  <si>
    <t>丰台区</t>
  </si>
  <si>
    <t>丰台区花乡四合庄(中关村科技园丰台园东区三期)1516-12-A地块</t>
  </si>
  <si>
    <t>2015-07-15</t>
  </si>
  <si>
    <t>北京金丰融晟投资管理有限公司</t>
  </si>
  <si>
    <t>商业</t>
    <phoneticPr fontId="31" type="noConversion"/>
  </si>
  <si>
    <t>商业、办公</t>
  </si>
  <si>
    <t>商业、办公</t>
    <phoneticPr fontId="31" type="noConversion"/>
  </si>
  <si>
    <t>七通</t>
  </si>
  <si>
    <t>高速</t>
    <phoneticPr fontId="31" type="noConversion"/>
  </si>
  <si>
    <t>快速</t>
    <phoneticPr fontId="31" type="noConversion"/>
  </si>
  <si>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</si>
  <si>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</si>
  <si>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</si>
  <si>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</si>
  <si>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</si>
  <si>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</si>
  <si>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</si>
  <si>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</si>
  <si>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</si>
  <si>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差</t>
  </si>
  <si>
    <t>丰台区丽泽金融商务区南区D-07、D-08地块</t>
  </si>
  <si>
    <t>2017-05-18</t>
  </si>
  <si>
    <t>北京润置商业运营管理有限公司、北京首都开发股份有限公司、北京宸茂置业有限公司和北京金唐天润传媒发展有限公司联合体</t>
  </si>
  <si>
    <t>估价对象位于大红门商圈，周边商业氛围成熟度一般，人流量一般，周边有京港城生活广场、明珠商贸城等商业项目，商业繁华度一般</t>
    <phoneticPr fontId="25" type="noConversion"/>
  </si>
  <si>
    <t>估价对象周边道路状况、公共交通通达情况：地铁10号线及71、511路等公交车、停车便捷程度，综合评价交通便捷度较好</t>
    <phoneticPr fontId="41" type="noConversion"/>
  </si>
  <si>
    <t>估价对象所在区域公共配套设施齐备情况较好</t>
    <phoneticPr fontId="41" type="noConversion"/>
  </si>
  <si>
    <t>估价对象所在区域基础设施水平：七通</t>
    <phoneticPr fontId="25" type="noConversion"/>
  </si>
  <si>
    <t>区域自然环境：福海公园；人文环境；综合评价环境状况一般</t>
    <phoneticPr fontId="41" type="noConversion"/>
  </si>
  <si>
    <r>
      <rPr>
        <sz val="11"/>
        <rFont val="宋体"/>
        <family val="3"/>
        <charset val="134"/>
      </rPr>
      <t>有地铁</t>
    </r>
    <r>
      <rPr>
        <sz val="11"/>
        <rFont val="Arial"/>
        <family val="2"/>
      </rPr>
      <t>10</t>
    </r>
    <r>
      <rPr>
        <sz val="11"/>
        <rFont val="宋体"/>
        <family val="3"/>
        <charset val="134"/>
      </rPr>
      <t>号线及</t>
    </r>
    <r>
      <rPr>
        <sz val="11"/>
        <rFont val="Arial"/>
        <family val="2"/>
      </rPr>
      <t>83</t>
    </r>
    <r>
      <rPr>
        <sz val="11"/>
        <rFont val="宋体"/>
        <family val="3"/>
        <charset val="134"/>
      </rPr>
      <t>、</t>
    </r>
    <r>
      <rPr>
        <sz val="11"/>
        <rFont val="Arial"/>
        <family val="2"/>
      </rPr>
      <t>395</t>
    </r>
    <r>
      <rPr>
        <sz val="11"/>
        <rFont val="宋体"/>
        <family val="3"/>
        <charset val="134"/>
      </rPr>
      <t>等多路公交车经过。交通便捷度较好</t>
    </r>
    <phoneticPr fontId="31" type="noConversion"/>
  </si>
  <si>
    <t>多面临街</t>
  </si>
  <si>
    <t>管头路</t>
    <phoneticPr fontId="31" type="noConversion"/>
  </si>
  <si>
    <t>周边有恒泰广场、新年华购物中心等多个项目，商业繁华度较好</t>
    <phoneticPr fontId="31" type="noConversion"/>
  </si>
  <si>
    <t>周边有万达广场、华联商厦等多个项目，商业繁华度较好</t>
    <phoneticPr fontId="31" type="noConversion"/>
  </si>
  <si>
    <t>有地铁1号线及308、436等多路公交车经过。交通便捷度较好</t>
    <phoneticPr fontId="31" type="noConversion"/>
  </si>
  <si>
    <t>有松林公园、老山城市公园，环境状况较好</t>
    <phoneticPr fontId="31" type="noConversion"/>
  </si>
  <si>
    <t>有丰益公园、益泽公园，环境状况一般</t>
    <phoneticPr fontId="31" type="noConversion"/>
  </si>
  <si>
    <t>单面临街</t>
  </si>
  <si>
    <t>自定义</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</si>
  <si>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</si>
  <si>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</si>
  <si>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</si>
  <si>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</si>
  <si>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四合庄西路</t>
    <phoneticPr fontId="3" type="noConversion"/>
  </si>
  <si>
    <t>四合庄西路</t>
    <phoneticPr fontId="3" type="noConversion"/>
  </si>
  <si>
    <t>支路</t>
  </si>
  <si>
    <t>六通</t>
  </si>
  <si>
    <t>五通</t>
  </si>
  <si>
    <t>四通</t>
  </si>
  <si>
    <t>三通</t>
  </si>
  <si>
    <t>王鹏</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</si>
  <si>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388316</t>
    </r>
    <r>
      <rPr>
        <sz val="12"/>
        <color theme="9" tint="-0.249977111117893"/>
        <rFont val="宋体"/>
        <family val="3"/>
        <charset val="134"/>
      </rPr>
      <t>、</t>
    </r>
    <r>
      <rPr>
        <sz val="12"/>
        <color theme="9" tint="-0.249977111117893"/>
        <rFont val="Arial"/>
        <family val="2"/>
      </rPr>
      <t>388844</t>
    </r>
    <r>
      <rPr>
        <sz val="12"/>
        <color theme="9" tint="-0.249977111117893"/>
        <rFont val="宋体"/>
        <family val="3"/>
        <charset val="134"/>
      </rPr>
      <t>、</t>
    </r>
    <r>
      <rPr>
        <sz val="12"/>
        <color theme="9" tint="-0.249977111117893"/>
        <rFont val="Arial"/>
        <family val="2"/>
      </rPr>
      <t>396139</t>
    </r>
    <r>
      <rPr>
        <sz val="12"/>
        <color theme="9" tint="-0.249977111117893"/>
        <rFont val="宋体"/>
        <family val="3"/>
        <charset val="134"/>
      </rPr>
      <t>、</t>
    </r>
    <r>
      <rPr>
        <sz val="12"/>
        <color theme="9" tint="-0.249977111117893"/>
        <rFont val="Arial"/>
        <family val="2"/>
      </rPr>
      <t>404591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2015</t>
    </r>
    <r>
      <rPr>
        <sz val="12"/>
        <color theme="9" tint="-0.249977111117893"/>
        <rFont val="宋体"/>
        <family val="3"/>
        <charset val="134"/>
      </rPr>
      <t>）丰台区不动产权第</t>
    </r>
    <r>
      <rPr>
        <sz val="12"/>
        <color theme="9" tint="-0.249977111117893"/>
        <rFont val="Arial"/>
        <family val="2"/>
      </rPr>
      <t>0026402</t>
    </r>
    <r>
      <rPr>
        <sz val="12"/>
        <color theme="9" tint="-0.249977111117893"/>
        <rFont val="宋体"/>
        <family val="3"/>
        <charset val="134"/>
      </rPr>
      <t>、</t>
    </r>
    <r>
      <rPr>
        <sz val="12"/>
        <color theme="9" tint="-0.249977111117893"/>
        <rFont val="Arial"/>
        <family val="2"/>
      </rPr>
      <t>0056403</t>
    </r>
    <r>
      <rPr>
        <sz val="12"/>
        <color theme="9" tint="-0.249977111117893"/>
        <rFont val="宋体"/>
        <family val="3"/>
        <charset val="134"/>
      </rPr>
      <t>号</t>
    </r>
    <r>
      <rPr>
        <sz val="12"/>
        <color theme="9" tint="-0.249977111117893"/>
        <rFont val="Arial"/>
        <family val="2"/>
      </rPr>
      <t>]</t>
    </r>
    <phoneticPr fontId="6" type="noConversion"/>
  </si>
  <si>
    <t>序号</t>
  </si>
  <si>
    <t>建筑面积</t>
  </si>
  <si>
    <t>产权证号</t>
    <phoneticPr fontId="143" type="noConversion"/>
  </si>
  <si>
    <t>楼号</t>
    <phoneticPr fontId="143" type="noConversion"/>
  </si>
  <si>
    <t>楼层</t>
    <phoneticPr fontId="143" type="noConversion"/>
  </si>
  <si>
    <t>房号</t>
    <phoneticPr fontId="143" type="noConversion"/>
  </si>
  <si>
    <t>建筑面积</t>
    <phoneticPr fontId="143" type="noConversion"/>
  </si>
  <si>
    <t>现状用途</t>
    <phoneticPr fontId="143" type="noConversion"/>
  </si>
  <si>
    <t>58-14</t>
    <phoneticPr fontId="143" type="noConversion"/>
  </si>
  <si>
    <t>酒店用房</t>
    <phoneticPr fontId="143" type="noConversion"/>
  </si>
  <si>
    <t>办公用房</t>
    <phoneticPr fontId="143" type="noConversion"/>
  </si>
  <si>
    <t>《房屋所有权证》[X京房权证丰字第388844号]</t>
    <phoneticPr fontId="143" type="noConversion"/>
  </si>
  <si>
    <t>《房屋所有权证》[X京房权证丰字第404591号]</t>
    <phoneticPr fontId="143" type="noConversion"/>
  </si>
  <si>
    <t>58-44</t>
    <phoneticPr fontId="143" type="noConversion"/>
  </si>
  <si>
    <t>《房屋所有权证》[X京房权证丰字第388316号]</t>
    <phoneticPr fontId="143" type="noConversion"/>
  </si>
  <si>
    <t>58-45</t>
    <phoneticPr fontId="143" type="noConversion"/>
  </si>
  <si>
    <t>《房屋所有权证》[X京房权证丰字第396139号]</t>
    <phoneticPr fontId="143" type="noConversion"/>
  </si>
  <si>
    <t>58-3</t>
    <phoneticPr fontId="143" type="noConversion"/>
  </si>
  <si>
    <t>《不动产权证书》[京（2015）丰台区不动产权第0026402号]</t>
    <phoneticPr fontId="143" type="noConversion"/>
  </si>
  <si>
    <t>《不动产权证书》[京（2015）丰台区不动产权第0056403号]</t>
    <phoneticPr fontId="143" type="noConversion"/>
  </si>
  <si>
    <t>58-47</t>
    <phoneticPr fontId="143" type="noConversion"/>
  </si>
  <si>
    <t>小计</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</si>
  <si>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</si>
  <si>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房地产价值</t>
  </si>
  <si>
    <t>酒店</t>
    <phoneticPr fontId="143" type="noConversion"/>
  </si>
  <si>
    <t>办公</t>
    <phoneticPr fontId="143" type="noConversion"/>
  </si>
  <si>
    <t>58-5</t>
    <phoneticPr fontId="143" type="noConversion"/>
  </si>
  <si>
    <t>商业用房</t>
  </si>
  <si>
    <t>商业用房</t>
    <phoneticPr fontId="7" type="noConversion"/>
  </si>
  <si>
    <t>按租金收入计税</t>
  </si>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</sst>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9"/>
      <color rgb="FF000000"/>
      <name val="华文细黑"/>
      <family val="3"/>
      <charset val="134"/>
    </font>
    <font>
      <sz val="9"/>
      <color rgb="FF000000"/>
      <name val="Arial"/>
      <family val="2"/>
    </font>
    <font>
      <sz val="9"/>
      <color theme="1"/>
      <name val="华文细黑"/>
      <family val="3"/>
      <charset val="134"/>
    </font>
    <font>
      <sz val="9"/>
      <color theme="1"/>
      <name val="Arial"/>
      <family val="2"/>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 fillId="2" borderId="24" xfId="0" applyFont="1" applyFill="1" applyBorder="1" applyAlignment="1" applyProtection="1">
      <alignment horizontal="center" vertical="center"/>
      <protection locked="0"/>
    </xf>
    <xf numFmtId="14" fontId="104" fillId="0" borderId="0" xfId="0" applyNumberFormat="1" applyFont="1">
      <alignment vertical="center"/>
    </xf>
    <xf numFmtId="0" fontId="104" fillId="0" borderId="0" xfId="0" applyNumberFormat="1" applyFont="1">
      <alignment vertical="center"/>
    </xf>
    <xf numFmtId="9" fontId="104" fillId="0" borderId="0" xfId="0" applyNumberFormat="1" applyFont="1">
      <alignment vertical="center"/>
    </xf>
    <xf numFmtId="0" fontId="122" fillId="0" borderId="0" xfId="0" applyFont="1">
      <alignment vertical="center"/>
    </xf>
    <xf numFmtId="0" fontId="47" fillId="5" borderId="3" xfId="0" applyFont="1" applyFill="1" applyBorder="1" applyAlignment="1" applyProtection="1">
      <alignment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06" fillId="5" borderId="23" xfId="0" applyNumberFormat="1" applyFont="1" applyFill="1" applyBorder="1" applyAlignment="1" applyProtection="1">
      <alignment horizontal="center" vertical="center" wrapText="1"/>
      <protection locked="0"/>
    </xf>
    <xf numFmtId="0" fontId="106" fillId="5" borderId="6"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wrapText="1"/>
    </xf>
    <xf numFmtId="0" fontId="255" fillId="0" borderId="1" xfId="0" applyFont="1" applyBorder="1" applyAlignment="1">
      <alignment horizontal="left" vertical="center"/>
    </xf>
    <xf numFmtId="0" fontId="256" fillId="0" borderId="1" xfId="0" applyFont="1" applyBorder="1" applyAlignment="1">
      <alignment horizontal="left" vertical="center" wrapText="1"/>
    </xf>
    <xf numFmtId="176" fontId="50" fillId="0" borderId="1" xfId="0" applyNumberFormat="1" applyFont="1" applyBorder="1" applyAlignment="1" applyProtection="1">
      <alignment horizontal="left" vertical="center" wrapText="1"/>
      <protection locked="0"/>
    </xf>
    <xf numFmtId="49" fontId="255" fillId="0" borderId="1" xfId="0" applyNumberFormat="1" applyFont="1" applyBorder="1" applyAlignment="1">
      <alignment horizontal="left" vertical="center" wrapText="1"/>
    </xf>
    <xf numFmtId="49" fontId="255" fillId="0" borderId="1" xfId="0" applyNumberFormat="1" applyFont="1" applyBorder="1" applyAlignment="1">
      <alignment horizontal="left" vertical="center"/>
    </xf>
    <xf numFmtId="176" fontId="255" fillId="0" borderId="1" xfId="0" applyNumberFormat="1" applyFont="1" applyBorder="1" applyAlignment="1">
      <alignment horizontal="left" vertical="center"/>
    </xf>
    <xf numFmtId="0" fontId="257" fillId="0" borderId="156" xfId="0" applyFont="1" applyBorder="1" applyAlignment="1">
      <alignment horizontal="justify" vertical="center" wrapText="1"/>
    </xf>
    <xf numFmtId="0" fontId="257" fillId="0" borderId="156" xfId="0" applyFont="1" applyBorder="1" applyAlignment="1">
      <alignment vertical="center" wrapText="1"/>
    </xf>
    <xf numFmtId="0" fontId="256" fillId="0" borderId="157" xfId="0" applyFont="1" applyBorder="1" applyAlignment="1">
      <alignment horizontal="justify" vertical="center"/>
    </xf>
    <xf numFmtId="0" fontId="256" fillId="0" borderId="158" xfId="0" applyFont="1" applyBorder="1" applyAlignment="1">
      <alignment horizontal="left" vertical="center" wrapText="1"/>
    </xf>
    <xf numFmtId="0" fontId="258" fillId="0" borderId="158" xfId="0" applyFont="1" applyBorder="1" applyAlignment="1">
      <alignment horizontal="left" vertical="center" wrapText="1"/>
    </xf>
    <xf numFmtId="0" fontId="256" fillId="0" borderId="157" xfId="0" applyFont="1" applyBorder="1" applyAlignment="1">
      <alignment horizontal="left" vertical="center"/>
    </xf>
    <xf numFmtId="176" fontId="256" fillId="0" borderId="157" xfId="0" applyNumberFormat="1" applyFont="1" applyBorder="1" applyAlignment="1">
      <alignment horizontal="left" vertical="center"/>
    </xf>
    <xf numFmtId="0" fontId="259" fillId="0" borderId="0" xfId="0" applyFont="1">
      <alignment vertical="center"/>
    </xf>
    <xf numFmtId="176" fontId="104" fillId="0" borderId="0" xfId="0" applyNumberFormat="1" applyFont="1">
      <alignment vertical="center"/>
    </xf>
    <xf numFmtId="2" fontId="104" fillId="0" borderId="0" xfId="0" applyNumberFormat="1" applyFont="1">
      <alignment vertical="center"/>
    </xf>
    <xf numFmtId="1" fontId="104" fillId="0" borderId="0" xfId="0" applyNumberFormat="1" applyFont="1">
      <alignment vertical="center"/>
    </xf>
    <xf numFmtId="179" fontId="47" fillId="0" borderId="23"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5" xfId="0" applyFont="1" applyBorder="1" applyAlignment="1">
      <alignment horizontal="left" vertical="center"/>
    </xf>
    <xf numFmtId="0" fontId="255" fillId="0" borderId="54" xfId="0" applyFont="1" applyBorder="1" applyAlignment="1">
      <alignment horizontal="left" vertical="center"/>
    </xf>
    <xf numFmtId="0" fontId="255" fillId="0" borderId="3" xfId="0" applyFont="1"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1218</v>
      </c>
      <c r="B1" s="1587" t="s">
        <v>1297</v>
      </c>
    </row>
    <row r="2" spans="1:2" s="1592" customFormat="1" ht="15" thickTop="1">
      <c r="A2" s="1590" t="s">
        <v>1219</v>
      </c>
      <c r="B2" s="1591" t="str">
        <f>'预评函-封皮'!B37:I37</f>
        <v>北京市丰台区南顶村58号楼-1至5层配套用房房地产抵押价值预评估</v>
      </c>
    </row>
    <row r="3" spans="1:2" s="1595" customFormat="1">
      <c r="A3" s="1593" t="s">
        <v>1220</v>
      </c>
      <c r="B3" s="1594" t="str">
        <f>'预评函-封皮'!B40</f>
        <v>远邦控股集团有限公司</v>
      </c>
    </row>
    <row r="4" spans="1:2" s="1595" customFormat="1">
      <c r="A4" s="1593" t="s">
        <v>1221</v>
      </c>
      <c r="B4" s="1594" t="str">
        <f ca="1">'预评函-封皮'!B46</f>
        <v>王鹏（注册号：1120050019)、梁津（注册号：1119970066)</v>
      </c>
    </row>
    <row r="5" spans="1:2" s="1589" customFormat="1" ht="15" thickBot="1">
      <c r="A5" s="1596" t="s">
        <v>1222</v>
      </c>
      <c r="B5" s="1597" t="str">
        <f>'预评函-封皮'!B49</f>
        <v>康正预评字号</v>
      </c>
    </row>
    <row r="6" spans="1:2" s="1592" customFormat="1" ht="15" thickTop="1">
      <c r="A6" s="1590" t="s">
        <v>1223</v>
      </c>
      <c r="B6" s="1591" t="str">
        <f>'预评函-1'!A4</f>
        <v>受贵公司委托，我公司对北京市丰台区南顶村58号楼-1至5层配套用房房地产抵押价值进行了预评估。</v>
      </c>
    </row>
    <row r="7" spans="1:2" s="1595" customFormat="1">
      <c r="A7" s="1593" t="s">
        <v>1263</v>
      </c>
      <c r="B7" s="1594" t="str">
        <f>'预评函-1'!A7</f>
        <v>估价对象为北京市丰台区南顶村58号楼-1至5层配套用房房地产，为所有。根据《国有土地使用证》[京丰国用（2014出）第00178号]，估价对象（分摊）出让国有建设用地使用权面积为0平方米，建筑面积为5121.38平方米。</v>
      </c>
    </row>
    <row r="8" spans="1:2" s="1595" customFormat="1">
      <c r="A8" s="1593" t="s">
        <v>1264</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1265</v>
      </c>
      <c r="B9" s="1594" t="str">
        <f>'预评函-1'!A10</f>
        <v>估价对象为北京市丰台区南顶村58号楼-1至5层配套用房房地产,为开发建设的商业项目，该项目尚在开发建设中。根据《国有土地使用证》[京丰国用（2014出）第00178号]，估价对象（分摊）出让国有建设用地使用权面积为0平方米，规划建筑面积为5121.38平方米。</v>
      </c>
    </row>
    <row r="10" spans="1:2" s="1595" customFormat="1">
      <c r="A10" s="1593" t="s">
        <v>1266</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1224</v>
      </c>
      <c r="B11" s="1594" t="str">
        <f>'预评函-1'!A13</f>
        <v>为估价委托人在向渤海银行北京分行办理贷款手续过程中，确定房地产抵押贷款额度提供参考依据而评估房地产抵押价值。</v>
      </c>
    </row>
    <row r="12" spans="1:2" s="1595" customFormat="1">
      <c r="A12" s="1593" t="s">
        <v>1225</v>
      </c>
      <c r="B12" s="1594" t="str">
        <f>'预评函-1'!A15</f>
        <v>2018年7月12日（评估专业人员实地查勘之日）</v>
      </c>
    </row>
    <row r="13" spans="1:2" s="1595" customFormat="1">
      <c r="A13" s="1593" t="s">
        <v>1226</v>
      </c>
      <c r="B13" s="1594" t="str">
        <f>'预评函-1'!A18</f>
        <v>本次估价的“房地产价值”是指在正常市场情况下，在价值时点2018年7月12日，估价对象规划用途为商业、地下商业，土地取得方式为出让，出让国有建设用地使用权剩余土地使用年限为商业、地下商业25.46，假定未设立法定优先受偿款下的房地产市场价值。</v>
      </c>
    </row>
    <row r="14" spans="1:2" s="1595" customFormat="1">
      <c r="A14" s="1593" t="s">
        <v>1227</v>
      </c>
      <c r="B14" s="1594" t="str">
        <f>'预评函-1'!A19</f>
        <v>其中，“出让国有建设用地使用权价值”是指估价对象用途为商业、地下商业，实际开发程度为宗地红线外“七通”（即通路、通电、通讯、通上水、通下水、燃气、）、红线内场地平整条件下，剩余土地使用年限为商业、地下商业25.46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1228</v>
      </c>
      <c r="B15" s="1594" t="str">
        <f>'预评函-1'!A20</f>
        <v>本次估价的“房地产抵押价值”是指估价对象在价值时点的“房地产价值”扣减估价师于价值时点所知悉的法定优先受偿款后的余额。</v>
      </c>
    </row>
    <row r="16" spans="1:2" s="1595" customFormat="1">
      <c r="A16" s="1593" t="s">
        <v>1229</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1230</v>
      </c>
      <c r="B17" s="1594" t="str">
        <f>'预评函-1'!A22</f>
        <v/>
      </c>
    </row>
    <row r="18" spans="1:2" s="1589" customFormat="1" ht="15" thickBot="1">
      <c r="A18" s="1596" t="s">
        <v>1231</v>
      </c>
      <c r="B18" s="1597" t="str">
        <f>'预评函-1'!A24</f>
        <v>本次评估采用的主估价方法为基准地价系数修正法和收益法。</v>
      </c>
    </row>
    <row r="19" spans="1:2" s="1592" customFormat="1" ht="15" thickTop="1">
      <c r="A19" s="1590" t="s">
        <v>1232</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1233</v>
      </c>
      <c r="B20" s="1594">
        <f ca="1">'预评函-2'!D5</f>
        <v>5352</v>
      </c>
    </row>
    <row r="21" spans="1:2" s="1595" customFormat="1">
      <c r="A21" s="1593" t="s">
        <v>1234</v>
      </c>
      <c r="B21" s="1594">
        <f ca="1">'预评函-2'!D7</f>
        <v>10450</v>
      </c>
    </row>
    <row r="22" spans="1:2" s="1595" customFormat="1">
      <c r="A22" s="1593" t="s">
        <v>1235</v>
      </c>
      <c r="B22" s="1594" t="str">
        <f ca="1">'预评函-2'!D6</f>
        <v>伍仟叁佰伍拾贰万元整</v>
      </c>
    </row>
    <row r="23" spans="1:2" s="1595" customFormat="1">
      <c r="A23" s="1593" t="s">
        <v>1286</v>
      </c>
      <c r="B23" s="1594" t="str">
        <f>'预评函-2'!B8</f>
        <v>2.估价师知悉的法定优先受偿款</v>
      </c>
    </row>
    <row r="24" spans="1:2" s="1595" customFormat="1">
      <c r="A24" s="1593" t="s">
        <v>1292</v>
      </c>
      <c r="B24" s="1594">
        <f>'预评函-2'!D8</f>
        <v>0</v>
      </c>
    </row>
    <row r="25" spans="1:2" s="1595" customFormat="1">
      <c r="A25" s="1593" t="s">
        <v>1236</v>
      </c>
      <c r="B25" s="1594" t="str">
        <f>'预评函-2'!D9</f>
        <v>零元整</v>
      </c>
    </row>
    <row r="26" spans="1:2" s="1595" customFormat="1">
      <c r="A26" s="1593" t="s">
        <v>1237</v>
      </c>
      <c r="B26" s="1594">
        <f>'预评函-2'!D10</f>
        <v>0</v>
      </c>
    </row>
    <row r="27" spans="1:2" s="1595" customFormat="1">
      <c r="A27" s="1593" t="s">
        <v>1238</v>
      </c>
      <c r="B27" s="1594">
        <f>'预评函-2'!D11</f>
        <v>0</v>
      </c>
    </row>
    <row r="28" spans="1:2" s="1595" customFormat="1">
      <c r="A28" s="1593" t="s">
        <v>1239</v>
      </c>
      <c r="B28" s="1594">
        <f>'预评函-2'!D12</f>
        <v>0</v>
      </c>
    </row>
    <row r="29" spans="1:2" s="1595" customFormat="1">
      <c r="A29" s="1593" t="s">
        <v>1290</v>
      </c>
      <c r="B29" s="1594" t="str">
        <f>'预评函-2'!B13</f>
        <v>3.房地产抵押价值</v>
      </c>
    </row>
    <row r="30" spans="1:2" s="1595" customFormat="1">
      <c r="A30" s="1593" t="s">
        <v>1291</v>
      </c>
      <c r="B30" s="1594">
        <f ca="1">'预评函-2'!D13</f>
        <v>5352</v>
      </c>
    </row>
    <row r="31" spans="1:2" s="1595" customFormat="1">
      <c r="A31" s="1593" t="s">
        <v>1273</v>
      </c>
      <c r="B31" s="1594">
        <f ca="1">'预评函-2'!D15</f>
        <v>10450</v>
      </c>
    </row>
    <row r="32" spans="1:2" s="1595" customFormat="1">
      <c r="A32" s="1593" t="s">
        <v>1240</v>
      </c>
      <c r="B32" s="1594" t="str">
        <f ca="1">'预评函-2'!D14</f>
        <v>伍仟叁佰伍拾贰万元整</v>
      </c>
    </row>
    <row r="33" spans="1:2" s="1595" customFormat="1">
      <c r="A33" s="1593" t="s">
        <v>1275</v>
      </c>
      <c r="B33" s="1594" t="str">
        <f>'预评函-2'!B16</f>
        <v>——</v>
      </c>
    </row>
    <row r="34" spans="1:2" s="1595" customFormat="1">
      <c r="A34" s="1593" t="s">
        <v>1293</v>
      </c>
      <c r="B34" s="1594" t="str">
        <f>'预评函-2'!D16</f>
        <v>——</v>
      </c>
    </row>
    <row r="35" spans="1:2" s="1595" customFormat="1">
      <c r="A35" s="1593" t="s">
        <v>1274</v>
      </c>
      <c r="B35" s="1594" t="str">
        <f>'预评函-2'!D18</f>
        <v>——</v>
      </c>
    </row>
    <row r="36" spans="1:2" s="1595" customFormat="1">
      <c r="A36" s="1593" t="s">
        <v>1241</v>
      </c>
      <c r="B36" s="1594" t="e">
        <f>'预评函-2'!D17</f>
        <v>#VALUE!</v>
      </c>
    </row>
    <row r="37" spans="1:2" s="1595" customFormat="1">
      <c r="A37" s="1593" t="s">
        <v>1276</v>
      </c>
      <c r="B37" s="1594" t="str">
        <f>'预评函-2'!B19</f>
        <v>——</v>
      </c>
    </row>
    <row r="38" spans="1:2" s="1595" customFormat="1">
      <c r="A38" s="1593" t="s">
        <v>1294</v>
      </c>
      <c r="B38" s="1594" t="str">
        <f>'预评函-2'!D19</f>
        <v>——</v>
      </c>
    </row>
    <row r="39" spans="1:2" s="1595" customFormat="1">
      <c r="A39" s="1593" t="s">
        <v>1242</v>
      </c>
      <c r="B39" s="1594" t="str">
        <f>'预评函-2'!D21</f>
        <v>——</v>
      </c>
    </row>
    <row r="40" spans="1:2" s="1595" customFormat="1">
      <c r="A40" s="1593" t="s">
        <v>1243</v>
      </c>
      <c r="B40" s="1594" t="e">
        <f>'预评函-2'!D20</f>
        <v>#VALUE!</v>
      </c>
    </row>
    <row r="41" spans="1:2" s="1595" customFormat="1">
      <c r="A41" s="1593" t="s">
        <v>1289</v>
      </c>
      <c r="B41" s="1594" t="str">
        <f>'预评函-3'!A4</f>
        <v>北京市丰台区南顶村58号楼-1至5层配套用房房地产</v>
      </c>
    </row>
    <row r="42" spans="1:2" s="1595" customFormat="1">
      <c r="A42" s="1593" t="s">
        <v>1287</v>
      </c>
      <c r="B42" s="1594" t="str">
        <f>'预评函-3'!B2</f>
        <v>建筑面积</v>
      </c>
    </row>
    <row r="43" spans="1:2" s="1595" customFormat="1">
      <c r="A43" s="1593" t="s">
        <v>1288</v>
      </c>
      <c r="B43" s="1594">
        <f>'预评函-3'!B4</f>
        <v>5121.38</v>
      </c>
    </row>
    <row r="44" spans="1:2" s="1595" customFormat="1">
      <c r="A44" s="1593" t="s">
        <v>1272</v>
      </c>
      <c r="B44" s="1594" t="str">
        <f>'预评函-3'!C2</f>
        <v>(分摊)土地面积</v>
      </c>
    </row>
    <row r="45" spans="1:2" s="1595" customFormat="1">
      <c r="A45" s="1593" t="s">
        <v>1244</v>
      </c>
      <c r="B45" s="1594">
        <f>'预评函-3'!C4</f>
        <v>0</v>
      </c>
    </row>
    <row r="46" spans="1:2" s="1595" customFormat="1">
      <c r="A46" s="1593" t="s">
        <v>1270</v>
      </c>
      <c r="B46" s="1594" t="str">
        <f>'预评函-3'!D2</f>
        <v>出让国有建设用地使用权价值</v>
      </c>
    </row>
    <row r="47" spans="1:2" s="1595" customFormat="1">
      <c r="A47" s="1593" t="s">
        <v>1245</v>
      </c>
      <c r="B47" s="1594" t="e">
        <f ca="1">'预评函-3'!D4</f>
        <v>#DIV/0!</v>
      </c>
    </row>
    <row r="48" spans="1:2" s="1595" customFormat="1">
      <c r="A48" s="1593" t="s">
        <v>1246</v>
      </c>
      <c r="B48" s="1594" t="e">
        <f ca="1">'预评函-3'!E4</f>
        <v>#DIV/0!</v>
      </c>
    </row>
    <row r="49" spans="1:2" s="1595" customFormat="1">
      <c r="A49" s="1593" t="s">
        <v>1247</v>
      </c>
      <c r="B49" s="1594" t="e">
        <f ca="1">'预评函-3'!D5</f>
        <v>#DIV/0!</v>
      </c>
    </row>
    <row r="50" spans="1:2" s="1595" customFormat="1">
      <c r="A50" s="1593" t="s">
        <v>1271</v>
      </c>
      <c r="B50" s="1594" t="str">
        <f>'预评函-3'!F2</f>
        <v>在建建筑物价值</v>
      </c>
    </row>
    <row r="51" spans="1:2" s="1595" customFormat="1">
      <c r="A51" s="1593" t="s">
        <v>1248</v>
      </c>
      <c r="B51" s="1594" t="e">
        <f ca="1">'预评函-3'!F4</f>
        <v>#DIV/0!</v>
      </c>
    </row>
    <row r="52" spans="1:2" s="1595" customFormat="1">
      <c r="A52" s="1593" t="s">
        <v>1249</v>
      </c>
      <c r="B52" s="1594" t="e">
        <f ca="1">'预评函-3'!G4</f>
        <v>#DIV/0!</v>
      </c>
    </row>
    <row r="53" spans="1:2" s="1595" customFormat="1">
      <c r="A53" s="1593" t="s">
        <v>1277</v>
      </c>
      <c r="B53" s="1594" t="e">
        <f ca="1">'预评函-3'!F5</f>
        <v>#DIV/0!</v>
      </c>
    </row>
    <row r="54" spans="1:2" s="1595" customFormat="1">
      <c r="A54" s="1593" t="s">
        <v>1295</v>
      </c>
      <c r="B54" s="1594" t="str">
        <f>'预评函-3'!A8</f>
        <v>房地产抵押价值</v>
      </c>
    </row>
    <row r="55" spans="1:2" s="1595" customFormat="1">
      <c r="A55" s="1593" t="s">
        <v>1278</v>
      </c>
      <c r="B55" s="1594" t="str">
        <f>'预评函-3'!A10</f>
        <v/>
      </c>
    </row>
    <row r="56" spans="1:2" s="1595" customFormat="1">
      <c r="A56" s="1593" t="s">
        <v>1279</v>
      </c>
      <c r="B56" s="1594" t="str">
        <f>'预评函-3'!A12</f>
        <v/>
      </c>
    </row>
    <row r="57" spans="1:2" s="1589" customFormat="1" ht="15" thickBot="1">
      <c r="A57" s="1596" t="s">
        <v>1296</v>
      </c>
      <c r="B57" s="1597" t="str">
        <f>'预评函-3'!A6</f>
        <v>估价师知悉的法定优先受偿款</v>
      </c>
    </row>
    <row r="58" spans="1:2" s="1592" customFormat="1" ht="15" thickTop="1">
      <c r="A58" s="1590" t="s">
        <v>1250</v>
      </c>
      <c r="B58" s="1591" t="str">
        <f>'预评函-4'!A12</f>
        <v>2.本《评估意见函》仅供金融机构进行内部审核使用，不做其他目的之用。</v>
      </c>
    </row>
    <row r="59" spans="1:2" s="1595" customFormat="1">
      <c r="A59" s="1593" t="s">
        <v>1251</v>
      </c>
      <c r="B59" s="1594" t="str">
        <f>'预评函-4'!A13</f>
        <v>3.抵押双方在办理抵押登记手续时，应使用本公司出具的正式《房地产评估报告》，特提醒报告使用者注意。</v>
      </c>
    </row>
    <row r="60" spans="1:2" s="1595" customFormat="1">
      <c r="A60" s="1593" t="s">
        <v>1252</v>
      </c>
      <c r="B60" s="1594" t="str">
        <f>'预评函-4'!A14</f>
        <v>4.本次评估估价师所知悉的法定优先受偿款情况说明如下：</v>
      </c>
    </row>
    <row r="61" spans="1:2" s="1595" customFormat="1">
      <c r="A61" s="1593" t="s">
        <v>1253</v>
      </c>
      <c r="B61" s="1594" t="str">
        <f>'预评函-4'!A15</f>
        <v>（1）根据估价对象《房屋所有权证》复印件、《国有土地使用权》复印件，截至价值时点，估价对象抵押权未见登记。</v>
      </c>
    </row>
    <row r="62" spans="1:2" s="1595" customFormat="1">
      <c r="A62" s="1593" t="s">
        <v>1254</v>
      </c>
      <c r="B62" s="1594" t="str">
        <f>'预评函-4'!A16</f>
        <v>（2）根据《工程款支付情况说明》，截至价值时点，估价对象不存在应付未付工程款项。（只要没有施工方盖章的，均“设定”进行表述）</v>
      </c>
    </row>
    <row r="63" spans="1:2" s="1595" customFormat="1">
      <c r="A63" s="1593" t="s">
        <v>1255</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1267</v>
      </c>
      <c r="B64" s="1594" t="str">
        <f>'预评函-4'!A18</f>
        <v>故，本次评估不存在估价师知悉的法定优先受偿款</v>
      </c>
    </row>
    <row r="65" spans="1:2" s="1595" customFormat="1">
      <c r="A65" s="1593" t="s">
        <v>1256</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1257</v>
      </c>
      <c r="B66" s="1594" t="str">
        <f>'预评函-4'!A20</f>
        <v>——</v>
      </c>
    </row>
    <row r="67" spans="1:2" s="1595" customFormat="1">
      <c r="A67" s="1593" t="s">
        <v>1268</v>
      </c>
      <c r="B67" s="1594" t="str">
        <f>'预评函-4'!A21</f>
        <v>——</v>
      </c>
    </row>
    <row r="68" spans="1:2" s="1595" customFormat="1">
      <c r="A68" s="1593" t="s">
        <v>1269</v>
      </c>
      <c r="B68" s="1594" t="str">
        <f>'预评函-4'!A22</f>
        <v>8.其他需特殊说明事项：无（注意调整序号）</v>
      </c>
    </row>
    <row r="69" spans="1:2" s="1589" customFormat="1" ht="15" thickBot="1">
      <c r="A69" s="1596" t="s">
        <v>1258</v>
      </c>
      <c r="B69" s="1598">
        <f>'预评函-4'!C31</f>
        <v>42551</v>
      </c>
    </row>
    <row r="70" spans="1:2" ht="15" thickTop="1">
      <c r="A70" s="1599" t="s">
        <v>1259</v>
      </c>
      <c r="B70" s="1600" t="str">
        <f>'预评函-4'!A4</f>
        <v>王鹏</v>
      </c>
    </row>
    <row r="71" spans="1:2">
      <c r="A71" s="1593" t="s">
        <v>1260</v>
      </c>
      <c r="B71" s="1594">
        <f ca="1">'预评函-4'!B4</f>
        <v>1120050019</v>
      </c>
    </row>
    <row r="72" spans="1:2">
      <c r="A72" s="1593" t="s">
        <v>1261</v>
      </c>
      <c r="B72" s="1602" t="str">
        <f>'预评函-4'!A5</f>
        <v>梁津</v>
      </c>
    </row>
    <row r="73" spans="1:2" s="1589" customFormat="1" ht="15" thickBot="1">
      <c r="A73" s="1596" t="s">
        <v>1262</v>
      </c>
      <c r="B73" s="1597">
        <f ca="1">'预评函-4'!B5</f>
        <v>1119970066</v>
      </c>
    </row>
    <row r="74" spans="1:2" ht="15" thickTop="1">
      <c r="A74" s="1586" t="s">
        <v>1298</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 sqref="B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3093</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1145</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1146</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为估价委托人在向渤海银行北京分行办理贷款手续过程中，确定房地产抵押贷款额度提供参考依据而评估房地产抵押价值。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远邦控股集团有限公司拟使用北京市丰台区南顶村58号楼-1至5层配套用房房地产作为抵押担保物，向渤海银行北京分行办理贷款手续。渤海银行北京分行特委托北京康正宏基房地产评估有限公司对上述抵押物进行评估。本次评估为确定房地产抵押贷款额度提供参考依据而评估房地产抵押价值。</v>
      </c>
      <c r="D51" s="2024" t="s">
        <v>1283</v>
      </c>
    </row>
    <row r="52" spans="1:4">
      <c r="A52" s="2023" t="s">
        <v>858</v>
      </c>
      <c r="B52" s="2023" t="s">
        <v>859</v>
      </c>
      <c r="C52" s="2021" t="s">
        <v>860</v>
      </c>
      <c r="D52" s="2021" t="s">
        <v>861</v>
      </c>
    </row>
    <row r="53" spans="1:4">
      <c r="A53" s="303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12日，估价对象规划用途为商业、地下商业土地取得方式为出让，出让国有建设用地使用权剩余土地使用年限为XX年(多用途剩余年限尾数不同时，可只体现小数点后一位)，假定未设立法定优先受偿款下的房地产市场价值。</v>
      </c>
    </row>
    <row r="54" spans="1:4">
      <c r="A54" s="3035"/>
      <c r="B54" s="2024" t="s">
        <v>864</v>
      </c>
      <c r="C54" s="2021" t="s">
        <v>1280</v>
      </c>
    </row>
    <row r="55" spans="1:4">
      <c r="A55" s="3035"/>
      <c r="B55" s="2024" t="s">
        <v>865</v>
      </c>
      <c r="C55" s="2021" t="s">
        <v>1281</v>
      </c>
    </row>
    <row r="56" spans="1:4">
      <c r="A56" s="3035"/>
      <c r="B56" s="2024" t="s">
        <v>866</v>
      </c>
      <c r="C56" s="2021" t="s">
        <v>1285</v>
      </c>
    </row>
    <row r="57" spans="1:4">
      <c r="A57" s="3035"/>
      <c r="B57" s="2024" t="s">
        <v>867</v>
      </c>
      <c r="C57" s="2021" t="s">
        <v>1282</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4" sqref="N1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44" t="str">
        <f>IF(B10="北京市","北京市",C10)&amp;F10&amp;IF(结果表!G1="在建","出让国有建设用地使用权及在建建筑物",IF(结果表!G1="土地","出让国有建设用地使用权",))&amp;B9&amp;"预评估"</f>
        <v>北京市丰台区南顶村58号楼-1至5层配套用房房地产抵押价值预评估</v>
      </c>
      <c r="C1" s="3045"/>
      <c r="D1" s="3045"/>
      <c r="E1" s="3045"/>
      <c r="F1" s="3045"/>
      <c r="G1" s="3045"/>
      <c r="H1" s="3045"/>
      <c r="I1" s="304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北京市丰台区南顶村58号楼-1至5层配套用房房地产抵押价值</v>
      </c>
    </row>
    <row r="2" spans="1:19" ht="18" customHeight="1">
      <c r="A2" s="2028" t="s">
        <v>1776</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北京市丰台区南顶村58号楼-1至5层配套用房房地产</v>
      </c>
    </row>
    <row r="3" spans="1:19" ht="18" customHeight="1">
      <c r="A3" s="2037" t="s">
        <v>1777</v>
      </c>
      <c r="B3" s="2038">
        <v>43293</v>
      </c>
      <c r="C3" s="2039" t="s">
        <v>1778</v>
      </c>
      <c r="D3" s="2038">
        <f>B3</f>
        <v>43293</v>
      </c>
      <c r="E3" s="2028"/>
      <c r="F3" s="2028"/>
      <c r="G3" s="2028"/>
      <c r="H3" s="2028"/>
      <c r="I3" s="2028"/>
      <c r="J3" s="2028"/>
      <c r="K3" s="2029"/>
      <c r="L3" s="2030"/>
      <c r="M3" s="2030"/>
      <c r="N3" s="2031"/>
      <c r="O3" s="2032"/>
      <c r="P3" s="2031"/>
      <c r="Q3" s="2031"/>
      <c r="R3" s="2031"/>
      <c r="S3" s="2033"/>
    </row>
    <row r="4" spans="1:19" ht="18" customHeight="1" thickBot="1">
      <c r="A4" s="2040" t="s">
        <v>1779</v>
      </c>
      <c r="B4" s="2041" t="s">
        <v>3172</v>
      </c>
      <c r="C4" s="1040">
        <f ca="1">SUMIF(注册房地产估价师,B4,估价师及机构信息!B3:B24)</f>
        <v>1120050019</v>
      </c>
      <c r="D4" s="2041" t="s">
        <v>3045</v>
      </c>
      <c r="E4" s="1041">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王鹏（注册号：1120050019)、梁津（注册号：1119970066)</v>
      </c>
      <c r="L4" s="2030"/>
      <c r="M4" s="2030"/>
      <c r="N4" s="2031"/>
      <c r="O4" s="2032"/>
      <c r="P4" s="2031"/>
      <c r="Q4" s="2031"/>
      <c r="R4" s="2031"/>
      <c r="S4" s="2033"/>
    </row>
    <row r="5" spans="1:19" ht="18" customHeight="1" thickTop="1">
      <c r="A5" s="2046" t="s">
        <v>1780</v>
      </c>
      <c r="B5" s="2953" t="s">
        <v>3090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54" t="s">
        <v>3046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t="str">
        <f>B5</f>
        <v>远邦控股集团有限公司</v>
      </c>
      <c r="C7" s="2050"/>
      <c r="D7" s="2051"/>
      <c r="E7" s="2036"/>
      <c r="F7" s="2044"/>
      <c r="G7" s="2044"/>
      <c r="H7" s="2044"/>
      <c r="I7" s="2044"/>
      <c r="J7" s="2044"/>
      <c r="K7" s="2054"/>
      <c r="L7" s="2030"/>
      <c r="M7" s="2030"/>
      <c r="N7" s="2031"/>
      <c r="O7" s="2032"/>
      <c r="P7" s="2031"/>
      <c r="Q7" s="2031"/>
      <c r="R7" s="2031"/>
    </row>
    <row r="8" spans="1:19" ht="18" customHeight="1">
      <c r="A8" s="2049" t="s">
        <v>1783</v>
      </c>
      <c r="B8" s="2055" t="s">
        <v>3047</v>
      </c>
      <c r="C8" s="2056"/>
      <c r="D8" s="3047" t="s">
        <v>1784</v>
      </c>
      <c r="E8" s="2057" t="s">
        <v>3048</v>
      </c>
      <c r="F8" s="2058"/>
      <c r="G8" s="2028"/>
      <c r="H8" s="2028"/>
      <c r="I8" s="2028"/>
      <c r="J8" s="2044"/>
      <c r="K8" s="2045"/>
      <c r="L8" s="2030"/>
      <c r="M8" s="2030"/>
      <c r="N8" s="2031"/>
      <c r="O8" s="2032"/>
      <c r="P8" s="2031"/>
      <c r="Q8" s="2031"/>
      <c r="R8" s="2031"/>
    </row>
    <row r="9" spans="1:19" ht="18" customHeight="1" thickBot="1">
      <c r="A9" s="2042" t="s">
        <v>1785</v>
      </c>
      <c r="B9" s="2059" t="s">
        <v>3048</v>
      </c>
      <c r="C9" s="2060"/>
      <c r="D9" s="3048"/>
      <c r="E9" s="2059" t="s">
        <v>70</v>
      </c>
      <c r="F9" s="2061"/>
      <c r="G9" s="2062"/>
      <c r="H9" s="2062"/>
      <c r="I9" s="2062"/>
      <c r="J9" s="2044"/>
      <c r="K9" s="2054"/>
      <c r="L9" s="2030"/>
      <c r="M9" s="2030"/>
      <c r="N9" s="2031"/>
      <c r="O9" s="2032"/>
      <c r="P9" s="2031"/>
      <c r="Q9" s="2031"/>
      <c r="R9" s="2031"/>
    </row>
    <row r="10" spans="1:19" ht="18" customHeight="1" thickTop="1">
      <c r="A10" s="2063" t="s">
        <v>1786</v>
      </c>
      <c r="B10" s="2064" t="s">
        <v>3049</v>
      </c>
      <c r="C10" s="2065"/>
      <c r="D10" s="2048"/>
      <c r="E10" s="2066" t="s">
        <v>1787</v>
      </c>
      <c r="F10" s="2067" t="s">
        <v>3050</v>
      </c>
      <c r="G10" s="2068"/>
      <c r="H10" s="2069"/>
      <c r="I10" s="2048"/>
      <c r="J10" s="2044"/>
      <c r="K10" s="2054"/>
      <c r="L10" s="2030"/>
      <c r="M10" s="2030"/>
      <c r="N10" s="2031"/>
      <c r="O10" s="2032"/>
      <c r="P10" s="2031"/>
      <c r="Q10" s="2031"/>
      <c r="R10" s="2031"/>
    </row>
    <row r="11" spans="1:19" ht="18" customHeight="1">
      <c r="A11" s="2070" t="s">
        <v>1788</v>
      </c>
      <c r="B11" s="2071" t="s">
        <v>3052</v>
      </c>
      <c r="C11" s="2072"/>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3051</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v>57166</v>
      </c>
      <c r="F13" s="2080"/>
      <c r="G13" s="2080"/>
      <c r="H13" s="2080"/>
      <c r="I13" s="1050"/>
      <c r="J13" s="2044"/>
      <c r="K13" s="2054"/>
      <c r="L13" s="2030"/>
      <c r="M13" s="2030"/>
      <c r="N13" s="2031"/>
      <c r="O13" s="2032"/>
      <c r="P13" s="2031"/>
      <c r="Q13" s="2031"/>
      <c r="R13" s="2031"/>
    </row>
    <row r="14" spans="1:19" ht="18" customHeight="1">
      <c r="A14" s="2077"/>
      <c r="B14" s="2078"/>
      <c r="C14" s="2079" t="s">
        <v>1798</v>
      </c>
      <c r="D14" s="1053"/>
      <c r="E14" s="1053">
        <v>40</v>
      </c>
      <c r="F14" s="1053"/>
      <c r="G14" s="1053"/>
      <c r="H14" s="1053"/>
      <c r="I14" s="1053"/>
      <c r="J14" s="2044"/>
      <c r="K14" s="2081"/>
      <c r="L14" s="2030"/>
      <c r="M14" s="2030"/>
      <c r="N14" s="2031"/>
      <c r="O14" s="2032"/>
      <c r="P14" s="2031"/>
      <c r="Q14" s="2031"/>
      <c r="R14" s="2031"/>
    </row>
    <row r="15" spans="1:19" ht="18" customHeight="1">
      <c r="A15" s="2063"/>
      <c r="B15" s="2082"/>
      <c r="C15" s="2079" t="s">
        <v>1799</v>
      </c>
      <c r="D15" s="1052" t="str">
        <f>IF(B12="出让",IF(D13="","",ROUNDDOWN(MIN((D13-$D$3)/365,D14),2)),D14)</f>
        <v/>
      </c>
      <c r="E15" s="1052">
        <f>IF(B12="出让",IF(E13="","",ROUNDDOWN(MIN((E13-$D$3)/365,E14),2)),E14)</f>
        <v>38</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6" t="s">
        <v>1800</v>
      </c>
      <c r="B16" s="3054" t="s">
        <v>3053</v>
      </c>
      <c r="C16" s="3055"/>
      <c r="D16" s="3056"/>
      <c r="E16" s="2086" t="s">
        <v>1801</v>
      </c>
      <c r="F16" s="3057" t="s">
        <v>3054</v>
      </c>
      <c r="G16" s="3058"/>
      <c r="H16" s="3058"/>
      <c r="I16" s="3059"/>
      <c r="J16" s="2031"/>
      <c r="K16" s="2083"/>
      <c r="L16" s="2084"/>
      <c r="M16" s="2084"/>
      <c r="N16" s="2085"/>
      <c r="O16" s="2084"/>
      <c r="P16" s="2085"/>
      <c r="Q16" s="2031"/>
      <c r="R16" s="2031"/>
    </row>
    <row r="17" spans="1:22" ht="18" customHeight="1">
      <c r="A17" s="2087" t="s">
        <v>1802</v>
      </c>
      <c r="B17" s="2037" t="s">
        <v>1803</v>
      </c>
      <c r="C17" s="1057">
        <f>'数据-汇总表'!E3</f>
        <v>5121.38</v>
      </c>
      <c r="D17" s="2088" t="s">
        <v>1804</v>
      </c>
      <c r="E17" s="3060" t="s">
        <v>3173</v>
      </c>
      <c r="F17" s="3061"/>
      <c r="G17" s="3061"/>
      <c r="H17" s="3061"/>
      <c r="I17" s="3062"/>
      <c r="J17" s="2031"/>
      <c r="K17" s="2089"/>
      <c r="L17" s="2084"/>
      <c r="M17" s="2084"/>
      <c r="N17" s="2085"/>
      <c r="O17" s="2084"/>
      <c r="P17" s="2085"/>
      <c r="Q17" s="2031"/>
      <c r="R17" s="2031"/>
      <c r="S17" s="2031"/>
      <c r="T17" s="2031"/>
      <c r="U17" s="2031"/>
      <c r="V17" s="2031"/>
    </row>
    <row r="18" spans="1:22" ht="36" customHeight="1" thickBot="1">
      <c r="A18" s="2090" t="s">
        <v>1805</v>
      </c>
      <c r="B18" s="2040" t="s">
        <v>1806</v>
      </c>
      <c r="C18" s="1447">
        <f>'数据-汇总表'!D3</f>
        <v>0</v>
      </c>
      <c r="D18" s="2091" t="s">
        <v>1804</v>
      </c>
      <c r="E18" s="3063" t="s">
        <v>3091</v>
      </c>
      <c r="F18" s="3064"/>
      <c r="G18" s="3064"/>
      <c r="H18" s="3064"/>
      <c r="I18" s="3065"/>
      <c r="J18" s="2031"/>
      <c r="K18" s="2089"/>
      <c r="L18" s="2084"/>
      <c r="M18" s="2084"/>
      <c r="N18" s="2085"/>
      <c r="O18" s="2084"/>
      <c r="P18" s="2085"/>
      <c r="Q18" s="2031"/>
      <c r="R18" s="2031"/>
      <c r="S18" s="2031"/>
      <c r="T18" s="2031"/>
      <c r="U18" s="2031"/>
      <c r="V18" s="2031"/>
    </row>
    <row r="19" spans="1:22" ht="37.5" customHeight="1" thickTop="1" thickBot="1">
      <c r="A19" s="373" t="s">
        <v>1807</v>
      </c>
      <c r="B19" s="352" t="s">
        <v>1808</v>
      </c>
      <c r="C19" s="2092" t="s">
        <v>3055</v>
      </c>
      <c r="D19" s="2093" t="s">
        <v>1809</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1810</v>
      </c>
      <c r="B20" s="3050" t="s">
        <v>1811</v>
      </c>
      <c r="C20" s="3051"/>
      <c r="D20" s="3052" t="s">
        <v>1812</v>
      </c>
      <c r="E20" s="3053"/>
      <c r="F20" s="2098" t="s">
        <v>1813</v>
      </c>
      <c r="G20" s="2044"/>
      <c r="H20" s="2044"/>
      <c r="I20" s="2044"/>
      <c r="J20" s="2044"/>
      <c r="K20" s="3049"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1815</v>
      </c>
      <c r="C21" s="2100" t="s">
        <v>3056</v>
      </c>
      <c r="D21" s="2101" t="s">
        <v>1817</v>
      </c>
      <c r="E21" s="2102" t="s">
        <v>1816</v>
      </c>
      <c r="F21" s="2103"/>
      <c r="G21" s="2044"/>
      <c r="H21" s="2044"/>
      <c r="I21" s="2044"/>
      <c r="J21" s="2044"/>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5"/>
      <c r="O21" s="2084"/>
      <c r="P21" s="2085"/>
      <c r="Q21" s="2031"/>
      <c r="R21" s="2031"/>
      <c r="S21" s="2031"/>
      <c r="T21" s="2031"/>
      <c r="U21" s="2031"/>
      <c r="V21" s="2031"/>
    </row>
    <row r="22" spans="1:22" ht="24.75" customHeight="1" thickBot="1">
      <c r="A22" s="2097"/>
      <c r="B22" s="2104" t="s">
        <v>1818</v>
      </c>
      <c r="C22" s="2100" t="s">
        <v>1819</v>
      </c>
      <c r="D22" s="2028"/>
      <c r="E22" s="2028"/>
      <c r="F22" s="2105"/>
      <c r="G22" s="2044"/>
      <c r="H22" s="2044"/>
      <c r="I22" s="2044"/>
      <c r="J22" s="2044"/>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1820</v>
      </c>
      <c r="B23" s="183" t="s">
        <v>1821</v>
      </c>
      <c r="C23" s="2107"/>
      <c r="D23" s="2108" t="s">
        <v>1821</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1822</v>
      </c>
      <c r="C24" s="2112"/>
      <c r="D24" s="2106" t="s">
        <v>1822</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1823</v>
      </c>
      <c r="C25" s="2112"/>
      <c r="D25" s="2106" t="s">
        <v>1823</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1824</v>
      </c>
      <c r="C26" s="2116"/>
      <c r="D26" s="2117" t="s">
        <v>1825</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37" t="s">
        <v>1826</v>
      </c>
      <c r="B27" s="2063" t="s">
        <v>1827</v>
      </c>
      <c r="C27" s="2120" t="s">
        <v>3057</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37"/>
      <c r="B28" s="2037" t="s">
        <v>1828</v>
      </c>
      <c r="C28" s="2122" t="s">
        <v>3058</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37"/>
      <c r="B29" s="2037" t="s">
        <v>1829</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38"/>
      <c r="B30" s="2037" t="s">
        <v>1830</v>
      </c>
      <c r="C30" s="3039"/>
      <c r="D30" s="3040"/>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41" t="s">
        <v>1831</v>
      </c>
      <c r="B31" s="2127" t="s">
        <v>3059</v>
      </c>
      <c r="C31" s="2128" t="str">
        <f>IF(B31="现房","成新及维护状况正常否",IF(B31="在建","工程状态是否正常",IF(B31="土地","是否闲置","-")))</f>
        <v>成新及维护状况正常否</v>
      </c>
      <c r="D31" s="2129"/>
      <c r="E31" s="2955" t="s">
        <v>3061</v>
      </c>
      <c r="F31" s="2044"/>
      <c r="G31" s="2044"/>
      <c r="H31" s="2044"/>
      <c r="I31" s="2044"/>
      <c r="J31" s="2044"/>
      <c r="K31" s="2052"/>
      <c r="L31" s="2030"/>
      <c r="M31" s="2030"/>
      <c r="N31" s="2031"/>
      <c r="O31" s="2032"/>
      <c r="P31" s="2031"/>
      <c r="Q31" s="2031"/>
      <c r="R31" s="2031"/>
      <c r="S31" s="2031"/>
      <c r="T31" s="2031"/>
      <c r="U31" s="2031"/>
      <c r="V31" s="2031"/>
    </row>
    <row r="32" spans="1:22" ht="18" customHeight="1">
      <c r="A32" s="3042"/>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42"/>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1832</v>
      </c>
      <c r="B34" s="2134" t="s">
        <v>3062</v>
      </c>
      <c r="C34" s="2134" t="s">
        <v>3063</v>
      </c>
      <c r="D34" s="2134" t="s">
        <v>3064</v>
      </c>
      <c r="E34" s="2134" t="s">
        <v>3065</v>
      </c>
      <c r="F34" s="2134" t="s">
        <v>3066</v>
      </c>
      <c r="G34" s="2134" t="s">
        <v>3067</v>
      </c>
      <c r="H34" s="2134"/>
      <c r="I34" s="2044"/>
      <c r="J34" s="2044"/>
      <c r="K34" s="1797">
        <f>COUNTIF(B34:H34,"——")</f>
        <v>0</v>
      </c>
      <c r="L34" s="2075" t="s">
        <v>1833</v>
      </c>
      <c r="M34" s="2075" t="s">
        <v>1834</v>
      </c>
      <c r="N34" s="2075" t="s">
        <v>1835</v>
      </c>
      <c r="O34" s="2075" t="s">
        <v>1836</v>
      </c>
      <c r="P34" s="2075" t="s">
        <v>1837</v>
      </c>
      <c r="Q34" s="2075" t="s">
        <v>1838</v>
      </c>
      <c r="R34" s="2075" t="s">
        <v>1839</v>
      </c>
      <c r="S34" s="3036" t="s">
        <v>1840</v>
      </c>
      <c r="T34" s="2135" t="str">
        <f>NUMBERSTRING(7-K34,1)&amp;"通"</f>
        <v>七通</v>
      </c>
      <c r="U34" s="2031"/>
      <c r="V34" s="2031"/>
    </row>
    <row r="35" spans="1:22" ht="18" customHeight="1">
      <c r="A35" s="2136"/>
      <c r="B35" s="3043" t="s">
        <v>1841</v>
      </c>
      <c r="C35" s="3043"/>
      <c r="D35" s="3043"/>
      <c r="E35" s="3043"/>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6"/>
      <c r="T35" s="48" t="str">
        <f>IF(T34="一通",L35,IF(T34="二通",M35,IF(T34="三通",N35,IF(T34="四通",O35,IF(T34="五通",P35,IF(T34="六通",Q35,R35))))))</f>
        <v>通路、通电、通讯、通上水、通下水、燃气、</v>
      </c>
      <c r="U35" s="2031"/>
      <c r="V35" s="2031"/>
    </row>
    <row r="36" spans="1:22" ht="18" customHeight="1">
      <c r="A36" s="2138"/>
      <c r="B36" s="2137" t="s">
        <v>1842</v>
      </c>
      <c r="C36" s="2137" t="s">
        <v>1843</v>
      </c>
      <c r="D36" s="2137" t="s">
        <v>1844</v>
      </c>
      <c r="E36" s="2137" t="s">
        <v>1845</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1846</v>
      </c>
      <c r="B37" s="2141" t="s">
        <v>523</v>
      </c>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1847</v>
      </c>
      <c r="B38" s="2143" t="s">
        <v>366</v>
      </c>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1849</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1850</v>
      </c>
      <c r="B42" s="1797" t="s">
        <v>1851</v>
      </c>
      <c r="C42" s="1797" t="s">
        <v>1852</v>
      </c>
      <c r="D42" s="1797" t="s">
        <v>1853</v>
      </c>
      <c r="E42" s="1797" t="s">
        <v>1854</v>
      </c>
      <c r="F42" s="1797" t="s">
        <v>1855</v>
      </c>
      <c r="G42" s="1797" t="s">
        <v>1856</v>
      </c>
      <c r="H42" s="1797" t="s">
        <v>1857</v>
      </c>
      <c r="I42" s="1797" t="s">
        <v>1858</v>
      </c>
      <c r="J42" s="2153" t="s">
        <v>1859</v>
      </c>
      <c r="K42" s="2076" t="s">
        <v>1860</v>
      </c>
      <c r="L42" s="2076" t="s">
        <v>1861</v>
      </c>
      <c r="M42" s="2076" t="s">
        <v>1862</v>
      </c>
      <c r="N42" s="1797" t="s">
        <v>1863</v>
      </c>
      <c r="O42" s="1797" t="s">
        <v>1864</v>
      </c>
      <c r="P42" s="1797" t="s">
        <v>1865</v>
      </c>
      <c r="Q42" s="2075" t="s">
        <v>1866</v>
      </c>
      <c r="R42" s="2075" t="s">
        <v>1867</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F32" sqref="F32"/>
      <selection pane="topRight" activeCell="F32" sqref="F32"/>
      <selection pane="bottomLeft" activeCell="F32" sqref="F32"/>
      <selection pane="bottomRight" activeCell="K13" sqref="K13"/>
    </sheetView>
  </sheetViews>
  <sheetFormatPr defaultColWidth="8.875" defaultRowHeight="14.25"/>
  <cols>
    <col min="1" max="1" width="10.625" style="2160" customWidth="1"/>
    <col min="2" max="2" width="11" style="2160" customWidth="1"/>
    <col min="3" max="3" width="12.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0</v>
      </c>
      <c r="B3" s="14">
        <f>IF(C3="否",G5-AT5,G5)</f>
        <v>5121.38</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5"/>
      <c r="C5" s="1805"/>
      <c r="D5" s="1808"/>
      <c r="E5" s="16" t="s">
        <v>1</v>
      </c>
      <c r="F5" s="16">
        <f>SUM(F13:F587)</f>
        <v>0</v>
      </c>
      <c r="G5" s="16">
        <f>SUM(G13:G587)</f>
        <v>5121.38</v>
      </c>
      <c r="H5" s="16">
        <f t="shared" ref="H5:AT5" si="0">SUM(H13:H656)</f>
        <v>5121.38</v>
      </c>
      <c r="I5" s="16">
        <f t="shared" si="0"/>
        <v>5121.38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5121.38</v>
      </c>
      <c r="BA5" s="18">
        <f t="shared" si="1"/>
        <v>5121.38</v>
      </c>
      <c r="BB5" s="18">
        <f t="shared" si="1"/>
        <v>5121.38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1886</v>
      </c>
      <c r="AV7" s="23" t="s">
        <v>1887</v>
      </c>
      <c r="AW7" s="2167" t="s">
        <v>1888</v>
      </c>
      <c r="AX7" s="23" t="s">
        <v>1881</v>
      </c>
      <c r="AY7" s="1805"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0"/>
      <c r="K8" s="1820"/>
      <c r="L8" s="1820"/>
      <c r="M8" s="1820"/>
      <c r="N8" s="1820"/>
      <c r="O8" s="1820"/>
      <c r="P8" s="1820"/>
      <c r="Q8" s="1820"/>
      <c r="R8" s="1820"/>
      <c r="S8" s="1820"/>
      <c r="T8" s="1820"/>
      <c r="U8" s="1820"/>
      <c r="V8" s="2187"/>
      <c r="W8" s="1820"/>
      <c r="X8" s="1820"/>
      <c r="Y8" s="1820"/>
      <c r="Z8" s="1820"/>
      <c r="AA8" s="2187"/>
      <c r="AB8" s="2188"/>
      <c r="AC8" s="984" t="s">
        <v>1892</v>
      </c>
      <c r="AD8" s="2189"/>
      <c r="AE8" s="2181"/>
      <c r="AF8" s="1820"/>
      <c r="AG8" s="1820"/>
      <c r="AH8" s="1820"/>
      <c r="AI8" s="1820"/>
      <c r="AJ8" s="1820"/>
      <c r="AK8" s="1820"/>
      <c r="AL8" s="1820"/>
      <c r="AM8" s="1820"/>
      <c r="AN8" s="1820"/>
      <c r="AO8" s="1820"/>
      <c r="AP8" s="1820"/>
      <c r="AQ8" s="1820"/>
      <c r="AR8" s="1820"/>
      <c r="AS8" s="1820"/>
      <c r="AT8" s="1295" t="s">
        <v>1893</v>
      </c>
      <c r="AU8" s="2183" t="s">
        <v>1894</v>
      </c>
      <c r="AV8" s="1295"/>
      <c r="AW8" s="2166"/>
      <c r="AX8" s="1295"/>
      <c r="AY8" s="2167"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1897</v>
      </c>
      <c r="I9" s="2192" t="s">
        <v>3068</v>
      </c>
      <c r="J9" s="984"/>
      <c r="K9" s="2192" t="s">
        <v>3069</v>
      </c>
      <c r="L9" s="984"/>
      <c r="M9" s="2192" t="s">
        <v>3068</v>
      </c>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0"/>
      <c r="BN9" s="2186"/>
      <c r="BO9" s="1820"/>
      <c r="BP9" s="1820"/>
      <c r="BQ9" s="1820"/>
      <c r="BR9" s="1820"/>
      <c r="BS9" s="1820"/>
      <c r="BT9" s="26"/>
    </row>
    <row r="10" spans="1:72" s="2190" customFormat="1" ht="12.75">
      <c r="A10" s="2183"/>
      <c r="B10" s="2183"/>
      <c r="C10" s="2183"/>
      <c r="D10" s="2183"/>
      <c r="E10" s="2183"/>
      <c r="F10" s="2183"/>
      <c r="G10" s="1295"/>
      <c r="H10" s="28"/>
      <c r="I10" s="2192" t="s">
        <v>1376</v>
      </c>
      <c r="J10" s="984"/>
      <c r="K10" s="2192" t="s">
        <v>1376</v>
      </c>
      <c r="L10" s="984"/>
      <c r="M10" s="2192" t="s">
        <v>1376</v>
      </c>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t="s">
        <v>3058</v>
      </c>
      <c r="J11" s="2204"/>
      <c r="K11" s="2203" t="s">
        <v>3058</v>
      </c>
      <c r="L11" s="2204"/>
      <c r="M11" s="2203" t="s">
        <v>3070</v>
      </c>
      <c r="N11" s="2204"/>
      <c r="O11" s="2203"/>
      <c r="P11" s="2204"/>
      <c r="Q11" s="2203"/>
      <c r="R11" s="2204"/>
      <c r="S11" s="2203"/>
      <c r="T11" s="2204"/>
      <c r="U11" s="2203"/>
      <c r="V11" s="2204"/>
      <c r="W11" s="2203"/>
      <c r="X11" s="2204"/>
      <c r="Y11" s="2203"/>
      <c r="Z11" s="2204"/>
      <c r="AA11" s="2203"/>
      <c r="AB11" s="2204"/>
      <c r="AC11" s="1295"/>
      <c r="AD11" s="2205" t="s">
        <v>1907</v>
      </c>
      <c r="AE11" s="1821"/>
      <c r="AF11" s="2205" t="s">
        <v>1907</v>
      </c>
      <c r="AG11" s="1821"/>
      <c r="AH11" s="2205" t="s">
        <v>1908</v>
      </c>
      <c r="AI11" s="2206"/>
      <c r="AJ11" s="2205" t="s">
        <v>1908</v>
      </c>
      <c r="AK11" s="1821"/>
      <c r="AL11" s="1819"/>
      <c r="AM11" s="1821"/>
      <c r="AN11" s="1819"/>
      <c r="AO11" s="1821"/>
      <c r="AP11" s="1819"/>
      <c r="AQ11" s="1821"/>
      <c r="AR11" s="1819"/>
      <c r="AS11" s="1821"/>
      <c r="AT11" s="2166"/>
      <c r="AU11" s="2183"/>
      <c r="AV11" s="1295"/>
      <c r="AW11" s="2166"/>
      <c r="AX11" s="1295"/>
      <c r="AY11" s="28"/>
      <c r="AZ11" s="28"/>
      <c r="BA11" s="28"/>
      <c r="BB11" s="2188" t="str">
        <f>I10</f>
        <v>商业</v>
      </c>
      <c r="BC11" s="2188" t="str">
        <f>K10</f>
        <v>商业</v>
      </c>
      <c r="BD11" s="2188" t="str">
        <f>M10</f>
        <v>商业</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10"/>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酒店</v>
      </c>
      <c r="BC12" s="2213" t="str">
        <f>K11</f>
        <v>酒店</v>
      </c>
      <c r="BD12" s="2213" t="str">
        <f>M11</f>
        <v>办公楼</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5" customHeight="1">
      <c r="A13" s="1275"/>
      <c r="B13" s="1275"/>
      <c r="C13" s="1275"/>
      <c r="D13" s="2214" t="s">
        <v>3071</v>
      </c>
      <c r="E13" s="16">
        <f>IF($C$3="是",ROUND($A$3*G13/$B$3,2),ROUND($A$3*(G13-AT13)/$B$3,2))</f>
        <v>0</v>
      </c>
      <c r="F13" s="32"/>
      <c r="G13" s="33">
        <f>H13+AC13+AT13</f>
        <v>0</v>
      </c>
      <c r="H13" s="20">
        <f>SUMIF(I$12:AB$12,"总值",I13:AB13)</f>
        <v>0</v>
      </c>
      <c r="I13" s="2215"/>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c r="D14" s="2214" t="s">
        <v>3071</v>
      </c>
      <c r="E14" s="16">
        <f>IF($C$3="是",ROUND($A$3*G14/$B$3,2),ROUND($A$3*(G14-AT14)/$B$3,2))</f>
        <v>0</v>
      </c>
      <c r="F14" s="32"/>
      <c r="G14" s="33">
        <f>H14+AC14+AT14</f>
        <v>1105.49</v>
      </c>
      <c r="H14" s="20">
        <f>SUMIF(I$12:AB$12,"总值",I14:AB14)</f>
        <v>1105.49</v>
      </c>
      <c r="I14" s="2215">
        <v>1105.49</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1105.49</v>
      </c>
      <c r="BA14" s="16">
        <f>SUM(BB14:BK14)</f>
        <v>1105.49</v>
      </c>
      <c r="BB14" s="16">
        <f>IF($D14="是",I14-J14,0)</f>
        <v>1105.49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1275"/>
      <c r="D15" s="2214" t="s">
        <v>3071</v>
      </c>
      <c r="E15" s="16">
        <f>IF($C$3="是",ROUND($A$3*G15/$B$3,2),ROUND($A$3*(G15-AT15)/$B$3,2))</f>
        <v>0</v>
      </c>
      <c r="F15" s="32"/>
      <c r="G15" s="33">
        <f>H15+AC15+AT15</f>
        <v>1338.95</v>
      </c>
      <c r="H15" s="20">
        <f>SUMIF(I$12:AB$12,"总值",I15:AB15)</f>
        <v>1338.95</v>
      </c>
      <c r="I15" s="2215">
        <v>1338.95</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1338.95</v>
      </c>
      <c r="BA15" s="16">
        <f>SUM(BB15:BK15)</f>
        <v>1338.95</v>
      </c>
      <c r="BB15" s="16">
        <f>IF($D15="是",I15-J15,0)</f>
        <v>1338.95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c r="D16" s="2214" t="s">
        <v>3071</v>
      </c>
      <c r="E16" s="16">
        <f>IF($C$3="是",ROUND($A$3*G16/$B$3,2),ROUND($A$3*(G16-AT16)/$B$3,2))</f>
        <v>0</v>
      </c>
      <c r="F16" s="32"/>
      <c r="G16" s="33">
        <f>H16+AC16+AT16</f>
        <v>1338.47</v>
      </c>
      <c r="H16" s="20">
        <f>SUMIF(I$12:AB$12,"总值",I16:AB16)</f>
        <v>1338.47</v>
      </c>
      <c r="I16" s="2215">
        <v>1338.47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1338.47</v>
      </c>
      <c r="BA16" s="16">
        <f>SUM(BB16:BK16)</f>
        <v>1338.47</v>
      </c>
      <c r="BB16" s="16">
        <f>IF($D16="是",I16-J16,0)</f>
        <v>1338.47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1275"/>
      <c r="D17" s="2214" t="s">
        <v>3071</v>
      </c>
      <c r="E17" s="16">
        <f>IF($C$3="是",ROUND($A$3*G17/$B$3,2),ROUND($A$3*(G17-AT17)/$B$3,2))</f>
        <v>0</v>
      </c>
      <c r="F17" s="32"/>
      <c r="G17" s="33">
        <f>H17+AC17+AT17</f>
        <v>1338.47</v>
      </c>
      <c r="H17" s="20">
        <f>SUMIF(I$12:AB$12,"总值",I17:AB17)</f>
        <v>1338.47</v>
      </c>
      <c r="I17" s="2215">
        <v>1338.47</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1338.47</v>
      </c>
      <c r="BA17" s="16">
        <f>SUM(BB17:BK17)</f>
        <v>1338.47</v>
      </c>
      <c r="BB17" s="16">
        <f>IF($D17="是",I17-J17,0)</f>
        <v>1338.47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4" t="s">
        <v>3071</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77" t="s">
        <v>1937</v>
      </c>
      <c r="B2" s="3077"/>
      <c r="C2" s="3077"/>
      <c r="D2" s="970" t="s">
        <v>1913</v>
      </c>
      <c r="E2" s="2228" t="s">
        <v>1914</v>
      </c>
      <c r="F2" s="1395"/>
      <c r="G2" s="2229"/>
      <c r="H2" s="2230"/>
      <c r="I2" s="2231" t="s">
        <v>1938</v>
      </c>
      <c r="J2" s="1395"/>
      <c r="K2" s="1395"/>
      <c r="L2" s="1395"/>
      <c r="M2" s="1395"/>
      <c r="N2" s="1430"/>
      <c r="O2" s="1395"/>
      <c r="P2" s="1395"/>
    </row>
    <row r="3" spans="1:16" ht="15.75" thickBot="1">
      <c r="A3" s="3078" t="s">
        <v>1911</v>
      </c>
      <c r="B3" s="3078"/>
      <c r="C3" s="3078"/>
      <c r="D3" s="46">
        <f>'数据-基础表'!AY6</f>
        <v>0</v>
      </c>
      <c r="E3" s="46">
        <f>'数据-基础表'!AZ5</f>
        <v>5121.38</v>
      </c>
      <c r="F3" s="1395"/>
      <c r="G3" s="1402"/>
      <c r="H3" s="1250" t="s">
        <v>1912</v>
      </c>
      <c r="I3" s="55" t="e">
        <f>ROUND('数据-基础表'!B3/'数据-基础表'!A3,2)</f>
        <v>#DIV/0!</v>
      </c>
      <c r="J3" s="1395"/>
      <c r="K3" s="1395"/>
      <c r="L3" s="1395"/>
      <c r="M3" s="1395"/>
      <c r="N3" s="1430"/>
      <c r="O3" s="1395"/>
      <c r="P3" s="1395"/>
    </row>
    <row r="4" spans="1:16" ht="15">
      <c r="A4" s="3079"/>
      <c r="B4" s="3080"/>
      <c r="C4" s="3081"/>
      <c r="D4" s="2232" t="s">
        <v>1913</v>
      </c>
      <c r="E4" s="2233" t="s">
        <v>1914</v>
      </c>
      <c r="F4" s="1395"/>
      <c r="G4" s="2234" t="s">
        <v>1939</v>
      </c>
      <c r="H4" s="1250" t="s">
        <v>1919</v>
      </c>
      <c r="I4" s="55" t="e">
        <f>ROUND(SUMIF('数据-基础表'!I9:AS9,"地上",'数据-基础表'!I5:AS5)/'数据-基础表'!A3,2)</f>
        <v>#DIV/0!</v>
      </c>
      <c r="J4" s="1395"/>
      <c r="K4" s="1395"/>
      <c r="L4" s="1395"/>
      <c r="M4" s="1395"/>
      <c r="N4" s="1430"/>
      <c r="O4" s="1395"/>
      <c r="P4" s="1395"/>
    </row>
    <row r="5" spans="1:16">
      <c r="A5" s="47" t="s">
        <v>1915</v>
      </c>
      <c r="B5" s="3082" t="s">
        <v>1916</v>
      </c>
      <c r="C5" s="3082"/>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5"/>
      <c r="B6" s="3082" t="s">
        <v>1917</v>
      </c>
      <c r="C6" s="3082"/>
      <c r="D6" s="48">
        <f>ROUND($D$3*E6/$E$3,2)</f>
        <v>0</v>
      </c>
      <c r="E6" s="49">
        <f>E3-E5</f>
        <v>5121.38</v>
      </c>
      <c r="F6" s="1395"/>
      <c r="G6" s="2236" t="s">
        <v>1918</v>
      </c>
      <c r="H6" s="1402" t="s">
        <v>1919</v>
      </c>
      <c r="I6" s="942" t="e">
        <f>ROUND(F31/D31,2)</f>
        <v>#DIV/0!</v>
      </c>
      <c r="J6" s="1395"/>
      <c r="K6" s="1395"/>
      <c r="L6" s="1395"/>
      <c r="M6" s="1395"/>
      <c r="N6" s="1395"/>
      <c r="O6" s="1395"/>
      <c r="P6" s="1395"/>
    </row>
    <row r="7" spans="1:16" ht="15">
      <c r="A7" s="3074"/>
      <c r="B7" s="3075"/>
      <c r="C7" s="3076"/>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5121.38</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0</v>
      </c>
      <c r="E16" s="53">
        <f>SUM(E8:E15)</f>
        <v>5121.38</v>
      </c>
      <c r="F16" s="1395"/>
      <c r="G16" s="2238"/>
      <c r="H16" s="2241" t="s">
        <v>1941</v>
      </c>
      <c r="I16" s="2242"/>
      <c r="J16" s="1395"/>
      <c r="K16" s="3071" t="s">
        <v>1941</v>
      </c>
      <c r="L16" s="3072"/>
      <c r="M16" s="3072"/>
      <c r="N16" s="3072"/>
      <c r="O16" s="3072"/>
      <c r="P16" s="3073"/>
    </row>
    <row r="17" spans="1:19" ht="15">
      <c r="A17" s="2243" t="s">
        <v>1942</v>
      </c>
      <c r="B17" s="2244" t="s">
        <v>1943</v>
      </c>
      <c r="C17" s="2245" t="s">
        <v>1944</v>
      </c>
      <c r="D17" s="2246" t="s">
        <v>1932</v>
      </c>
      <c r="E17" s="2247" t="s">
        <v>1933</v>
      </c>
      <c r="F17" s="2248"/>
      <c r="G17" s="2249"/>
      <c r="H17" s="2250" t="s">
        <v>1945</v>
      </c>
      <c r="I17" s="2251" t="s">
        <v>1930</v>
      </c>
      <c r="J17" s="1395"/>
      <c r="K17" s="3068" t="s">
        <v>1946</v>
      </c>
      <c r="L17" s="3069"/>
      <c r="M17" s="3070"/>
      <c r="N17" s="3068" t="s">
        <v>1947</v>
      </c>
      <c r="O17" s="3069"/>
      <c r="P17" s="3070"/>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56" t="s">
        <v>3202</v>
      </c>
      <c r="D19" s="48">
        <f>ROUND($D$3*E19/$E$3,2)</f>
        <v>0</v>
      </c>
      <c r="E19" s="56">
        <f t="shared" ref="E19:E26" si="1">SUM(F19:G19)</f>
        <v>5121.38</v>
      </c>
      <c r="F19" s="57">
        <f>'数据-基础表'!I5</f>
        <v>5121.38</v>
      </c>
      <c r="G19" s="58">
        <f>'数据-基础表'!K5</f>
        <v>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0</v>
      </c>
      <c r="S19" s="1251">
        <f t="shared" si="5"/>
        <v>5121.38</v>
      </c>
    </row>
    <row r="20" spans="1:19">
      <c r="A20" s="2264"/>
      <c r="B20" s="50" t="s">
        <v>1959</v>
      </c>
      <c r="C20" s="295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0</v>
      </c>
      <c r="E27" s="1397">
        <f>IF(SUM(E19:E26)='数据-基础表'!BA5,SUM(E19:E26),IF(F27="地上面积有误","面积有误","地下面积有误"))</f>
        <v>5121.38</v>
      </c>
      <c r="F27" s="1396">
        <f>IF(SUM(F19:F26)=E8,SUM(F19:F26),"地上面积有误")</f>
        <v>5121.38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5121.38</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0</v>
      </c>
      <c r="E31" s="729">
        <f>E27+E30</f>
        <v>5121.38</v>
      </c>
      <c r="F31" s="730">
        <f>F27+F30</f>
        <v>5121.38</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topLeftCell="A13" zoomScale="115" zoomScaleNormal="115" workbookViewId="0">
      <selection activeCell="F35" sqref="F35"/>
    </sheetView>
  </sheetViews>
  <sheetFormatPr defaultRowHeight="14.25"/>
  <cols>
    <col min="1" max="1" width="17.5" style="1947" customWidth="1"/>
    <col min="2" max="2" width="5.125" style="1947" customWidth="1"/>
    <col min="3" max="3" width="27.25" style="1947" customWidth="1"/>
    <col min="4" max="4" width="9.125" style="1947" bestFit="1" customWidth="1"/>
    <col min="5" max="6" width="11.625" style="1947" bestFit="1" customWidth="1"/>
    <col min="7" max="7" width="10.5" style="1947" customWidth="1"/>
    <col min="8" max="8" width="10.875" style="1947" customWidth="1"/>
    <col min="9" max="9" width="21.75" style="1947" customWidth="1"/>
    <col min="10" max="13" width="9" style="1947"/>
    <col min="14" max="14" width="14.875" style="1947" customWidth="1"/>
    <col min="15" max="16384" width="9" style="1947"/>
  </cols>
  <sheetData>
    <row r="1" spans="1:19" s="1637" customFormat="1" ht="13.5">
      <c r="A1" s="1637" t="s">
        <v>3109</v>
      </c>
      <c r="B1" s="1637" t="s">
        <v>3110</v>
      </c>
      <c r="C1" s="1637" t="s">
        <v>3111</v>
      </c>
      <c r="D1" s="1637" t="s">
        <v>3112</v>
      </c>
      <c r="E1" s="1637" t="s">
        <v>3113</v>
      </c>
      <c r="F1" s="1637" t="s">
        <v>3114</v>
      </c>
      <c r="G1" s="1637" t="s">
        <v>3115</v>
      </c>
      <c r="H1" s="1637" t="s">
        <v>3116</v>
      </c>
      <c r="I1" s="1637" t="s">
        <v>3117</v>
      </c>
      <c r="J1" s="1637" t="s">
        <v>3118</v>
      </c>
      <c r="K1" s="1637" t="s">
        <v>3119</v>
      </c>
      <c r="L1" s="1637" t="s">
        <v>3120</v>
      </c>
      <c r="M1" s="1637" t="s">
        <v>3121</v>
      </c>
    </row>
    <row r="2" spans="1:19" s="2963" customFormat="1" ht="13.5">
      <c r="A2" s="2963" t="s">
        <v>3143</v>
      </c>
      <c r="B2" s="2963" t="s">
        <v>3049</v>
      </c>
      <c r="C2" s="2963" t="s">
        <v>3122</v>
      </c>
      <c r="D2" s="2963" t="s">
        <v>3123</v>
      </c>
      <c r="E2" s="2963">
        <v>27295.08</v>
      </c>
      <c r="F2" s="2963">
        <v>160000</v>
      </c>
      <c r="G2" s="2963">
        <v>5.8</v>
      </c>
      <c r="H2" s="2963" t="s">
        <v>3144</v>
      </c>
      <c r="I2" s="2963" t="s">
        <v>3145</v>
      </c>
      <c r="J2" s="2963">
        <v>434000</v>
      </c>
      <c r="K2" s="2963">
        <v>10600.2</v>
      </c>
      <c r="L2" s="2963">
        <v>27125</v>
      </c>
      <c r="M2" s="2963">
        <v>0.46</v>
      </c>
    </row>
    <row r="3" spans="1:19" s="2963" customFormat="1" ht="13.5">
      <c r="A3" s="2963" t="s">
        <v>3161</v>
      </c>
      <c r="B3" s="2963" t="s">
        <v>3049</v>
      </c>
      <c r="C3" s="2963" t="s">
        <v>3122</v>
      </c>
      <c r="D3" s="2963" t="s">
        <v>3123</v>
      </c>
      <c r="E3" s="2963">
        <v>14788.3</v>
      </c>
      <c r="F3" s="2963">
        <v>59153</v>
      </c>
      <c r="G3" s="2963">
        <v>4</v>
      </c>
      <c r="H3" s="2963" t="s">
        <v>3162</v>
      </c>
      <c r="I3" s="2963" t="s">
        <v>3163</v>
      </c>
      <c r="J3" s="2963">
        <v>21000</v>
      </c>
      <c r="K3" s="2963">
        <v>12087.29</v>
      </c>
      <c r="L3" s="2963">
        <v>29753.34</v>
      </c>
      <c r="M3" s="2963">
        <v>146.15</v>
      </c>
    </row>
    <row r="4" spans="1:19" s="2963" customFormat="1" ht="13.5">
      <c r="A4" s="2963" t="s">
        <v>3164</v>
      </c>
      <c r="B4" s="2963" t="s">
        <v>3049</v>
      </c>
      <c r="C4" s="2963" t="s">
        <v>3122</v>
      </c>
      <c r="D4" s="2963" t="s">
        <v>3123</v>
      </c>
      <c r="E4" s="2963">
        <v>29500</v>
      </c>
      <c r="F4" s="2963">
        <v>118000</v>
      </c>
      <c r="G4" s="2963">
        <v>4</v>
      </c>
      <c r="H4" s="2963" t="s">
        <v>3162</v>
      </c>
      <c r="I4" s="2963" t="s">
        <v>3163</v>
      </c>
      <c r="J4" s="2963">
        <v>42000</v>
      </c>
      <c r="K4" s="2963">
        <v>12033.89</v>
      </c>
      <c r="L4" s="2963">
        <v>28983.040000000001</v>
      </c>
      <c r="M4" s="2963">
        <v>140.85</v>
      </c>
    </row>
    <row r="5" spans="1:19" s="1637" customFormat="1" ht="13.5">
      <c r="A5" s="1637" t="s">
        <v>3124</v>
      </c>
      <c r="B5" s="1637" t="s">
        <v>3049</v>
      </c>
      <c r="C5" s="1637" t="s">
        <v>3122</v>
      </c>
      <c r="D5" s="1637" t="s">
        <v>3123</v>
      </c>
      <c r="E5" s="1637">
        <v>27500</v>
      </c>
      <c r="F5" s="1637">
        <v>110000</v>
      </c>
      <c r="G5" s="1637">
        <v>4</v>
      </c>
      <c r="H5" s="1637" t="s">
        <v>3125</v>
      </c>
      <c r="I5" s="1637" t="s">
        <v>3126</v>
      </c>
      <c r="J5" s="1637">
        <v>176000</v>
      </c>
      <c r="K5" s="1637">
        <v>4266.67</v>
      </c>
      <c r="L5" s="1637">
        <v>16000</v>
      </c>
      <c r="M5" s="1637">
        <v>36.43</v>
      </c>
    </row>
    <row r="8" spans="1:19">
      <c r="C8" s="1947" t="s">
        <v>3074</v>
      </c>
      <c r="D8" s="1947" t="s">
        <v>3075</v>
      </c>
      <c r="E8" s="1947" t="s">
        <v>3076</v>
      </c>
      <c r="F8" s="1947" t="s">
        <v>3077</v>
      </c>
      <c r="G8" s="1947" t="s">
        <v>3078</v>
      </c>
      <c r="H8" s="1947" t="s">
        <v>3079</v>
      </c>
      <c r="I8" s="1947" t="s">
        <v>3080</v>
      </c>
      <c r="K8" s="1947">
        <v>2013</v>
      </c>
      <c r="L8" s="1947">
        <v>2014</v>
      </c>
      <c r="M8" s="1947">
        <v>2015</v>
      </c>
      <c r="N8" s="1947">
        <v>2016</v>
      </c>
      <c r="O8" s="1947">
        <v>2017</v>
      </c>
      <c r="P8" s="1947">
        <v>2018</v>
      </c>
      <c r="Q8" s="2961" t="s">
        <v>3092</v>
      </c>
    </row>
    <row r="9" spans="1:19">
      <c r="B9" s="1947" t="s">
        <v>3081</v>
      </c>
      <c r="C9" s="1947">
        <v>6258.95</v>
      </c>
      <c r="D9" s="1947">
        <f>'数据-基础表'!I5+'数据-基础表'!K5</f>
        <v>5121.38</v>
      </c>
      <c r="E9" s="2958">
        <v>41414</v>
      </c>
      <c r="F9" s="2958">
        <v>46892</v>
      </c>
      <c r="G9" s="2959">
        <v>10.039999999999999</v>
      </c>
      <c r="H9" s="2959">
        <v>1464.59</v>
      </c>
      <c r="I9" s="2960">
        <v>0.03</v>
      </c>
      <c r="K9" s="1947">
        <f>H9</f>
        <v>1464.59</v>
      </c>
      <c r="L9" s="1947">
        <f>K9*(1+$I$9)</f>
        <v>1508.5276999999999</v>
      </c>
      <c r="M9" s="1947">
        <f t="shared" ref="M9:P9" si="0">L9*(1+$I$9)</f>
        <v>1553.7835309999998</v>
      </c>
      <c r="N9" s="1947">
        <f t="shared" si="0"/>
        <v>1600.3970369299998</v>
      </c>
      <c r="O9" s="1947">
        <f t="shared" si="0"/>
        <v>1648.4089480378998</v>
      </c>
      <c r="P9" s="1947">
        <f t="shared" si="0"/>
        <v>1697.8612164790368</v>
      </c>
      <c r="Q9" s="1947">
        <f>ROUND(P9/D9/365*10000,2)</f>
        <v>9.08</v>
      </c>
      <c r="S9" s="1947">
        <f>Q9*(1+I9)^G9</f>
        <v>12.21719721691354</v>
      </c>
    </row>
    <row r="10" spans="1:19">
      <c r="B10" s="1947" t="s">
        <v>3082</v>
      </c>
      <c r="C10" s="1947">
        <v>590.29999999999995</v>
      </c>
      <c r="D10" s="1947">
        <f>C10</f>
        <v>590.29999999999995</v>
      </c>
      <c r="E10" s="2958">
        <v>41866</v>
      </c>
      <c r="F10" s="2958">
        <v>43691</v>
      </c>
      <c r="G10" s="1947">
        <v>1.27</v>
      </c>
      <c r="H10" s="1947">
        <v>127.5</v>
      </c>
      <c r="I10" s="2960">
        <v>0.04</v>
      </c>
      <c r="L10" s="1947">
        <f>H10</f>
        <v>127.5</v>
      </c>
      <c r="M10" s="1947">
        <f>L10*(1+$I$10)</f>
        <v>132.6</v>
      </c>
      <c r="N10" s="1947">
        <f t="shared" ref="N10:P10" si="1">M10*(1+$I$10)</f>
        <v>137.904</v>
      </c>
      <c r="O10" s="1947">
        <f t="shared" si="1"/>
        <v>143.42016000000001</v>
      </c>
      <c r="P10" s="1947">
        <f t="shared" si="1"/>
        <v>149.15696640000002</v>
      </c>
      <c r="Q10" s="1947">
        <f>ROUND(P10/D10/365*10000,2)</f>
        <v>6.92</v>
      </c>
    </row>
    <row r="11" spans="1:19">
      <c r="B11" s="1947" t="s">
        <v>3082</v>
      </c>
      <c r="C11" s="1947">
        <v>700</v>
      </c>
      <c r="D11" s="1947">
        <f>C11</f>
        <v>700</v>
      </c>
      <c r="E11" s="2958">
        <v>41384</v>
      </c>
      <c r="F11" s="2958">
        <v>43209</v>
      </c>
      <c r="H11" s="1947">
        <v>151.19999999999999</v>
      </c>
      <c r="I11" s="2960">
        <v>0.04</v>
      </c>
      <c r="K11" s="1947">
        <f>H11</f>
        <v>151.19999999999999</v>
      </c>
      <c r="L11" s="1947">
        <f>K11*(1+$I$11)</f>
        <v>157.24799999999999</v>
      </c>
      <c r="M11" s="1947">
        <f t="shared" ref="M11:P11" si="2">L11*(1+$I$11)</f>
        <v>163.53791999999999</v>
      </c>
      <c r="N11" s="1947">
        <f t="shared" si="2"/>
        <v>170.0794368</v>
      </c>
      <c r="O11" s="1947">
        <f t="shared" si="2"/>
        <v>176.88261427200001</v>
      </c>
      <c r="P11" s="1947">
        <f t="shared" si="2"/>
        <v>183.95791884288002</v>
      </c>
      <c r="Q11" s="1947">
        <f>ROUND(P11/D11/365*10000,2)</f>
        <v>7.2</v>
      </c>
    </row>
    <row r="16" spans="1:19" ht="15" customHeight="1">
      <c r="B16" s="2973" t="s">
        <v>3174</v>
      </c>
      <c r="C16" s="2973" t="s">
        <v>3176</v>
      </c>
      <c r="D16" s="2973" t="s">
        <v>3177</v>
      </c>
      <c r="E16" s="2973" t="s">
        <v>3178</v>
      </c>
      <c r="F16" s="2977" t="s">
        <v>3179</v>
      </c>
      <c r="G16" s="2974" t="s">
        <v>3180</v>
      </c>
      <c r="H16" s="2974" t="s">
        <v>3181</v>
      </c>
    </row>
    <row r="17" spans="2:13">
      <c r="B17" s="2975">
        <v>1</v>
      </c>
      <c r="C17" s="2974" t="s">
        <v>3185</v>
      </c>
      <c r="D17" s="2974">
        <v>58</v>
      </c>
      <c r="E17" s="2974">
        <v>-1</v>
      </c>
      <c r="F17" s="2978" t="s">
        <v>3182</v>
      </c>
      <c r="G17" s="2974">
        <v>1137.57</v>
      </c>
      <c r="H17" s="2974" t="s">
        <v>3183</v>
      </c>
    </row>
    <row r="18" spans="2:13">
      <c r="B18" s="2975">
        <v>2</v>
      </c>
      <c r="C18" s="2974" t="s">
        <v>3186</v>
      </c>
      <c r="D18" s="2974">
        <v>58</v>
      </c>
      <c r="E18" s="2974">
        <v>1</v>
      </c>
      <c r="F18" s="2978" t="s">
        <v>3187</v>
      </c>
      <c r="G18" s="2976">
        <v>1105.49</v>
      </c>
      <c r="H18" s="2974" t="s">
        <v>3183</v>
      </c>
    </row>
    <row r="19" spans="2:13">
      <c r="B19" s="2975">
        <v>3</v>
      </c>
      <c r="C19" s="2974" t="s">
        <v>3188</v>
      </c>
      <c r="D19" s="2974">
        <v>58</v>
      </c>
      <c r="E19" s="2974">
        <v>2</v>
      </c>
      <c r="F19" s="2978" t="s">
        <v>3189</v>
      </c>
      <c r="G19" s="2976">
        <v>1338.95</v>
      </c>
      <c r="H19" s="2974" t="s">
        <v>3183</v>
      </c>
    </row>
    <row r="20" spans="2:13">
      <c r="B20" s="2975">
        <v>4</v>
      </c>
      <c r="C20" s="2974" t="s">
        <v>3190</v>
      </c>
      <c r="D20" s="2974">
        <v>58</v>
      </c>
      <c r="E20" s="2974">
        <v>3</v>
      </c>
      <c r="F20" s="2978" t="s">
        <v>3191</v>
      </c>
      <c r="G20" s="2976">
        <v>1338.47</v>
      </c>
      <c r="H20" s="2974" t="s">
        <v>3183</v>
      </c>
    </row>
    <row r="21" spans="2:13">
      <c r="B21" s="3083" t="s">
        <v>3195</v>
      </c>
      <c r="C21" s="3084"/>
      <c r="D21" s="3084"/>
      <c r="E21" s="3084"/>
      <c r="F21" s="3085"/>
      <c r="G21" s="2976">
        <f>SUM(G17:G20)</f>
        <v>4920.4800000000005</v>
      </c>
      <c r="H21" s="2974"/>
    </row>
    <row r="22" spans="2:13">
      <c r="B22" s="2975">
        <v>5</v>
      </c>
      <c r="C22" s="2974" t="s">
        <v>3192</v>
      </c>
      <c r="D22" s="2974">
        <v>58</v>
      </c>
      <c r="E22" s="2974">
        <v>4</v>
      </c>
      <c r="F22" s="2978" t="s">
        <v>3194</v>
      </c>
      <c r="G22" s="2976">
        <v>1338.47</v>
      </c>
      <c r="H22" s="2974" t="s">
        <v>3183</v>
      </c>
    </row>
    <row r="23" spans="2:13">
      <c r="B23" s="2975">
        <v>6</v>
      </c>
      <c r="C23" s="2974" t="s">
        <v>3193</v>
      </c>
      <c r="D23" s="2974">
        <v>58</v>
      </c>
      <c r="E23" s="2974">
        <v>5</v>
      </c>
      <c r="F23" s="2978" t="s">
        <v>3200</v>
      </c>
      <c r="G23" s="2974">
        <v>1290.3</v>
      </c>
      <c r="H23" s="2974" t="s">
        <v>3184</v>
      </c>
    </row>
    <row r="24" spans="2:13">
      <c r="B24" s="3083" t="s">
        <v>3195</v>
      </c>
      <c r="C24" s="3084"/>
      <c r="D24" s="3084"/>
      <c r="E24" s="3084"/>
      <c r="F24" s="3085"/>
      <c r="G24" s="2979">
        <f>SUM(G22:G23)</f>
        <v>2628.77</v>
      </c>
      <c r="H24" s="2974"/>
    </row>
    <row r="25" spans="2:13">
      <c r="B25" s="3083" t="s">
        <v>37</v>
      </c>
      <c r="C25" s="3084"/>
      <c r="D25" s="3084"/>
      <c r="E25" s="3084"/>
      <c r="F25" s="3085"/>
      <c r="G25" s="2979">
        <f>SUM(G24,G21)</f>
        <v>7549.25</v>
      </c>
      <c r="H25" s="2974"/>
    </row>
    <row r="27" spans="2:13" ht="15" thickBot="1">
      <c r="F27" s="1947">
        <f ca="1">结果表!H118</f>
        <v>5352</v>
      </c>
    </row>
    <row r="28" spans="2:13" ht="15" thickTop="1">
      <c r="C28" s="2980" t="s">
        <v>3196</v>
      </c>
      <c r="D28" s="2980"/>
      <c r="E28" s="2981" t="s">
        <v>3175</v>
      </c>
      <c r="F28" s="2981" t="s">
        <v>3197</v>
      </c>
      <c r="G28" s="2987" t="s">
        <v>3198</v>
      </c>
      <c r="H28" s="2985">
        <f ca="1">ROUND('收益法（汇总）'!B6/'收益法（汇总）'!B2*租赁!F27,0)</f>
        <v>5352</v>
      </c>
      <c r="I28" s="1947">
        <v>-1</v>
      </c>
      <c r="J28" s="1947">
        <f>E29</f>
        <v>1137.57</v>
      </c>
      <c r="K28" s="1947">
        <v>0.35</v>
      </c>
      <c r="L28" s="2990">
        <f ca="1">$L$29*K28</f>
        <v>4553.2417175337232</v>
      </c>
      <c r="M28" s="1947">
        <f ca="1">H28-M29-M30-M31-M32</f>
        <v>518</v>
      </c>
    </row>
    <row r="29" spans="2:13">
      <c r="C29" s="2982">
        <f>'数据-基础表'!C13</f>
        <v>0</v>
      </c>
      <c r="D29" s="2983"/>
      <c r="E29" s="2984">
        <f>G17</f>
        <v>1137.57</v>
      </c>
      <c r="F29" s="2984">
        <f ca="1">M28</f>
        <v>518</v>
      </c>
      <c r="G29" s="2987" t="s">
        <v>3199</v>
      </c>
      <c r="H29" s="2985">
        <f ca="1">F27-H28</f>
        <v>0</v>
      </c>
      <c r="I29" s="1947">
        <v>1</v>
      </c>
      <c r="J29" s="1947">
        <f t="shared" ref="J29:J31" si="3">E30</f>
        <v>1105.49</v>
      </c>
      <c r="K29" s="1947">
        <v>1</v>
      </c>
      <c r="L29" s="2990">
        <f ca="1">J34/K33</f>
        <v>13009.262050096353</v>
      </c>
      <c r="M29" s="1947">
        <f ca="1">ROUND(L29*J29/10000,0)</f>
        <v>1438</v>
      </c>
    </row>
    <row r="30" spans="2:13">
      <c r="C30" s="2982">
        <f>'数据-基础表'!C14</f>
        <v>0</v>
      </c>
      <c r="D30" s="2983"/>
      <c r="E30" s="2984">
        <f t="shared" ref="E30:E32" si="4">G18</f>
        <v>1105.49</v>
      </c>
      <c r="F30" s="2984">
        <f ca="1">M29</f>
        <v>1438</v>
      </c>
      <c r="I30" s="1947">
        <v>2</v>
      </c>
      <c r="J30" s="1947">
        <f t="shared" si="3"/>
        <v>1338.95</v>
      </c>
      <c r="K30" s="1947">
        <v>0.7</v>
      </c>
      <c r="L30" s="2990">
        <f ca="1">$L$29*K30</f>
        <v>9106.4834350674464</v>
      </c>
      <c r="M30" s="1947">
        <f t="shared" ref="M30:M32" ca="1" si="5">ROUND(L30*J30/10000,0)</f>
        <v>1219</v>
      </c>
    </row>
    <row r="31" spans="2:13">
      <c r="C31" s="2982">
        <f>'数据-基础表'!C15</f>
        <v>0</v>
      </c>
      <c r="D31" s="2985"/>
      <c r="E31" s="2984">
        <f t="shared" si="4"/>
        <v>1338.95</v>
      </c>
      <c r="F31" s="2984">
        <f ca="1">M30</f>
        <v>1219</v>
      </c>
      <c r="I31" s="1947">
        <v>3</v>
      </c>
      <c r="J31" s="1947">
        <f t="shared" si="3"/>
        <v>1338.47</v>
      </c>
      <c r="K31" s="1947">
        <v>0.65</v>
      </c>
      <c r="L31" s="2990">
        <f t="shared" ref="L31:L32" ca="1" si="6">$L$29*K31</f>
        <v>8456.0203325626298</v>
      </c>
      <c r="M31" s="1947">
        <f t="shared" ca="1" si="5"/>
        <v>1132</v>
      </c>
    </row>
    <row r="32" spans="2:13">
      <c r="C32" s="2982">
        <f>'数据-基础表'!C16</f>
        <v>0</v>
      </c>
      <c r="D32" s="2985"/>
      <c r="E32" s="2984">
        <f t="shared" si="4"/>
        <v>1338.47</v>
      </c>
      <c r="F32" s="2984">
        <f ca="1">M31</f>
        <v>1132</v>
      </c>
      <c r="I32" s="1947">
        <v>4</v>
      </c>
      <c r="J32" s="2988">
        <f>E33</f>
        <v>1338.47</v>
      </c>
      <c r="K32" s="1947">
        <v>0.6</v>
      </c>
      <c r="L32" s="2990">
        <f t="shared" ca="1" si="6"/>
        <v>7805.5572300578115</v>
      </c>
      <c r="M32" s="1947">
        <f t="shared" ca="1" si="5"/>
        <v>1045</v>
      </c>
    </row>
    <row r="33" spans="3:11">
      <c r="C33" s="2982">
        <f>'数据-基础表'!C17</f>
        <v>0</v>
      </c>
      <c r="D33" s="2985"/>
      <c r="E33" s="2986">
        <f>G22</f>
        <v>1338.47</v>
      </c>
      <c r="F33" s="2984">
        <f ca="1">M32</f>
        <v>1045</v>
      </c>
      <c r="J33" s="1947">
        <f>SUM(J28:J32)</f>
        <v>6258.9500000000007</v>
      </c>
      <c r="K33" s="2989">
        <f>SUMPRODUCT(K28:K32,J28:J32)/SUM(J28:J32)</f>
        <v>0.65729747002292715</v>
      </c>
    </row>
    <row r="34" spans="3:11">
      <c r="C34" s="2982">
        <f>'数据-基础表'!C18</f>
        <v>0</v>
      </c>
      <c r="D34" s="2985"/>
      <c r="E34" s="2985">
        <f>G23</f>
        <v>1290.3</v>
      </c>
      <c r="F34" s="2984">
        <f ca="1">H29</f>
        <v>0</v>
      </c>
      <c r="J34" s="2990">
        <f ca="1">H28/J33*10000</f>
        <v>8550.955032393611</v>
      </c>
    </row>
    <row r="35" spans="3:11">
      <c r="C35" s="2982"/>
      <c r="D35" s="2985"/>
      <c r="E35" s="2985">
        <f>SUM(E29:E34)</f>
        <v>7549.2500000000009</v>
      </c>
      <c r="F35" s="2984">
        <f ca="1">SUM(F29:F34)</f>
        <v>5352</v>
      </c>
      <c r="G35" s="2990">
        <f ca="1">F34/E34*10000</f>
        <v>0</v>
      </c>
    </row>
  </sheetData>
  <mergeCells count="3">
    <mergeCell ref="B21:F21"/>
    <mergeCell ref="B24:F24"/>
    <mergeCell ref="B25:F25"/>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F32" sqref="F32"/>
      <selection pane="topRight" activeCell="F32" sqref="F32"/>
      <selection pane="bottomLeft" activeCell="F32" sqref="F32"/>
      <selection pane="bottomRight" activeCell="Q7" sqref="Q7"/>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3" width="7.25" style="2276" customWidth="1"/>
    <col min="34" max="34" width="9.87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1967</v>
      </c>
      <c r="B2" s="1269">
        <f>项目基本情况!D3</f>
        <v>43293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3073</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商业用房</v>
      </c>
      <c r="B6" s="2308" t="str">
        <f>IF(A6=0,"","经营性")</f>
        <v>经营性</v>
      </c>
      <c r="C6" s="2309" t="s">
        <v>1376</v>
      </c>
      <c r="D6" s="1054">
        <f>SUMIF(项目基本情况!D$12:I$12,C6,项目基本情况!D$14:I$14)</f>
        <v>40</v>
      </c>
      <c r="E6" s="1051">
        <f>IF(B6="","",SUMIF(项目基本情况!D$12:I$12,C6,项目基本情况!D$13:I$13))</f>
        <v>57166</v>
      </c>
      <c r="F6" s="72">
        <f>SUMIF(项目基本情况!D$12:I$12,C6,项目基本情况!D$15:I$15)</f>
        <v>38</v>
      </c>
      <c r="G6" s="73">
        <f>IF(ISERROR(ROUND(POWER(1+H6,D6-F6)*(POWER(1+H6,F6)-1)/(POWER(1+H6,D6)-1),3)),0,ROUND(POWER(1+H6,D6-F6)*(POWER(1+H6,F6)-1)/(POWER(1+H6,D6)-1),3))</f>
        <v>0.98299999999999998</v>
      </c>
      <c r="H6" s="802">
        <v>0.05</v>
      </c>
      <c r="I6" s="802">
        <v>5.5E-2</v>
      </c>
      <c r="J6" s="74">
        <v>0.08</v>
      </c>
      <c r="K6" s="1254">
        <f>SUMIF('数据-汇总表'!C$19:C$33,A6,'数据-汇总表'!E$19:E$33)</f>
        <v>5121.38</v>
      </c>
      <c r="L6" s="803">
        <v>3000</v>
      </c>
      <c r="M6" s="75">
        <f t="shared" ref="M6:M14" si="0">ROUND(K6*L6/10000,0)</f>
        <v>1536</v>
      </c>
      <c r="N6" s="92">
        <v>1</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2.1</v>
      </c>
      <c r="V6" s="79">
        <v>1.6E-2</v>
      </c>
      <c r="W6" s="79">
        <v>0</v>
      </c>
      <c r="X6" s="1264"/>
      <c r="Y6" s="80">
        <v>1</v>
      </c>
      <c r="Z6" s="2962">
        <f>U6*(1+3%)^5</f>
        <v>2.4344755560299998</v>
      </c>
      <c r="AA6" s="74">
        <v>2.5000000000000001E-2</v>
      </c>
      <c r="AB6" s="74">
        <v>0.1</v>
      </c>
      <c r="AC6" s="1264"/>
      <c r="AD6" s="92">
        <v>0.9</v>
      </c>
      <c r="AE6" s="1265">
        <f ca="1">IF(AN6="",0,SUMIF(INDIRECT("'"&amp;AN6&amp;"'"&amp;"!E:E"),$AE$5,INDIRECT("'"&amp;AN6&amp;"'"&amp;"!F:F")))</f>
        <v>38</v>
      </c>
      <c r="AF6" s="1806">
        <v>33</v>
      </c>
      <c r="AG6" s="147">
        <f ca="1">IF(AF6="",0,AE6-AF6)</f>
        <v>5</v>
      </c>
      <c r="AH6" s="2991">
        <f>K6</f>
        <v>5121.38</v>
      </c>
      <c r="AI6" s="85">
        <v>365</v>
      </c>
      <c r="AJ6" s="86"/>
      <c r="AK6" s="87">
        <v>1.4999999999999999E-2</v>
      </c>
      <c r="AL6" s="88">
        <v>1.5E-3</v>
      </c>
      <c r="AM6" s="89">
        <v>0.02</v>
      </c>
      <c r="AN6" s="2310" t="s">
        <v>3097</v>
      </c>
      <c r="AO6" s="55">
        <f ca="1">SUMIF(INDIRECT("'"&amp;AN6&amp;"'"&amp;"!A:A"),"总价",INDIRECT("'"&amp;AN6&amp;"'"&amp;"!B:B"))</f>
        <v>5352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92"/>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2015</v>
      </c>
      <c r="B16" s="97"/>
      <c r="C16" s="1008"/>
      <c r="D16" s="2315"/>
      <c r="E16" s="97"/>
      <c r="F16" s="97"/>
      <c r="G16" s="98">
        <f>ROUND(SUMPRODUCT(G6:G13,K6:K13)/SUMPRODUCT((G6:G13&gt;0)*(K6:K13)),3)</f>
        <v>0.98299999999999998</v>
      </c>
      <c r="H16" s="99">
        <f>ROUND(SUMPRODUCT(H6:H13,K6:K13)/SUMPRODUCT((H6:H13&gt;0)*(K6:K13)),3)</f>
        <v>0.05</v>
      </c>
      <c r="I16" s="100"/>
      <c r="J16" s="100"/>
      <c r="K16" s="101">
        <f>SUM(K6:K15)</f>
        <v>5121.38</v>
      </c>
      <c r="L16" s="102">
        <f>ROUND(M16*10000/SUM(K6:K14),0)</f>
        <v>2999</v>
      </c>
      <c r="M16" s="102">
        <f>SUM(M6:M14)</f>
        <v>1536</v>
      </c>
      <c r="N16" s="103">
        <f>ROUND(SUMPRODUCT(M6:M14,N6:N14)/M16,3)</f>
        <v>1</v>
      </c>
      <c r="O16" s="102">
        <f>SUM(O6:O14)</f>
        <v>0</v>
      </c>
      <c r="P16" s="102">
        <f>SUM(P6:P14)</f>
        <v>0</v>
      </c>
      <c r="Q16" s="104">
        <f>ROUND(SUMPRODUCT(Q6:Q13,K6:K13)/SUMPRODUCT((Q6:Q13&gt;0)*(K6:K13)),2)</f>
        <v>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2017</v>
      </c>
      <c r="B19" s="112">
        <v>0</v>
      </c>
      <c r="C19" s="2278" t="s">
        <v>2018</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2019</v>
      </c>
      <c r="B20" s="113">
        <v>2</v>
      </c>
      <c r="C20" s="2278" t="s">
        <v>2020</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2021</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2022</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2023</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2024</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2025</v>
      </c>
      <c r="B26" s="2321" t="s">
        <v>2026</v>
      </c>
      <c r="C26" s="2322" t="s">
        <v>2027</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2028</v>
      </c>
      <c r="B27" s="116"/>
      <c r="C27" s="1766" t="s">
        <v>2029</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200</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f>ROUND(B28*K16/10000,0)</f>
        <v>102</v>
      </c>
      <c r="C29" s="1766" t="s">
        <v>2032</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0.03</v>
      </c>
      <c r="C33" s="1765" t="s">
        <v>2037</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5" t="s">
        <v>2039</v>
      </c>
      <c r="D34" s="2279" t="s">
        <v>2040</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200</v>
      </c>
      <c r="C35" s="1765" t="s">
        <v>2042</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5" t="s">
        <v>2044</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2045</v>
      </c>
      <c r="B37" s="124">
        <v>0.02</v>
      </c>
      <c r="C37" s="1765" t="s">
        <v>2046</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2047</v>
      </c>
      <c r="B38" s="122">
        <v>0.02</v>
      </c>
      <c r="C38" s="1765" t="s">
        <v>2046</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2048</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2049</v>
      </c>
      <c r="B40" s="1303">
        <f ca="1">存贷款利率!G1</f>
        <v>4.7500000000000001E-2</v>
      </c>
      <c r="C40" s="1765" t="s">
        <v>2050</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2051</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2052</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2053</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2054</v>
      </c>
      <c r="B44" s="128">
        <v>7.0000000000000007E-2</v>
      </c>
      <c r="C44" s="1765" t="s">
        <v>2055</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2056</v>
      </c>
      <c r="B45" s="126">
        <v>0.03</v>
      </c>
      <c r="C45" s="1766" t="s">
        <v>2057</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2058</v>
      </c>
      <c r="B46" s="126">
        <v>0.02</v>
      </c>
      <c r="C46" s="1766" t="s">
        <v>2059</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2060</v>
      </c>
      <c r="B47" s="129">
        <v>0</v>
      </c>
      <c r="C47" s="1766" t="s">
        <v>2061</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2062</v>
      </c>
      <c r="B48" s="130">
        <v>0.03</v>
      </c>
      <c r="C48" s="1773" t="s">
        <v>2063</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2064</v>
      </c>
      <c r="B49" s="126">
        <v>5.0000000000000001E-4</v>
      </c>
      <c r="C49" s="1773" t="s">
        <v>2065</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2066</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2067</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2068</v>
      </c>
      <c r="B52" s="133">
        <f>SUMIF(A54:A63,B53,B54:B63)</f>
        <v>3</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2069</v>
      </c>
      <c r="B53" s="2957" t="s">
        <v>523</v>
      </c>
      <c r="C53" s="1430" t="s">
        <v>2070</v>
      </c>
      <c r="D53" s="2337" t="s">
        <v>2071</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2072</v>
      </c>
      <c r="B54" s="84">
        <v>30</v>
      </c>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2073</v>
      </c>
      <c r="B55" s="84">
        <v>24</v>
      </c>
      <c r="C55" s="1430">
        <v>24</v>
      </c>
      <c r="D55" s="2279"/>
      <c r="E55" s="2278"/>
      <c r="F55" s="2278"/>
      <c r="G55" s="2278"/>
      <c r="H55" s="2278"/>
      <c r="I55" s="2339"/>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2074</v>
      </c>
      <c r="B56" s="84">
        <v>18</v>
      </c>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2075</v>
      </c>
      <c r="B57" s="84">
        <v>12</v>
      </c>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2076</v>
      </c>
      <c r="B58" s="84">
        <v>3</v>
      </c>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2077</v>
      </c>
      <c r="B59" s="84">
        <v>1.5</v>
      </c>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2078</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2079</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2080</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2081</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F32" sqref="F32"/>
      <selection pane="topRight" activeCell="F32" sqref="F32"/>
      <selection pane="bottomLeft" activeCell="F32" sqref="F32"/>
      <selection pane="bottomRight" activeCell="C7" sqref="C7"/>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86" t="s">
        <v>2082</v>
      </c>
      <c r="B1" s="3087"/>
      <c r="C1" s="3087"/>
      <c r="D1" s="3087"/>
      <c r="E1" s="3087"/>
      <c r="F1" s="3087"/>
      <c r="G1" s="308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7"/>
      <c r="G2" s="2365" t="s">
        <v>2084</v>
      </c>
      <c r="H2" s="2368"/>
      <c r="I2" s="2368"/>
      <c r="J2" s="2368"/>
      <c r="K2" s="2368"/>
      <c r="L2" s="2368"/>
      <c r="M2" s="2368"/>
      <c r="N2" s="2368"/>
      <c r="O2" s="2368"/>
      <c r="P2" s="2368"/>
      <c r="Q2" s="2368"/>
      <c r="R2" s="2368"/>
    </row>
    <row r="3" spans="1:29" ht="54">
      <c r="A3" s="415" t="s">
        <v>2085</v>
      </c>
      <c r="B3" s="1271" t="s">
        <v>2086</v>
      </c>
      <c r="C3" s="2370" t="s">
        <v>2087</v>
      </c>
      <c r="D3" s="2371"/>
      <c r="E3" s="431" t="s">
        <v>2085</v>
      </c>
      <c r="F3" s="2372" t="s">
        <v>2088</v>
      </c>
      <c r="G3" s="2373" t="s">
        <v>2089</v>
      </c>
      <c r="H3" s="2368"/>
      <c r="I3" s="2368"/>
      <c r="J3" s="2368"/>
      <c r="K3" s="2368"/>
      <c r="L3" s="2368"/>
      <c r="M3" s="2368"/>
      <c r="N3" s="2368"/>
      <c r="O3" s="2368"/>
      <c r="P3" s="2368"/>
      <c r="Q3" s="2368"/>
      <c r="R3" s="2368"/>
    </row>
    <row r="4" spans="1:29" ht="67.5">
      <c r="A4" s="431"/>
      <c r="B4" s="1797" t="s">
        <v>2090</v>
      </c>
      <c r="C4" s="2967" t="s">
        <v>3146</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67.5">
      <c r="A6" s="431"/>
      <c r="B6" s="1797" t="s">
        <v>2097</v>
      </c>
      <c r="C6" s="2968" t="s">
        <v>3147</v>
      </c>
      <c r="D6" s="2371"/>
      <c r="E6" s="2375"/>
      <c r="F6" s="1797" t="s">
        <v>2098</v>
      </c>
      <c r="G6" s="2376" t="s">
        <v>2099</v>
      </c>
      <c r="H6" s="2368"/>
      <c r="I6" s="2368"/>
      <c r="J6" s="2368"/>
      <c r="K6" s="2368"/>
      <c r="L6" s="2368"/>
      <c r="M6" s="2368"/>
      <c r="N6" s="2368"/>
      <c r="O6" s="2368"/>
      <c r="P6" s="2368"/>
      <c r="Q6" s="2368"/>
      <c r="R6" s="2368"/>
    </row>
    <row r="7" spans="1:29" ht="41.25" thickBot="1">
      <c r="A7" s="431"/>
      <c r="B7" s="1797" t="s">
        <v>2095</v>
      </c>
      <c r="C7" s="2968" t="s">
        <v>3148</v>
      </c>
      <c r="D7" s="2377"/>
      <c r="E7" s="2378"/>
      <c r="F7" s="2379" t="s">
        <v>2100</v>
      </c>
      <c r="G7" s="2380" t="s">
        <v>2101</v>
      </c>
      <c r="H7" s="2368"/>
      <c r="I7" s="2368"/>
      <c r="J7" s="2368"/>
      <c r="K7" s="2368"/>
      <c r="L7" s="2368"/>
      <c r="M7" s="2368"/>
      <c r="N7" s="2368"/>
      <c r="O7" s="2368"/>
      <c r="P7" s="2368"/>
      <c r="Q7" s="2368"/>
      <c r="R7" s="2368"/>
    </row>
    <row r="8" spans="1:29" ht="27">
      <c r="A8" s="431"/>
      <c r="B8" s="1797" t="s">
        <v>2098</v>
      </c>
      <c r="C8" s="2968" t="s">
        <v>3149</v>
      </c>
      <c r="D8" s="2377"/>
      <c r="E8" s="2377"/>
      <c r="F8" s="1136"/>
      <c r="G8" s="1136"/>
      <c r="H8" s="2368"/>
      <c r="I8" s="2368"/>
      <c r="J8" s="2368"/>
      <c r="K8" s="2368"/>
      <c r="L8" s="2368"/>
      <c r="M8" s="2368"/>
      <c r="N8" s="2368"/>
      <c r="O8" s="2368"/>
      <c r="P8" s="2368"/>
      <c r="Q8" s="2368"/>
      <c r="R8" s="2368"/>
    </row>
    <row r="9" spans="1:29" ht="40.5">
      <c r="A9" s="431"/>
      <c r="B9" s="1797" t="s">
        <v>2102</v>
      </c>
      <c r="C9" s="2967" t="s">
        <v>3150</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70" t="s">
        <v>2086</v>
      </c>
      <c r="C15" s="2403" t="str">
        <f>C3</f>
        <v>估价对象周边居住用地比例、居住小区规模和社区发展完善程度，综合评价居住社区成熟度一般</v>
      </c>
      <c r="D15" s="2371"/>
      <c r="E15" s="2404" t="s">
        <v>2108</v>
      </c>
      <c r="F15" s="1270" t="s">
        <v>2109</v>
      </c>
      <c r="G15" s="135" t="str">
        <f>G3</f>
        <v>估价对象位于XX开发区，园区建设成熟度XX，产业集聚程度XX</v>
      </c>
    </row>
    <row r="16" spans="1:29" ht="71.25">
      <c r="A16" s="645"/>
      <c r="B16" s="2405" t="s">
        <v>2090</v>
      </c>
      <c r="C16" s="2406" t="str">
        <f>C4</f>
        <v>估价对象位于大红门商圈，周边商业氛围成熟度一般，人流量一般，周边有京港城生活广场、明珠商贸城等商业项目，商业繁华度一般</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2110</v>
      </c>
      <c r="G17" s="1571"/>
    </row>
    <row r="18" spans="1:18" ht="71.25">
      <c r="A18" s="645"/>
      <c r="B18" s="2408" t="s">
        <v>2097</v>
      </c>
      <c r="C18" s="136" t="str">
        <f>C6</f>
        <v>估价对象周边道路状况、公共交通通达情况：地铁10号线及71、511路等公交车、停车便捷程度，综合评价交通便捷度较好</v>
      </c>
      <c r="D18" s="2377"/>
      <c r="E18" s="2407"/>
      <c r="F18" s="2408" t="s">
        <v>2100</v>
      </c>
      <c r="G18" s="136" t="str">
        <f>G7</f>
        <v>该园区内是否有污染型企业，绿化情况，卫生条件，整体环境状况判断</v>
      </c>
    </row>
    <row r="19" spans="1:18" ht="28.5">
      <c r="A19" s="645"/>
      <c r="B19" s="2408" t="s">
        <v>2111</v>
      </c>
      <c r="C19" s="1571"/>
      <c r="D19" s="2371"/>
      <c r="E19" s="2407"/>
      <c r="F19" s="1797" t="s">
        <v>2095</v>
      </c>
      <c r="G19" s="136" t="str">
        <f>G5</f>
        <v>估价对象所在区域公共配套设施齐备情况</v>
      </c>
    </row>
    <row r="20" spans="1:18" ht="42.75">
      <c r="A20" s="645"/>
      <c r="B20" s="2408" t="s">
        <v>2112</v>
      </c>
      <c r="C20" s="2406" t="str">
        <f>C9</f>
        <v>区域自然环境：福海公园；人文环境；综合评价环境状况一般</v>
      </c>
      <c r="D20" s="2377"/>
      <c r="E20" s="2407"/>
      <c r="F20" s="1797" t="s">
        <v>2113</v>
      </c>
      <c r="G20" s="136" t="str">
        <f>G6</f>
        <v>估价对象所在区域基础设施水平</v>
      </c>
    </row>
    <row r="21" spans="1:18" ht="28.5">
      <c r="A21" s="645"/>
      <c r="B21" s="1797" t="s">
        <v>2095</v>
      </c>
      <c r="C21" s="136" t="str">
        <f>C7</f>
        <v>估价对象所在区域公共配套设施齐备情况较好</v>
      </c>
      <c r="D21" s="2371"/>
      <c r="E21" s="2407"/>
      <c r="F21" s="2408" t="s">
        <v>2114</v>
      </c>
      <c r="G21" s="2409"/>
    </row>
    <row r="22" spans="1:18" ht="13.5" customHeight="1">
      <c r="A22" s="645"/>
      <c r="B22" s="1797" t="s">
        <v>2098</v>
      </c>
      <c r="C22" s="136" t="str">
        <f>C8</f>
        <v>估价对象所在区域基础设施水平：七通</v>
      </c>
      <c r="D22" s="2371"/>
      <c r="E22" s="2407"/>
      <c r="F22" s="2408" t="s">
        <v>2103</v>
      </c>
      <c r="G22" s="1571"/>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32" sqref="F32"/>
    </sheetView>
  </sheetViews>
  <sheetFormatPr defaultRowHeight="13.5"/>
  <cols>
    <col min="1" max="1" width="23.375" style="1740" customWidth="1"/>
    <col min="2" max="9" width="15.75" style="1740" customWidth="1"/>
    <col min="10" max="16384" width="9" style="1740"/>
  </cols>
  <sheetData>
    <row r="1" spans="1:10" ht="16.5">
      <c r="A1" s="1745" t="s">
        <v>1364</v>
      </c>
      <c r="B1" s="1745">
        <f>SUM(B14:B23)</f>
        <v>5121.38</v>
      </c>
      <c r="C1" s="1744"/>
      <c r="D1" s="1744"/>
      <c r="E1" s="1744"/>
      <c r="F1" s="1744"/>
      <c r="G1" s="1742"/>
    </row>
    <row r="2" spans="1:10" ht="16.5">
      <c r="A2" s="1745" t="s">
        <v>1352</v>
      </c>
      <c r="B2" s="1745">
        <f>SUM(C14:C23)</f>
        <v>0</v>
      </c>
      <c r="C2" s="1744"/>
      <c r="D2" s="1744"/>
      <c r="E2" s="1744"/>
      <c r="F2" s="1744"/>
      <c r="G2" s="1742"/>
    </row>
    <row r="3" spans="1:10" ht="16.5">
      <c r="A3" s="1745" t="s">
        <v>1361</v>
      </c>
      <c r="B3" s="1746">
        <f>项目基本情况!D3</f>
        <v>43293</v>
      </c>
      <c r="C3" s="1744"/>
      <c r="D3" s="1744"/>
      <c r="E3" s="1744"/>
      <c r="F3" s="1744"/>
      <c r="G3" s="1742"/>
    </row>
    <row r="4" spans="1:10" ht="33">
      <c r="A4" s="1745" t="s">
        <v>1360</v>
      </c>
      <c r="B4" s="1745" t="s">
        <v>1359</v>
      </c>
      <c r="C4" s="1745" t="s">
        <v>1358</v>
      </c>
      <c r="D4" s="1745" t="s">
        <v>1357</v>
      </c>
      <c r="E4" s="1744"/>
      <c r="F4" s="1742"/>
      <c r="G4" s="1742"/>
    </row>
    <row r="5" spans="1:10" ht="16.5">
      <c r="A5" s="1745" t="s">
        <v>1356</v>
      </c>
      <c r="B5" s="1745">
        <f ca="1">SUM(D14:D23)</f>
        <v>5352</v>
      </c>
      <c r="C5" s="1745">
        <f ca="1">ROUND(B5*10000/$B$1,0)</f>
        <v>10450</v>
      </c>
      <c r="D5" s="1745" t="e">
        <f ca="1">ROUND(B5*10000/$B$2,0)</f>
        <v>#DIV/0!</v>
      </c>
      <c r="E5" s="1744"/>
      <c r="F5" s="1742"/>
      <c r="G5" s="1742"/>
    </row>
    <row r="6" spans="1:10" ht="16.5">
      <c r="A6" s="1745" t="s">
        <v>1355</v>
      </c>
      <c r="B6" s="1745">
        <f ca="1">SUM(G14:G23)</f>
        <v>5352</v>
      </c>
      <c r="C6" s="1745">
        <f ca="1">ROUND(B6*10000/$B$1,0)</f>
        <v>10450</v>
      </c>
      <c r="D6" s="1745" t="e">
        <f ca="1">ROUND(B6*10000/$B$2,0)</f>
        <v>#DIV/0!</v>
      </c>
      <c r="E6" s="1744"/>
      <c r="F6" s="1742"/>
      <c r="G6" s="1742"/>
    </row>
    <row r="7" spans="1:10" ht="16.5">
      <c r="A7" s="1745" t="s">
        <v>1363</v>
      </c>
      <c r="B7" s="1745">
        <f>SUM(H14:H23)</f>
        <v>0</v>
      </c>
      <c r="C7" s="1745">
        <f>ROUND(B7*10000/$B$1,0)</f>
        <v>0</v>
      </c>
      <c r="D7" s="1745" t="e">
        <f>ROUND(B7*10000/$B$2,0)</f>
        <v>#DIV/0!</v>
      </c>
      <c r="E7" s="1744"/>
      <c r="F7" s="1742"/>
      <c r="G7" s="1742"/>
    </row>
    <row r="8" spans="1:10" ht="16.5">
      <c r="A8" s="1745" t="s">
        <v>1284</v>
      </c>
      <c r="B8" s="1745">
        <f>SUM(I14:I23)</f>
        <v>0</v>
      </c>
      <c r="C8" s="1745">
        <f>ROUND(B8*10000/$B$1,0)</f>
        <v>0</v>
      </c>
      <c r="D8" s="1745" t="e">
        <f>ROUND(B8*10000/$B$2,0)</f>
        <v>#DIV/0!</v>
      </c>
      <c r="E8" s="1744"/>
      <c r="F8" s="1742"/>
      <c r="G8" s="1742"/>
    </row>
    <row r="9" spans="1:10" ht="16.5">
      <c r="A9" s="1745" t="s">
        <v>1354</v>
      </c>
      <c r="B9" s="1747"/>
      <c r="C9" s="1744"/>
      <c r="D9" s="1744"/>
      <c r="E9" s="1744"/>
      <c r="F9" s="1742"/>
      <c r="G9" s="1742"/>
    </row>
    <row r="10" spans="1:10" ht="16.5">
      <c r="A10" s="1745" t="s">
        <v>1353</v>
      </c>
      <c r="B10" s="1747"/>
      <c r="C10" s="1744"/>
      <c r="D10" s="1744"/>
      <c r="E10" s="1744"/>
      <c r="F10" s="1742"/>
      <c r="G10" s="1742"/>
    </row>
    <row r="11" spans="1:10" ht="16.5">
      <c r="A11" s="1745" t="s">
        <v>1369</v>
      </c>
      <c r="B11" s="1747"/>
      <c r="C11" s="1744"/>
      <c r="D11" s="1744"/>
      <c r="E11" s="1744"/>
      <c r="F11" s="1742"/>
      <c r="G11" s="1742"/>
    </row>
    <row r="12" spans="1:10" ht="16.5">
      <c r="A12" s="1744"/>
      <c r="B12" s="1744"/>
      <c r="C12" s="1744"/>
      <c r="D12" s="1744"/>
      <c r="E12" s="1744"/>
      <c r="F12" s="1742"/>
      <c r="G12" s="1742"/>
    </row>
    <row r="13" spans="1:10" ht="33">
      <c r="A13" s="1750" t="s">
        <v>1368</v>
      </c>
      <c r="B13" s="1743" t="s">
        <v>1365</v>
      </c>
      <c r="C13" s="1743" t="s">
        <v>1367</v>
      </c>
      <c r="D13" s="1743" t="s">
        <v>1366</v>
      </c>
      <c r="E13" s="1745" t="s">
        <v>1358</v>
      </c>
      <c r="F13" s="1745" t="s">
        <v>1357</v>
      </c>
      <c r="G13" s="1743" t="s">
        <v>1351</v>
      </c>
      <c r="H13" s="1743" t="s">
        <v>1362</v>
      </c>
      <c r="I13" s="1743" t="s">
        <v>1350</v>
      </c>
      <c r="J13" s="1742"/>
    </row>
    <row r="14" spans="1:10" ht="16.5">
      <c r="A14" s="1741" t="s">
        <v>1349</v>
      </c>
      <c r="B14" s="1743">
        <f>结果表!B118</f>
        <v>5121.38</v>
      </c>
      <c r="C14" s="1743">
        <f>结果表!C118</f>
        <v>0</v>
      </c>
      <c r="D14" s="1743">
        <f ca="1">结果表!H118</f>
        <v>5352</v>
      </c>
      <c r="E14" s="1743">
        <f ca="1">ROUND(D14*10000/B14,0)</f>
        <v>10450</v>
      </c>
      <c r="F14" s="1743" t="e">
        <f ca="1">ROUND(D14*10000/C14,0)</f>
        <v>#DIV/0!</v>
      </c>
      <c r="G14" s="1743">
        <f ca="1">结果表!D122</f>
        <v>5352</v>
      </c>
      <c r="H14" s="1743" t="str">
        <f>结果表!D124</f>
        <v>——</v>
      </c>
      <c r="I14" s="1743" t="str">
        <f>结果表!D126</f>
        <v>——</v>
      </c>
      <c r="J14" s="1742"/>
    </row>
    <row r="15" spans="1:10" ht="16.5">
      <c r="A15" s="1741" t="s">
        <v>1348</v>
      </c>
      <c r="B15" s="1748"/>
      <c r="C15" s="1748"/>
      <c r="D15" s="1748"/>
      <c r="E15" s="1743" t="e">
        <f t="shared" ref="E15:E23" si="0">ROUND(D15*10000/B15,0)</f>
        <v>#DIV/0!</v>
      </c>
      <c r="F15" s="1743" t="e">
        <f t="shared" ref="F15:F23" si="1">ROUND(D15*10000/C15,0)</f>
        <v>#DIV/0!</v>
      </c>
      <c r="G15" s="1749"/>
      <c r="H15" s="1749"/>
      <c r="I15" s="1748"/>
      <c r="J15" s="1742"/>
    </row>
    <row r="16" spans="1:10" ht="16.5">
      <c r="A16" s="1741" t="s">
        <v>1347</v>
      </c>
      <c r="B16" s="1748"/>
      <c r="C16" s="1748"/>
      <c r="D16" s="1748"/>
      <c r="E16" s="1743" t="e">
        <f t="shared" si="0"/>
        <v>#DIV/0!</v>
      </c>
      <c r="F16" s="1743" t="e">
        <f t="shared" si="1"/>
        <v>#DIV/0!</v>
      </c>
      <c r="G16" s="1749"/>
      <c r="H16" s="1749"/>
      <c r="I16" s="1748"/>
    </row>
    <row r="17" spans="1:9" ht="16.5">
      <c r="A17" s="1741" t="s">
        <v>1346</v>
      </c>
      <c r="B17" s="1748"/>
      <c r="C17" s="1748"/>
      <c r="D17" s="1748"/>
      <c r="E17" s="1743" t="e">
        <f t="shared" si="0"/>
        <v>#DIV/0!</v>
      </c>
      <c r="F17" s="1743" t="e">
        <f t="shared" si="1"/>
        <v>#DIV/0!</v>
      </c>
      <c r="G17" s="1749"/>
      <c r="H17" s="1749"/>
      <c r="I17" s="1748"/>
    </row>
    <row r="18" spans="1:9" ht="16.5">
      <c r="A18" s="1741" t="s">
        <v>1345</v>
      </c>
      <c r="B18" s="1748"/>
      <c r="C18" s="1748"/>
      <c r="D18" s="1748"/>
      <c r="E18" s="1743" t="e">
        <f t="shared" si="0"/>
        <v>#DIV/0!</v>
      </c>
      <c r="F18" s="1743" t="e">
        <f t="shared" si="1"/>
        <v>#DIV/0!</v>
      </c>
      <c r="G18" s="1748"/>
      <c r="H18" s="1748"/>
      <c r="I18" s="1748"/>
    </row>
    <row r="19" spans="1:9" ht="16.5">
      <c r="A19" s="1741" t="s">
        <v>1344</v>
      </c>
      <c r="B19" s="1748"/>
      <c r="C19" s="1748"/>
      <c r="D19" s="1748"/>
      <c r="E19" s="1743" t="e">
        <f t="shared" si="0"/>
        <v>#DIV/0!</v>
      </c>
      <c r="F19" s="1743" t="e">
        <f t="shared" si="1"/>
        <v>#DIV/0!</v>
      </c>
      <c r="G19" s="1748"/>
      <c r="H19" s="1748"/>
      <c r="I19" s="1748"/>
    </row>
    <row r="20" spans="1:9" ht="16.5">
      <c r="A20" s="1741" t="s">
        <v>1343</v>
      </c>
      <c r="B20" s="1748"/>
      <c r="C20" s="1748"/>
      <c r="D20" s="1748"/>
      <c r="E20" s="1743" t="e">
        <f t="shared" si="0"/>
        <v>#DIV/0!</v>
      </c>
      <c r="F20" s="1743" t="e">
        <f t="shared" si="1"/>
        <v>#DIV/0!</v>
      </c>
      <c r="G20" s="1748"/>
      <c r="H20" s="1748"/>
      <c r="I20" s="1748"/>
    </row>
    <row r="21" spans="1:9" ht="16.5">
      <c r="A21" s="1741" t="s">
        <v>1342</v>
      </c>
      <c r="B21" s="1748"/>
      <c r="C21" s="1748"/>
      <c r="D21" s="1748"/>
      <c r="E21" s="1743" t="e">
        <f t="shared" si="0"/>
        <v>#DIV/0!</v>
      </c>
      <c r="F21" s="1743" t="e">
        <f t="shared" si="1"/>
        <v>#DIV/0!</v>
      </c>
      <c r="G21" s="1748"/>
      <c r="H21" s="1748"/>
      <c r="I21" s="1748"/>
    </row>
    <row r="22" spans="1:9" ht="16.5">
      <c r="A22" s="1741" t="s">
        <v>1341</v>
      </c>
      <c r="B22" s="1748"/>
      <c r="C22" s="1748"/>
      <c r="D22" s="1748"/>
      <c r="E22" s="1743" t="e">
        <f t="shared" si="0"/>
        <v>#DIV/0!</v>
      </c>
      <c r="F22" s="1743" t="e">
        <f t="shared" si="1"/>
        <v>#DIV/0!</v>
      </c>
      <c r="G22" s="1748"/>
      <c r="H22" s="1748"/>
      <c r="I22" s="1748"/>
    </row>
    <row r="23" spans="1:9" ht="16.5">
      <c r="A23" s="1741" t="s">
        <v>1340</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2117</v>
      </c>
      <c r="B1" s="2419"/>
      <c r="C1" s="2420"/>
      <c r="D1" s="2419"/>
      <c r="E1" s="2419"/>
      <c r="F1" s="2421" t="s">
        <v>2118</v>
      </c>
      <c r="G1" s="2071" t="s">
        <v>3059</v>
      </c>
      <c r="H1" s="2422" t="str">
        <f>IF(G1="现房","——","估价对象范围")</f>
        <v>——</v>
      </c>
      <c r="I1" s="2423" t="s">
        <v>3101</v>
      </c>
    </row>
    <row r="2" spans="1:12" ht="21.75" customHeight="1" thickBot="1">
      <c r="A2" s="3121" t="str">
        <f>项目基本情况!S2</f>
        <v>北京市丰台区南顶村58号楼-1至5层配套用房房地产</v>
      </c>
      <c r="B2" s="3122"/>
      <c r="C2" s="3122"/>
      <c r="D2" s="3122"/>
      <c r="E2" s="3122"/>
      <c r="F2" s="3122"/>
      <c r="G2" s="3122"/>
      <c r="H2" s="3122"/>
      <c r="I2" s="3123"/>
    </row>
    <row r="3" spans="1:12" ht="12.75">
      <c r="A3" s="3125" t="s">
        <v>2119</v>
      </c>
      <c r="B3" s="3126"/>
      <c r="C3" s="3126"/>
      <c r="D3" s="3126"/>
      <c r="E3" s="3126"/>
      <c r="F3" s="3126"/>
      <c r="G3" s="3126"/>
      <c r="H3" s="3126"/>
      <c r="I3" s="3126"/>
    </row>
    <row r="4" spans="1:12" ht="14.25">
      <c r="A4" s="2426" t="s">
        <v>2120</v>
      </c>
      <c r="B4" s="2427" t="s">
        <v>2121</v>
      </c>
      <c r="C4" s="2428" t="s">
        <v>3204</v>
      </c>
      <c r="D4" s="2428" t="s">
        <v>3103</v>
      </c>
      <c r="E4" s="3118" t="s">
        <v>2122</v>
      </c>
      <c r="F4" s="3119"/>
      <c r="G4" s="3119"/>
      <c r="H4" s="3119"/>
      <c r="I4" s="3127"/>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2123</v>
      </c>
      <c r="B5" s="3036">
        <v>25</v>
      </c>
      <c r="C5" s="3104"/>
      <c r="D5" s="3124"/>
      <c r="E5" s="140" t="s">
        <v>2124</v>
      </c>
      <c r="F5" s="2430"/>
      <c r="G5" s="2430"/>
      <c r="H5" s="2430"/>
      <c r="I5" s="1833"/>
    </row>
    <row r="6" spans="1:12" ht="12.75">
      <c r="A6" s="3101"/>
      <c r="B6" s="3036"/>
      <c r="C6" s="3105"/>
      <c r="D6" s="3124"/>
      <c r="E6" s="140" t="s">
        <v>2125</v>
      </c>
      <c r="F6" s="2430"/>
      <c r="G6" s="2430"/>
      <c r="H6" s="2430"/>
      <c r="I6" s="1833"/>
    </row>
    <row r="7" spans="1:12" ht="12.75">
      <c r="A7" s="3101"/>
      <c r="B7" s="3036"/>
      <c r="C7" s="3106"/>
      <c r="D7" s="3124"/>
      <c r="E7" s="140" t="s">
        <v>2126</v>
      </c>
      <c r="F7" s="2430"/>
      <c r="G7" s="2430"/>
      <c r="H7" s="2430"/>
      <c r="I7" s="1833"/>
    </row>
    <row r="8" spans="1:12" ht="12.75">
      <c r="A8" s="3101" t="s">
        <v>2127</v>
      </c>
      <c r="B8" s="3036">
        <v>15</v>
      </c>
      <c r="C8" s="3104"/>
      <c r="D8" s="3124"/>
      <c r="E8" s="140" t="s">
        <v>2128</v>
      </c>
      <c r="F8" s="2430"/>
      <c r="G8" s="2430"/>
      <c r="H8" s="2430"/>
      <c r="I8" s="1833"/>
    </row>
    <row r="9" spans="1:12" ht="12.75">
      <c r="A9" s="3101"/>
      <c r="B9" s="3036"/>
      <c r="C9" s="3106"/>
      <c r="D9" s="3124"/>
      <c r="E9" s="140" t="s">
        <v>2129</v>
      </c>
      <c r="F9" s="2430"/>
      <c r="G9" s="2430"/>
      <c r="H9" s="2430"/>
      <c r="I9" s="1833"/>
    </row>
    <row r="10" spans="1:12" ht="12.75">
      <c r="A10" s="3101" t="s">
        <v>2130</v>
      </c>
      <c r="B10" s="3036">
        <v>15</v>
      </c>
      <c r="C10" s="3104"/>
      <c r="D10" s="3124"/>
      <c r="E10" s="140" t="s">
        <v>2131</v>
      </c>
      <c r="F10" s="2430"/>
      <c r="G10" s="2430"/>
      <c r="H10" s="2430"/>
      <c r="I10" s="1833"/>
    </row>
    <row r="11" spans="1:12" ht="12.75">
      <c r="A11" s="3101"/>
      <c r="B11" s="3036"/>
      <c r="C11" s="3106"/>
      <c r="D11" s="3124"/>
      <c r="E11" s="140" t="s">
        <v>2132</v>
      </c>
      <c r="F11" s="2430"/>
      <c r="G11" s="2430"/>
      <c r="H11" s="2430"/>
      <c r="I11" s="1833"/>
    </row>
    <row r="12" spans="1:12" ht="12.75">
      <c r="A12" s="3101" t="s">
        <v>2133</v>
      </c>
      <c r="B12" s="3036">
        <v>15</v>
      </c>
      <c r="C12" s="3104"/>
      <c r="D12" s="3124"/>
      <c r="E12" s="140" t="s">
        <v>2134</v>
      </c>
      <c r="F12" s="2430"/>
      <c r="G12" s="2430"/>
      <c r="H12" s="2430"/>
      <c r="I12" s="1833"/>
    </row>
    <row r="13" spans="1:12" ht="12.75">
      <c r="A13" s="3101"/>
      <c r="B13" s="3036"/>
      <c r="C13" s="3106"/>
      <c r="D13" s="3124"/>
      <c r="E13" s="140" t="s">
        <v>2135</v>
      </c>
      <c r="F13" s="2430"/>
      <c r="G13" s="2430"/>
      <c r="H13" s="2430"/>
      <c r="I13" s="1833"/>
    </row>
    <row r="14" spans="1:12" ht="12.75">
      <c r="A14" s="3101" t="s">
        <v>2136</v>
      </c>
      <c r="B14" s="3036">
        <v>30</v>
      </c>
      <c r="C14" s="3104">
        <v>0</v>
      </c>
      <c r="D14" s="3124">
        <v>10</v>
      </c>
      <c r="E14" s="140" t="s">
        <v>2137</v>
      </c>
      <c r="F14" s="2430"/>
      <c r="G14" s="2430"/>
      <c r="H14" s="2430"/>
      <c r="I14" s="1833"/>
    </row>
    <row r="15" spans="1:12" ht="12.75">
      <c r="A15" s="3101"/>
      <c r="B15" s="3036"/>
      <c r="C15" s="3105"/>
      <c r="D15" s="3124"/>
      <c r="E15" s="140" t="s">
        <v>2138</v>
      </c>
      <c r="F15" s="2430"/>
      <c r="G15" s="2430"/>
      <c r="H15" s="2430"/>
      <c r="I15" s="1833"/>
    </row>
    <row r="16" spans="1:12" ht="12.75">
      <c r="A16" s="3101"/>
      <c r="B16" s="3036"/>
      <c r="C16" s="3106"/>
      <c r="D16" s="3124"/>
      <c r="E16" s="140" t="s">
        <v>2139</v>
      </c>
      <c r="F16" s="2430"/>
      <c r="G16" s="2430"/>
      <c r="H16" s="2430"/>
      <c r="I16" s="1833"/>
    </row>
    <row r="17" spans="1:35" ht="15">
      <c r="A17" s="2431" t="s">
        <v>2140</v>
      </c>
      <c r="B17" s="64"/>
      <c r="C17" s="141">
        <f>SUM(C5:C16)</f>
        <v>0</v>
      </c>
      <c r="D17" s="141">
        <f>SUM(D5:D16)</f>
        <v>10</v>
      </c>
      <c r="E17" s="138"/>
      <c r="F17" s="138"/>
      <c r="G17" s="138"/>
      <c r="H17" s="138"/>
      <c r="I17" s="138"/>
      <c r="K17" s="2429"/>
      <c r="L17" s="2432" t="s">
        <v>2141</v>
      </c>
      <c r="M17" s="2432" t="s">
        <v>2142</v>
      </c>
    </row>
    <row r="18" spans="1:35" ht="15.75" thickBot="1">
      <c r="A18" s="2433" t="s">
        <v>2143</v>
      </c>
      <c r="B18" s="2434"/>
      <c r="C18" s="142">
        <f>ROUND(C17/SUM(C17:D17),2)</f>
        <v>0</v>
      </c>
      <c r="D18" s="142">
        <f>1-C18</f>
        <v>1</v>
      </c>
      <c r="E18" s="138"/>
      <c r="F18" s="138"/>
      <c r="G18" s="138"/>
      <c r="H18" s="138"/>
      <c r="I18" s="138"/>
      <c r="K18" s="2429" t="s">
        <v>2144</v>
      </c>
      <c r="L18" s="2429">
        <f>IF(C1="",'数据-汇总表'!E3,SUMIF(项目类型,C1,'数据-汇总表'!E17:E26)+SUMIF(项目类型,C1,'数据-汇总表'!I17:I26))</f>
        <v>5121.38</v>
      </c>
      <c r="M18" s="2429">
        <f>IF(C1="",'数据-汇总表'!E3,SUMIF(项目类型,C1,'数据-汇总表'!E17:E26))</f>
        <v>5121.38</v>
      </c>
    </row>
    <row r="19" spans="1:35" ht="15">
      <c r="A19" s="2435" t="s">
        <v>2145</v>
      </c>
      <c r="B19" s="2436" t="s">
        <v>2146</v>
      </c>
      <c r="C19" s="143" t="e">
        <f ca="1">SUMIF(INDIRECT("'"&amp;C4&amp;"'"&amp;"!A:A"),结果表!B19,INDIRECT("'"&amp;C4&amp;"'"&amp;"!B:B"))</f>
        <v>#REF!</v>
      </c>
      <c r="D19" s="144">
        <f ca="1">SUMIF(INDIRECT("'"&amp;D4&amp;"'"&amp;"!A:A"),结果表!B19,INDIRECT("'"&amp;D4&amp;"'"&amp;"!B:B"))</f>
        <v>5352</v>
      </c>
      <c r="E19" s="2435" t="s">
        <v>2147</v>
      </c>
      <c r="F19" s="2436" t="s">
        <v>2146</v>
      </c>
      <c r="G19" s="145">
        <f ca="1">D19</f>
        <v>5352</v>
      </c>
      <c r="H19" s="2437" t="s">
        <v>2148</v>
      </c>
      <c r="I19" s="138"/>
      <c r="K19" s="2429" t="s">
        <v>2149</v>
      </c>
      <c r="L19" s="2429">
        <f>IF(C1="",'数据-汇总表'!D3,SUMIF(项目类型,C1,'数据-汇总表'!D17:D26)+SUMIF(项目类型,C1,'数据-汇总表'!H17:H27))</f>
        <v>0</v>
      </c>
      <c r="M19" s="2429">
        <f>IF(C1="",'数据-汇总表'!D3,SUMIF(项目类型,C1,'数据-汇总表'!D17:D26))</f>
        <v>0</v>
      </c>
    </row>
    <row r="20" spans="1:35" ht="15">
      <c r="A20" s="2438"/>
      <c r="B20" s="1250" t="s">
        <v>2150</v>
      </c>
      <c r="C20" s="146" t="e">
        <f ca="1">SUMIF(INDIRECT("'"&amp;C4&amp;"'"&amp;"!A:A"),结果表!B20,INDIRECT("'"&amp;C4&amp;"'"&amp;"!B:B"))</f>
        <v>#REF!</v>
      </c>
      <c r="D20" s="147">
        <f ca="1">SUMIF(INDIRECT("'"&amp;D4&amp;"'"&amp;"!A:A"),结果表!B20,INDIRECT("'"&amp;D4&amp;"'"&amp;"!B:B"))</f>
        <v>10450</v>
      </c>
      <c r="E20" s="2438"/>
      <c r="F20" s="1250" t="s">
        <v>2150</v>
      </c>
      <c r="G20" s="148">
        <f ca="1">D20</f>
        <v>10450</v>
      </c>
      <c r="H20" s="983" t="s">
        <v>2151</v>
      </c>
      <c r="I20" s="138"/>
    </row>
    <row r="21" spans="1:35" ht="15" customHeight="1" thickBot="1">
      <c r="A21" s="1003"/>
      <c r="B21" s="2439" t="s">
        <v>2152</v>
      </c>
      <c r="C21" s="789" t="e">
        <f ca="1">ROUND(C19*10000/L19,0)</f>
        <v>#REF!</v>
      </c>
      <c r="D21" s="790" t="e">
        <f ca="1">ROUND(D19*10000/L19,0)</f>
        <v>#DIV/0!</v>
      </c>
      <c r="E21" s="1003"/>
      <c r="F21" s="2439" t="s">
        <v>2152</v>
      </c>
      <c r="G21" s="149" t="e">
        <f ca="1">ROUND(G19*10000/L19,0)</f>
        <v>#DIV/0!</v>
      </c>
      <c r="H21" s="2440" t="s">
        <v>2151</v>
      </c>
      <c r="I21" s="138"/>
    </row>
    <row r="22" spans="1:35" ht="15" thickBot="1">
      <c r="A22" s="2282" t="s">
        <v>2153</v>
      </c>
      <c r="B22" s="2441"/>
      <c r="C22" s="2442"/>
      <c r="D22" s="791"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095" t="s">
        <v>2154</v>
      </c>
      <c r="B24" s="2436" t="s">
        <v>2146</v>
      </c>
      <c r="C24" s="145">
        <f>IF(B30=0,0,D30)</f>
        <v>0</v>
      </c>
      <c r="D24" s="2443"/>
      <c r="E24" s="138"/>
      <c r="F24" s="138"/>
      <c r="G24" s="138"/>
      <c r="H24" s="138"/>
      <c r="I24" s="138"/>
    </row>
    <row r="25" spans="1:35" ht="14.25">
      <c r="A25" s="3096"/>
      <c r="B25" s="1250"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7" customFormat="1" ht="15" thickBot="1">
      <c r="A31" s="2446"/>
      <c r="B31" s="2446"/>
      <c r="C31" s="2446"/>
      <c r="D31" s="2446"/>
      <c r="E31" s="138"/>
      <c r="F31" s="138"/>
      <c r="G31" s="138"/>
      <c r="H31" s="138"/>
      <c r="I31" s="138">
        <f>1+0.7+0.6+0.5+0.45+0.5</f>
        <v>3.75</v>
      </c>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5352</v>
      </c>
      <c r="D32" s="2450" t="s">
        <v>2161</v>
      </c>
      <c r="E32" s="138"/>
      <c r="F32" s="138"/>
      <c r="G32" s="138"/>
      <c r="H32" s="138"/>
      <c r="I32" s="138">
        <f>I31/6</f>
        <v>0.625</v>
      </c>
    </row>
    <row r="33" spans="1:15" ht="15">
      <c r="A33" s="960" t="s">
        <v>2162</v>
      </c>
      <c r="B33" s="2451"/>
      <c r="C33" s="2452" t="s">
        <v>3104</v>
      </c>
      <c r="D33" s="2453" t="s">
        <v>3102</v>
      </c>
      <c r="E33" s="2454" t="s">
        <v>2163</v>
      </c>
      <c r="F33" s="2455" t="str">
        <f>IF(D32="楼面单价","取值（单价）","取值（总价）")</f>
        <v>取值（总价）</v>
      </c>
      <c r="G33" s="138"/>
      <c r="H33" s="138"/>
      <c r="I33" s="138">
        <f ca="1">G20/I32</f>
        <v>16720</v>
      </c>
    </row>
    <row r="34" spans="1:15" ht="15">
      <c r="A34" s="2456"/>
      <c r="B34" s="2457" t="s">
        <v>2164</v>
      </c>
      <c r="C34" s="157" t="e">
        <f ca="1">IF(C33="自定义",F34,C32-C35)</f>
        <v>#DIV/0!</v>
      </c>
      <c r="D34" s="1058" t="e">
        <f ca="1">IF(C33="自定义",ROUND(C34/C32,3),IF(C33="收益比率",SUMIF(INDIRECT("'"&amp;D33&amp;"'"&amp;"!b:b"),"土地收益比率",INDIRECT("'"&amp;D33&amp;"'"&amp;"!c:c")),SUMIF(INDIRECT("'"&amp;D33&amp;"'"&amp;"!b:b"),"土地成本比率",INDIRECT("'"&amp;D33&amp;"'"&amp;"!c:c"))))</f>
        <v>#DIV/0!</v>
      </c>
      <c r="E34" s="2458" t="s">
        <v>2165</v>
      </c>
      <c r="F34" s="1738"/>
      <c r="G34" s="138"/>
      <c r="H34" s="138"/>
      <c r="I34" s="138"/>
    </row>
    <row r="35" spans="1:15" ht="15.75" thickBot="1">
      <c r="A35" s="2459"/>
      <c r="B35" s="2460" t="s">
        <v>2166</v>
      </c>
      <c r="C35" s="1444" t="e">
        <f ca="1">IF(C33="自定义",F35,ROUND(C32*D35,0))</f>
        <v>#DIV/0!</v>
      </c>
      <c r="D35" s="1445" t="e">
        <f ca="1">IF(C33="自定义",ROUND(C35/C32,3),IF(C33="收益比率",SUMIF(INDIRECT("'"&amp;D33&amp;"'"&amp;"!b:b"),"建筑物收益比率",INDIRECT("'"&amp;D33&amp;"'"&amp;"!c:c")),SUMIF(INDIRECT("'"&amp;D33&amp;"'"&amp;"!b:b"),"建筑物成本比率",INDIRECT("'"&amp;D33&amp;"'"&amp;"!c:c"))))</f>
        <v>#DIV/0!</v>
      </c>
      <c r="E35" s="2461" t="s">
        <v>2167</v>
      </c>
      <c r="F35" s="163"/>
      <c r="G35" s="138"/>
      <c r="H35" s="138"/>
      <c r="I35" s="138"/>
    </row>
    <row r="36" spans="1:15" ht="15.75" thickBot="1">
      <c r="A36" s="3113" t="s">
        <v>2168</v>
      </c>
      <c r="B36" s="2462" t="s">
        <v>2169</v>
      </c>
      <c r="C36" s="154"/>
      <c r="D36" s="2463"/>
      <c r="E36" s="2464"/>
      <c r="F36" s="2465"/>
      <c r="G36" s="138"/>
      <c r="H36" s="138"/>
      <c r="I36" s="138"/>
    </row>
    <row r="37" spans="1:15" ht="15.75" thickBot="1">
      <c r="A37" s="3114"/>
      <c r="B37" s="2268" t="s">
        <v>2170</v>
      </c>
      <c r="C37" s="156"/>
      <c r="D37" s="1395"/>
      <c r="E37" s="1395"/>
      <c r="F37" s="2465"/>
      <c r="G37" s="138"/>
      <c r="H37" s="138"/>
      <c r="I37" s="138"/>
    </row>
    <row r="38" spans="1:15" ht="15.75" thickBot="1">
      <c r="A38" s="3115"/>
      <c r="B38" s="2466" t="s">
        <v>2171</v>
      </c>
      <c r="C38" s="727"/>
      <c r="D38" s="2467" t="s">
        <v>2172</v>
      </c>
      <c r="E38" s="1395"/>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092" t="s">
        <v>2182</v>
      </c>
      <c r="B45" s="3093"/>
      <c r="C45" s="3094"/>
      <c r="D45" s="164">
        <f ca="1">ROUND(H101*F45,0)</f>
        <v>5352</v>
      </c>
      <c r="E45" s="165" t="s">
        <v>2183</v>
      </c>
      <c r="F45" s="166">
        <v>1</v>
      </c>
      <c r="G45" s="167" t="s">
        <v>2184</v>
      </c>
      <c r="H45" s="138"/>
      <c r="I45" s="138"/>
      <c r="J45" s="3152" t="s">
        <v>2185</v>
      </c>
      <c r="K45" s="3152"/>
      <c r="L45" s="3152"/>
      <c r="M45" s="3152"/>
      <c r="N45" s="3152"/>
      <c r="O45" s="3152"/>
    </row>
    <row r="46" spans="1:15" ht="14.25" customHeight="1">
      <c r="A46" s="3089" t="s">
        <v>2186</v>
      </c>
      <c r="B46" s="3090"/>
      <c r="C46" s="3090"/>
      <c r="D46" s="3090"/>
      <c r="E46" s="3090"/>
      <c r="F46" s="3090"/>
      <c r="G46" s="3091"/>
      <c r="H46" s="2481"/>
      <c r="I46" s="168"/>
      <c r="J46" s="1811">
        <v>1</v>
      </c>
      <c r="K46" s="3152" t="s">
        <v>2187</v>
      </c>
      <c r="L46" s="3152"/>
      <c r="M46" s="3172"/>
      <c r="N46" s="3172"/>
      <c r="O46" s="3172"/>
    </row>
    <row r="47" spans="1:15" ht="12" customHeight="1">
      <c r="A47" s="169" t="s">
        <v>2188</v>
      </c>
      <c r="B47" s="170"/>
      <c r="C47" s="171"/>
      <c r="D47" s="172" t="s">
        <v>2189</v>
      </c>
      <c r="E47" s="24" t="s">
        <v>2190</v>
      </c>
      <c r="F47" s="173" t="s">
        <v>2191</v>
      </c>
      <c r="G47" s="174" t="s">
        <v>2192</v>
      </c>
      <c r="H47" s="2481"/>
      <c r="I47" s="168"/>
      <c r="J47" s="1811">
        <v>2</v>
      </c>
      <c r="K47" s="3152" t="s">
        <v>2193</v>
      </c>
      <c r="L47" s="3152"/>
      <c r="M47" s="3173">
        <f>'数据-取费表'!B2</f>
        <v>43293</v>
      </c>
      <c r="N47" s="3173"/>
      <c r="O47" s="3173"/>
    </row>
    <row r="48" spans="1:15" ht="25.5">
      <c r="A48" s="3120" t="s">
        <v>2194</v>
      </c>
      <c r="B48" s="3103"/>
      <c r="C48" s="3103"/>
      <c r="D48" s="140">
        <f>IF(H48="情况1",0,IF(H48="情况2",D52,IF(H48="情况3",D53,IF(H48="情况4",D54))))</f>
        <v>0</v>
      </c>
      <c r="E48" s="1800" t="str">
        <f>IF(H48="情况4","(销售额-原购置价)×税（费）率","销售额×税（费）率")</f>
        <v>销售额×税（费）率</v>
      </c>
      <c r="F48" s="175" t="str">
        <f>IF(H48="情况1","免征",'数据-取费表'!B41)</f>
        <v>免征</v>
      </c>
      <c r="G48" s="2482" t="s">
        <v>2195</v>
      </c>
      <c r="H48" s="2483" t="s">
        <v>2196</v>
      </c>
      <c r="I48" s="2481"/>
      <c r="J48" s="1811">
        <v>3</v>
      </c>
      <c r="K48" s="3152" t="s">
        <v>2197</v>
      </c>
      <c r="L48" s="3152"/>
      <c r="M48" s="3174">
        <f ca="1">H101</f>
        <v>5352</v>
      </c>
      <c r="N48" s="3174"/>
      <c r="O48" s="3174"/>
    </row>
    <row r="49" spans="1:35" ht="25.5" customHeight="1">
      <c r="A49" s="176" t="s">
        <v>2198</v>
      </c>
      <c r="B49" s="3088" t="s">
        <v>2199</v>
      </c>
      <c r="C49" s="3088"/>
      <c r="D49" s="177">
        <v>0</v>
      </c>
      <c r="E49" s="23" t="s">
        <v>2200</v>
      </c>
      <c r="F49" s="28" t="s">
        <v>34</v>
      </c>
      <c r="G49" s="3158"/>
      <c r="H49" s="138"/>
      <c r="I49" s="2484"/>
      <c r="J49" s="1811">
        <v>4</v>
      </c>
      <c r="K49" s="3152" t="str">
        <f>IF(项目基本情况!E8="房地产抵押价值","房地产抵押价值","抵押担保权已注销时的房地产抵押价值")</f>
        <v>房地产抵押价值</v>
      </c>
      <c r="L49" s="3152"/>
      <c r="M49" s="3174">
        <f ca="1">IF(项目基本情况!E8="房地产抵押价值",H107,H109)</f>
        <v>5352</v>
      </c>
      <c r="N49" s="3174"/>
      <c r="O49" s="3174"/>
    </row>
    <row r="50" spans="1:35" ht="25.5" customHeight="1">
      <c r="A50" s="178"/>
      <c r="B50" s="3088" t="s">
        <v>2201</v>
      </c>
      <c r="C50" s="3088"/>
      <c r="D50" s="179"/>
      <c r="E50" s="31"/>
      <c r="F50" s="180"/>
      <c r="G50" s="3159"/>
      <c r="H50" s="138"/>
      <c r="I50" s="2484"/>
      <c r="J50" s="3152" t="s">
        <v>2202</v>
      </c>
      <c r="K50" s="3152"/>
      <c r="L50" s="3152"/>
      <c r="M50" s="3152"/>
      <c r="N50" s="3152"/>
      <c r="O50" s="3152"/>
    </row>
    <row r="51" spans="1:35" ht="12" customHeight="1">
      <c r="A51" s="181"/>
      <c r="B51" s="3088" t="s">
        <v>2203</v>
      </c>
      <c r="C51" s="3088"/>
      <c r="D51" s="182"/>
      <c r="E51" s="30"/>
      <c r="F51" s="180"/>
      <c r="G51" s="3160"/>
      <c r="H51" s="138"/>
      <c r="I51" s="2484"/>
      <c r="J51" s="2485" t="s">
        <v>2204</v>
      </c>
      <c r="K51" s="3152" t="s">
        <v>2205</v>
      </c>
      <c r="L51" s="3152"/>
      <c r="M51" s="2485" t="s">
        <v>2206</v>
      </c>
      <c r="N51" s="2485" t="s">
        <v>2207</v>
      </c>
      <c r="O51" s="2485" t="s">
        <v>2208</v>
      </c>
    </row>
    <row r="52" spans="1:35" ht="24" customHeight="1">
      <c r="A52" s="183" t="s">
        <v>2209</v>
      </c>
      <c r="B52" s="3088" t="s">
        <v>2210</v>
      </c>
      <c r="C52" s="3088"/>
      <c r="D52" s="182">
        <f ca="1">ROUND(D45*'数据-取费表'!B41/(1+'数据-取费表'!C42),0)</f>
        <v>285</v>
      </c>
      <c r="E52" s="11" t="s">
        <v>2211</v>
      </c>
      <c r="F52" s="184">
        <f>'数据-取费表'!B41</f>
        <v>5.6000000000000001E-2</v>
      </c>
      <c r="G52" s="2486"/>
      <c r="H52" s="138"/>
      <c r="I52" s="2484"/>
      <c r="J52" s="1811">
        <v>1</v>
      </c>
      <c r="K52" s="3153" t="s">
        <v>2212</v>
      </c>
      <c r="L52" s="3153"/>
      <c r="M52" s="1753">
        <f>D48</f>
        <v>0</v>
      </c>
      <c r="N52" s="1811" t="str">
        <f>E48</f>
        <v>销售额×税（费）率</v>
      </c>
      <c r="O52" s="1754" t="str">
        <f>F48</f>
        <v>免征</v>
      </c>
    </row>
    <row r="53" spans="1:35" ht="12" customHeight="1">
      <c r="A53" s="183" t="s">
        <v>2213</v>
      </c>
      <c r="B53" s="3111" t="s">
        <v>2214</v>
      </c>
      <c r="C53" s="3112"/>
      <c r="D53" s="182">
        <f ca="1">ROUND(D45*'数据-取费表'!B41/(1+'数据-取费表'!C42),0)</f>
        <v>285</v>
      </c>
      <c r="E53" s="11" t="s">
        <v>2211</v>
      </c>
      <c r="F53" s="184">
        <f>'数据-取费表'!B41</f>
        <v>5.6000000000000001E-2</v>
      </c>
      <c r="G53" s="2486"/>
      <c r="H53" s="138"/>
      <c r="I53" s="2484"/>
      <c r="J53" s="1811">
        <v>2</v>
      </c>
      <c r="K53" s="3153" t="s">
        <v>2215</v>
      </c>
      <c r="L53" s="3153"/>
      <c r="M53" s="1753">
        <f t="shared" ref="M53:O54" ca="1" si="0">D55</f>
        <v>3</v>
      </c>
      <c r="N53" s="1811" t="str">
        <f t="shared" si="0"/>
        <v>销售额×税（费）率</v>
      </c>
      <c r="O53" s="1754">
        <f t="shared" si="0"/>
        <v>5.0000000000000001E-4</v>
      </c>
    </row>
    <row r="54" spans="1:35" ht="12" customHeight="1">
      <c r="A54" s="183" t="s">
        <v>2216</v>
      </c>
      <c r="B54" s="3111" t="s">
        <v>2217</v>
      </c>
      <c r="C54" s="3112"/>
      <c r="D54" s="182">
        <f ca="1">C68</f>
        <v>285</v>
      </c>
      <c r="E54" s="30" t="s">
        <v>2218</v>
      </c>
      <c r="F54" s="184">
        <f>'数据-取费表'!B41</f>
        <v>5.6000000000000001E-2</v>
      </c>
      <c r="G54" s="2486"/>
      <c r="H54" s="2487"/>
      <c r="I54" s="2484"/>
      <c r="J54" s="1811">
        <v>3</v>
      </c>
      <c r="K54" s="3153" t="s">
        <v>2219</v>
      </c>
      <c r="L54" s="3153"/>
      <c r="M54" s="1753">
        <f t="shared" ca="1" si="0"/>
        <v>3029</v>
      </c>
      <c r="N54" s="1811" t="str">
        <f t="shared" si="0"/>
        <v>增值额×税（费）率</v>
      </c>
      <c r="O54" s="1755" t="str">
        <f t="shared" si="0"/>
        <v>——</v>
      </c>
    </row>
    <row r="55" spans="1:35" ht="24" customHeight="1">
      <c r="A55" s="3102" t="s">
        <v>2220</v>
      </c>
      <c r="B55" s="3103"/>
      <c r="C55" s="3103"/>
      <c r="D55" s="185">
        <f ca="1">IF(H55="个人住宅",0,ROUND(D45*I55,0))</f>
        <v>3</v>
      </c>
      <c r="E55" s="11" t="s">
        <v>2221</v>
      </c>
      <c r="F55" s="184">
        <f>IF(H55="正常",I55,"免征")</f>
        <v>5.0000000000000001E-4</v>
      </c>
      <c r="G55" s="2486"/>
      <c r="H55" s="2483" t="s">
        <v>2222</v>
      </c>
      <c r="I55" s="186">
        <f>'数据-取费表'!B49</f>
        <v>5.0000000000000001E-4</v>
      </c>
      <c r="J55" s="1811" t="str">
        <f>IF(H59="非个人房产","",4)</f>
        <v/>
      </c>
      <c r="K55" s="3153" t="str">
        <f>IF(H59="非个人房产","——","个人所得税")</f>
        <v>——</v>
      </c>
      <c r="L55" s="3153"/>
      <c r="M55" s="1756" t="str">
        <f>D59</f>
        <v>——</v>
      </c>
      <c r="N55" s="1809" t="str">
        <f>E59</f>
        <v>——</v>
      </c>
      <c r="O55" s="1757" t="str">
        <f>F59</f>
        <v>——</v>
      </c>
    </row>
    <row r="56" spans="1:35" ht="24.75">
      <c r="A56" s="3102" t="s">
        <v>2223</v>
      </c>
      <c r="B56" s="3103"/>
      <c r="C56" s="3103"/>
      <c r="D56" s="185">
        <f ca="1">IF(H56="个人住宅",D57,D58)</f>
        <v>3029</v>
      </c>
      <c r="E56" s="11" t="s">
        <v>2224</v>
      </c>
      <c r="F56" s="184" t="str">
        <f>IF(H56="正常",F58,"免征")</f>
        <v>——</v>
      </c>
      <c r="G56" s="2488" t="s">
        <v>2225</v>
      </c>
      <c r="H56" s="2489" t="s">
        <v>2222</v>
      </c>
      <c r="I56" s="2490"/>
      <c r="J56" s="1811" t="str">
        <f>IF(项目基本情况!K6="上海银行",IF(J55="",4,J55+1),"")</f>
        <v/>
      </c>
      <c r="K56" s="3176" t="str">
        <f>IF(项目基本情况!K6="上海银行","其他处置费用","")</f>
        <v/>
      </c>
      <c r="L56" s="3177"/>
      <c r="M56" s="1753" t="str">
        <f>IF(项目基本情况!K6="上海银行",M69,"")</f>
        <v/>
      </c>
      <c r="N56" s="3179" t="str">
        <f>IF(项目基本情况!K6="上海银行","包含处置中涉及的律师、诉讼、拍卖、评估等费用","")</f>
        <v/>
      </c>
      <c r="O56" s="3180"/>
    </row>
    <row r="57" spans="1:35" ht="12.75">
      <c r="A57" s="183" t="s">
        <v>2198</v>
      </c>
      <c r="B57" s="3118" t="s">
        <v>2226</v>
      </c>
      <c r="C57" s="3127"/>
      <c r="D57" s="187">
        <v>0</v>
      </c>
      <c r="E57" s="23" t="s">
        <v>2200</v>
      </c>
      <c r="F57" s="155"/>
      <c r="G57" s="2486"/>
      <c r="H57" s="2490"/>
      <c r="I57" s="2490"/>
      <c r="J57" s="3153">
        <f>IF(AND(J55="",J56=""),4,IF(项目基本情况!K6="上海银行",结果表!J56+1,结果表!J55+1))</f>
        <v>4</v>
      </c>
      <c r="K57" s="3153" t="s">
        <v>2227</v>
      </c>
      <c r="L57" s="2491" t="s">
        <v>2228</v>
      </c>
      <c r="M57" s="1758"/>
      <c r="N57" s="1759">
        <f ca="1">SUMIF(M52:M56,"&lt;9e307")</f>
        <v>3032</v>
      </c>
      <c r="O57" s="2492"/>
      <c r="P57" s="1752">
        <f ca="1">N57/M49</f>
        <v>0.56651718983557553</v>
      </c>
    </row>
    <row r="58" spans="1:35" ht="24.75">
      <c r="A58" s="183" t="s">
        <v>2209</v>
      </c>
      <c r="B58" s="3118" t="s">
        <v>2229</v>
      </c>
      <c r="C58" s="3119"/>
      <c r="D58" s="185">
        <f ca="1">IF(H58="转让取得",C81,C97)</f>
        <v>3029</v>
      </c>
      <c r="E58" s="11" t="s">
        <v>2224</v>
      </c>
      <c r="F58" s="24" t="s">
        <v>34</v>
      </c>
      <c r="G58" s="2486"/>
      <c r="H58" s="2489" t="s">
        <v>2230</v>
      </c>
      <c r="I58" s="2490"/>
      <c r="J58" s="3153"/>
      <c r="K58" s="3153"/>
      <c r="L58" s="2491" t="s">
        <v>2231</v>
      </c>
      <c r="M58" s="1760"/>
      <c r="N58" s="2493" t="str">
        <f ca="1">NUMBERSTRING(INT(N57*10000),2)&amp;"元整"</f>
        <v>叁仟零叁拾贰万元整</v>
      </c>
      <c r="O58" s="2494"/>
    </row>
    <row r="59" spans="1:35" ht="24.75" thickBot="1">
      <c r="A59" s="3156" t="s">
        <v>2232</v>
      </c>
      <c r="B59" s="3157"/>
      <c r="C59" s="3157"/>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54">
        <f>J57+1</f>
        <v>5</v>
      </c>
      <c r="K59" s="3153" t="s">
        <v>2234</v>
      </c>
      <c r="L59" s="1811" t="s">
        <v>2228</v>
      </c>
      <c r="M59" s="1761"/>
      <c r="N59" s="1762">
        <f ca="1">M49-N57</f>
        <v>2320</v>
      </c>
      <c r="O59" s="2496"/>
    </row>
    <row r="60" spans="1:35" ht="12" customHeight="1">
      <c r="A60" s="2497"/>
      <c r="B60" s="2419"/>
      <c r="C60" s="2419"/>
      <c r="D60" s="2419"/>
      <c r="E60" s="2167"/>
      <c r="F60" s="2490"/>
      <c r="G60" s="2490"/>
      <c r="H60" s="2498"/>
      <c r="I60" s="138"/>
      <c r="J60" s="3155"/>
      <c r="K60" s="3153"/>
      <c r="L60" s="2491" t="s">
        <v>2231</v>
      </c>
      <c r="M60" s="1760"/>
      <c r="N60" s="2493" t="str">
        <f ca="1">NUMBERSTRING(INT(N59*10000),2)&amp;"元整"</f>
        <v>贰仟叁佰贰拾万元整</v>
      </c>
      <c r="O60" s="2494"/>
    </row>
    <row r="61" spans="1:35" ht="13.5" thickBot="1">
      <c r="A61" s="3100" t="s">
        <v>2235</v>
      </c>
      <c r="B61" s="3100"/>
      <c r="C61" s="3100"/>
      <c r="D61" s="3100"/>
      <c r="E61" s="3100"/>
      <c r="F61" s="2490"/>
      <c r="G61" s="2490"/>
      <c r="H61" s="2498"/>
      <c r="I61" s="138"/>
      <c r="J61" s="1811">
        <f>J59+1</f>
        <v>6</v>
      </c>
      <c r="K61" s="3153" t="s">
        <v>2236</v>
      </c>
      <c r="L61" s="3153"/>
      <c r="M61" s="1763"/>
      <c r="N61" s="1764">
        <f ca="1">ROUND(N59*10000/'数据-汇总表'!E3,0)</f>
        <v>4530</v>
      </c>
      <c r="O61" s="2499"/>
    </row>
    <row r="62" spans="1:35" ht="12.75">
      <c r="A62" s="3116" t="s">
        <v>2237</v>
      </c>
      <c r="B62" s="3117"/>
      <c r="C62" s="1803"/>
      <c r="D62" s="1803" t="s">
        <v>2238</v>
      </c>
      <c r="E62" s="192" t="s">
        <v>2239</v>
      </c>
      <c r="F62" s="2490"/>
      <c r="G62" s="2490"/>
      <c r="H62" s="2498"/>
      <c r="I62" s="138"/>
    </row>
    <row r="63" spans="1:35" ht="12.75">
      <c r="A63" s="203" t="s">
        <v>775</v>
      </c>
      <c r="B63" s="193" t="s">
        <v>2240</v>
      </c>
      <c r="C63" s="194">
        <f ca="1">ROUND((C64+C65)/(1+'数据-取费表'!C42),0)</f>
        <v>5097</v>
      </c>
      <c r="D63" s="195"/>
      <c r="E63" s="196"/>
      <c r="F63" s="2490"/>
      <c r="G63" s="2490"/>
      <c r="H63" s="2498"/>
      <c r="I63" s="138"/>
      <c r="J63" s="3178" t="s">
        <v>2241</v>
      </c>
      <c r="K63" s="2500" t="s">
        <v>2242</v>
      </c>
      <c r="L63" s="1751">
        <f ca="1">IF(M49&gt;10000,M49*0.5%,IF(AND(M49&gt;1000,M49&lt;=10000),M49*1%,IF(AND(M49&gt;100,M49&lt;=1000),M49*3%,IF(AND(M49&gt;10,M49&lt;=100),M49*5%,M49*8%))))</f>
        <v>53.52</v>
      </c>
      <c r="M63" s="24">
        <f ca="1">ROUND(L63,1)</f>
        <v>53.5</v>
      </c>
      <c r="Z63" s="2424"/>
      <c r="AI63" s="2425"/>
    </row>
    <row r="64" spans="1:35" ht="14.25" customHeight="1">
      <c r="A64" s="197" t="s">
        <v>770</v>
      </c>
      <c r="B64" s="198" t="s">
        <v>2243</v>
      </c>
      <c r="C64" s="199">
        <f ca="1">D45</f>
        <v>5352</v>
      </c>
      <c r="D64" s="200" t="s">
        <v>32</v>
      </c>
      <c r="E64" s="201"/>
      <c r="F64" s="2490"/>
      <c r="G64" s="2490"/>
      <c r="H64" s="2498"/>
      <c r="I64" s="138"/>
      <c r="J64" s="3178"/>
      <c r="K64" s="2500" t="s">
        <v>2244</v>
      </c>
      <c r="L64" s="1751">
        <f ca="1">IF(M49&gt;2000,M49*0.5%,IF(AND(M49&gt;1000,M49&lt;=2000),M49*0.6%,IF(AND(M49&gt;500,M49&lt;=1000),M49*0.7%,IF(AND(M49&gt;200,M49&lt;=500),M49*0.8%,IF(AND(M49&gt;100,M49&lt;=200),M49*0.9%,IF(AND(M49&gt;50,M49&lt;=100),M49*1%,IF(AND(M49&gt;20,M49&lt;=50),M49*1.5%,IF(AND(M49&gt;10,M49&lt;=20),M49*2%,IF(AND(M49&gt;1,M49&lt;=10),M49*2.5%)))))))))</f>
        <v>26.76</v>
      </c>
      <c r="M64" s="24">
        <f t="shared" ref="M64:M65" ca="1" si="1">ROUND(L64,1)</f>
        <v>26.8</v>
      </c>
      <c r="N64" s="138" t="s">
        <v>2245</v>
      </c>
      <c r="Z64" s="2424"/>
      <c r="AI64" s="2425"/>
    </row>
    <row r="65" spans="1:35" ht="14.25" customHeight="1">
      <c r="A65" s="197" t="s">
        <v>771</v>
      </c>
      <c r="B65" s="198" t="s">
        <v>2246</v>
      </c>
      <c r="C65" s="202"/>
      <c r="D65" s="200"/>
      <c r="E65" s="201"/>
      <c r="F65" s="2490"/>
      <c r="G65" s="2490"/>
      <c r="H65" s="2498"/>
      <c r="I65" s="138"/>
      <c r="J65" s="3178"/>
      <c r="K65" s="2500" t="s">
        <v>2247</v>
      </c>
      <c r="L65" s="1751">
        <f ca="1">IF(M49&gt;1000,M49*0.1%,IF(AND(M49&gt;500,M49&lt;=1000),M49*0.5%,IF(AND(M49&gt;50,M49&lt;=500),M49*1%,IF(AND(M49&gt;1,M49&lt;=50),M49*1.5%))))</f>
        <v>5.3520000000000003</v>
      </c>
      <c r="M65" s="24">
        <f t="shared" ca="1" si="1"/>
        <v>5.4</v>
      </c>
      <c r="N65" s="138" t="s">
        <v>2245</v>
      </c>
      <c r="Z65" s="2424"/>
      <c r="AI65" s="2425"/>
    </row>
    <row r="66" spans="1:35" ht="14.25" customHeight="1">
      <c r="A66" s="203" t="s">
        <v>772</v>
      </c>
      <c r="B66" s="204" t="s">
        <v>2248</v>
      </c>
      <c r="C66" s="205"/>
      <c r="D66" s="206" t="s">
        <v>32</v>
      </c>
      <c r="E66" s="1775" t="s">
        <v>1370</v>
      </c>
      <c r="F66" s="2490"/>
      <c r="G66" s="2490"/>
      <c r="H66" s="2498"/>
      <c r="I66" s="138"/>
      <c r="J66" s="3178"/>
      <c r="K66" s="2500" t="s">
        <v>2249</v>
      </c>
      <c r="L66" s="1751">
        <f ca="1">M49*0.5%</f>
        <v>26.76</v>
      </c>
      <c r="M66" s="24">
        <f ca="1">IF(L66&gt;0.5,0.5,ROUND(L66,0))</f>
        <v>0.5</v>
      </c>
      <c r="N66" s="138" t="s">
        <v>2250</v>
      </c>
      <c r="Z66" s="2424"/>
      <c r="AI66" s="2425"/>
    </row>
    <row r="67" spans="1:35" ht="14.25" customHeight="1">
      <c r="A67" s="203" t="s">
        <v>773</v>
      </c>
      <c r="B67" s="204" t="s">
        <v>2251</v>
      </c>
      <c r="C67" s="207">
        <f ca="1">C63-C66</f>
        <v>5097</v>
      </c>
      <c r="D67" s="200" t="s">
        <v>32</v>
      </c>
      <c r="E67" s="201"/>
      <c r="F67" s="2490"/>
      <c r="G67" s="2490"/>
      <c r="H67" s="2498"/>
      <c r="I67" s="138"/>
      <c r="J67" s="3178"/>
      <c r="K67" s="2500" t="s">
        <v>2252</v>
      </c>
      <c r="L67" s="1751">
        <f ca="1">IF(M49&gt;=10000,(8.25+(M49-10000)*0.01%),IF(AND(M49&gt;=8000,M49&lt;10000),(7.85+(M49-8000)*0.02%),IF(AND(M49&gt;=5000,M49&lt;8000),(6.65+(M49-5000)*0.04%),IF(AND(M49&gt;=2000,M49&lt;5000),(4.25+(PM49-2000)*0.08%),IF(AND(M49&gt;=1000,M49&lt;2000),(2.75+(M49-1000)*0.15%),IF(AND(M49&gt;=100,M49&lt;1000),(0.5+(M49-100)*0.25%),IF(AND(M49&gt;0,M49&lt;100),M49*0.5%)))))))</f>
        <v>6.7907999999999999</v>
      </c>
      <c r="M67" s="24">
        <f ca="1">ROUND(L67*0.9,1)</f>
        <v>6.1</v>
      </c>
      <c r="Z67" s="2424"/>
      <c r="AI67" s="2425"/>
    </row>
    <row r="68" spans="1:35" ht="14.25" customHeight="1" thickBot="1">
      <c r="A68" s="208" t="s">
        <v>774</v>
      </c>
      <c r="B68" s="209" t="s">
        <v>2253</v>
      </c>
      <c r="C68" s="210">
        <f ca="1">IF(C67&lt;=0,0,ROUND(C67*D68,0))</f>
        <v>285</v>
      </c>
      <c r="D68" s="211">
        <f>'数据-取费表'!B41</f>
        <v>5.6000000000000001E-2</v>
      </c>
      <c r="E68" s="212"/>
      <c r="F68" s="2490"/>
      <c r="G68" s="2490"/>
      <c r="H68" s="2498"/>
      <c r="I68" s="138"/>
      <c r="J68" s="3178"/>
      <c r="K68" s="2500" t="s">
        <v>2254</v>
      </c>
      <c r="L68" s="1751">
        <f ca="1">IF(M49&gt;10000,M49*0.5%,IF(AND(M49&gt;5000,M49&lt;=10000),M49*1%,IF(AND(M49&gt;1000,M49&lt;=5000),M49*2%,IF(AND(M49&gt;200,M49&lt;=1000),M49*3%,M49*5%))))</f>
        <v>53.52</v>
      </c>
      <c r="M68" s="24">
        <f ca="1">ROUND(L68,1)</f>
        <v>53.5</v>
      </c>
      <c r="Z68" s="2424"/>
      <c r="AI68" s="2425"/>
    </row>
    <row r="69" spans="1:35" s="2447" customFormat="1" ht="16.5" customHeight="1">
      <c r="A69" s="2501"/>
      <c r="B69" s="2502"/>
      <c r="C69" s="2503"/>
      <c r="D69" s="2504"/>
      <c r="E69" s="2505"/>
      <c r="F69" s="2167"/>
      <c r="G69" s="2167"/>
      <c r="H69" s="2166"/>
      <c r="I69" s="2419"/>
      <c r="J69" s="3178"/>
      <c r="K69" s="2500" t="s">
        <v>2255</v>
      </c>
      <c r="L69" s="2506"/>
      <c r="M69" s="24">
        <f ca="1">ROUND(SUM(M63:M68),0)</f>
        <v>146</v>
      </c>
      <c r="N69" s="1752">
        <f ca="1">M69/M49</f>
        <v>2.7279521674140508E-2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37" t="s">
        <v>2256</v>
      </c>
      <c r="B70" s="3138"/>
      <c r="C70" s="3138"/>
      <c r="D70" s="3138"/>
      <c r="E70" s="3138"/>
      <c r="F70" s="3138"/>
      <c r="G70" s="3138"/>
      <c r="H70" s="313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6" t="s">
        <v>2237</v>
      </c>
      <c r="B71" s="3117"/>
      <c r="C71" s="1803"/>
      <c r="D71" s="1803"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5097</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31</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111" t="s">
        <v>2265</v>
      </c>
      <c r="F76" s="3088"/>
      <c r="G76" s="3088"/>
      <c r="H76" s="313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31</v>
      </c>
      <c r="D78" s="226">
        <f>'数据-取费表'!B43</f>
        <v>6.000000000000001E-3</v>
      </c>
      <c r="E78" s="3097" t="s">
        <v>2270</v>
      </c>
      <c r="F78" s="3098"/>
      <c r="G78" s="3098"/>
      <c r="H78" s="310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5066</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163.41935483870967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3029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7" t="s">
        <v>2274</v>
      </c>
      <c r="B83" s="3138"/>
      <c r="C83" s="3138"/>
      <c r="D83" s="3138"/>
      <c r="E83" s="3138"/>
      <c r="F83" s="3138"/>
      <c r="G83" s="3138"/>
      <c r="H83" s="313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6" t="s">
        <v>2237</v>
      </c>
      <c r="B84" s="3117"/>
      <c r="C84" s="1803"/>
      <c r="D84" s="1803"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5097</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31</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9"/>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97" t="s">
        <v>2283</v>
      </c>
      <c r="F91" s="3098"/>
      <c r="G91" s="3098"/>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97" t="s">
        <v>2287</v>
      </c>
      <c r="F92" s="3098"/>
      <c r="G92" s="3098"/>
      <c r="H92" s="310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31</v>
      </c>
      <c r="D93" s="226">
        <f>'数据-取费表'!B43</f>
        <v>6.000000000000001E-3</v>
      </c>
      <c r="E93" s="3097" t="s">
        <v>2270</v>
      </c>
      <c r="F93" s="3098"/>
      <c r="G93" s="3098"/>
      <c r="H93" s="310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108" t="s">
        <v>2291</v>
      </c>
      <c r="F94" s="3109"/>
      <c r="G94" s="3109"/>
      <c r="H94" s="311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5066</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163.41935483870967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3029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2292</v>
      </c>
      <c r="B99" s="2419"/>
      <c r="C99" s="2419"/>
      <c r="D99" s="2419"/>
      <c r="E99" s="2167"/>
      <c r="F99" s="2167"/>
      <c r="G99" s="2167"/>
      <c r="H99" s="2166"/>
      <c r="I99" s="138"/>
    </row>
    <row r="100" spans="1:35" ht="18.75" customHeight="1">
      <c r="A100" s="3079" t="s">
        <v>2293</v>
      </c>
      <c r="B100" s="3080"/>
      <c r="C100" s="3080"/>
      <c r="D100" s="3099"/>
      <c r="E100" s="3080" t="s">
        <v>2294</v>
      </c>
      <c r="F100" s="3080"/>
      <c r="G100" s="3080"/>
      <c r="H100" s="3099"/>
      <c r="I100" s="138"/>
    </row>
    <row r="101" spans="1:35" ht="18.75" customHeight="1">
      <c r="A101" s="3161" t="s">
        <v>2295</v>
      </c>
      <c r="B101" s="3162"/>
      <c r="C101" s="736" t="str">
        <f>C4</f>
        <v>估价方法</v>
      </c>
      <c r="D101" s="737" t="str">
        <f>D4</f>
        <v>收益法（汇总）</v>
      </c>
      <c r="E101" s="3175" t="s">
        <v>2296</v>
      </c>
      <c r="F101" s="3129"/>
      <c r="G101" s="2521" t="s">
        <v>2297</v>
      </c>
      <c r="H101" s="1048">
        <f ca="1">H118</f>
        <v>5352</v>
      </c>
      <c r="I101" s="138"/>
    </row>
    <row r="102" spans="1:35" ht="18.75" customHeight="1">
      <c r="A102" s="3131" t="s">
        <v>2298</v>
      </c>
      <c r="B102" s="2521" t="s">
        <v>2297</v>
      </c>
      <c r="C102" s="736" t="e">
        <f ca="1">C19</f>
        <v>#REF!</v>
      </c>
      <c r="D102" s="737">
        <f ca="1">D19</f>
        <v>5352</v>
      </c>
      <c r="E102" s="3175"/>
      <c r="F102" s="3129"/>
      <c r="G102" s="2521" t="s">
        <v>2299</v>
      </c>
      <c r="H102" s="371">
        <f ca="1">I118</f>
        <v>10450</v>
      </c>
      <c r="I102" s="138"/>
    </row>
    <row r="103" spans="1:35" ht="42.75" customHeight="1">
      <c r="A103" s="3131"/>
      <c r="B103" s="2521" t="s">
        <v>2299</v>
      </c>
      <c r="C103" s="738" t="e">
        <f ca="1">C20</f>
        <v>#REF!</v>
      </c>
      <c r="D103" s="739">
        <f ca="1">D20</f>
        <v>10450</v>
      </c>
      <c r="E103" s="3170" t="s">
        <v>2300</v>
      </c>
      <c r="F103" s="3171"/>
      <c r="G103" s="2522" t="s">
        <v>2301</v>
      </c>
      <c r="H103" s="1048">
        <f>IF(D36="正常操作",H104+H105+H106,H105+H106)</f>
        <v>0</v>
      </c>
      <c r="I103" s="138"/>
    </row>
    <row r="104" spans="1:35" ht="18.75" customHeight="1">
      <c r="A104" s="3131" t="s">
        <v>2302</v>
      </c>
      <c r="B104" s="2523" t="s">
        <v>2297</v>
      </c>
      <c r="C104" s="740">
        <f ca="1">H118</f>
        <v>5352</v>
      </c>
      <c r="D104" s="741"/>
      <c r="E104" s="2268" t="s">
        <v>2303</v>
      </c>
      <c r="F104" s="2259"/>
      <c r="G104" s="2522" t="s">
        <v>2301</v>
      </c>
      <c r="H104" s="1049">
        <f>IF(D36="同一抵押权人同一抵押物续贷",C36&amp;"（未扣减，详见特别提示）",C36)</f>
        <v>0</v>
      </c>
      <c r="I104" s="138"/>
    </row>
    <row r="105" spans="1:35" ht="18.75" customHeight="1" thickBot="1">
      <c r="A105" s="3132"/>
      <c r="B105" s="2524" t="s">
        <v>2299</v>
      </c>
      <c r="C105" s="742">
        <f ca="1">I118</f>
        <v>10450</v>
      </c>
      <c r="D105" s="743"/>
      <c r="E105" s="2268" t="s">
        <v>2304</v>
      </c>
      <c r="F105" s="2259"/>
      <c r="G105" s="2522" t="s">
        <v>2301</v>
      </c>
      <c r="H105" s="1049">
        <f>C37</f>
        <v>0</v>
      </c>
      <c r="I105" s="138"/>
    </row>
    <row r="106" spans="1:35" ht="18.75" customHeight="1">
      <c r="A106" s="2419" t="s">
        <v>2305</v>
      </c>
      <c r="B106" s="2419"/>
      <c r="C106" s="2419"/>
      <c r="D106" s="2419"/>
      <c r="E106" s="2525" t="s">
        <v>2306</v>
      </c>
      <c r="F106" s="2259"/>
      <c r="G106" s="2522" t="s">
        <v>2301</v>
      </c>
      <c r="H106" s="1049">
        <f>C38</f>
        <v>0</v>
      </c>
      <c r="I106" s="138"/>
    </row>
    <row r="107" spans="1:35" ht="18.75" customHeight="1">
      <c r="A107" s="138"/>
      <c r="B107" s="138"/>
      <c r="C107" s="138"/>
      <c r="D107" s="138"/>
      <c r="E107" s="3128" t="str">
        <f>IF(项目基本情况!E8="已注销","——","3.房地产抵押价值")</f>
        <v>3.房地产抵押价值</v>
      </c>
      <c r="F107" s="3129"/>
      <c r="G107" s="2521" t="s">
        <v>2297</v>
      </c>
      <c r="H107" s="1048">
        <f ca="1">IF(E107="——","——",H101-H103)</f>
        <v>5352</v>
      </c>
      <c r="I107" s="138"/>
    </row>
    <row r="108" spans="1:35" ht="18.75" customHeight="1">
      <c r="A108" s="138"/>
      <c r="B108" s="138"/>
      <c r="C108" s="138"/>
      <c r="D108" s="138"/>
      <c r="E108" s="3128"/>
      <c r="F108" s="3129"/>
      <c r="G108" s="2521" t="s">
        <v>2299</v>
      </c>
      <c r="H108" s="371">
        <f ca="1">ROUND(H107*10000/'数据-汇总表'!E3,0)</f>
        <v>10450</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21" t="s">
        <v>2297</v>
      </c>
      <c r="H109" s="348" t="str">
        <f>IF(E109="——","——",H101-H105-H106)</f>
        <v>——</v>
      </c>
      <c r="I109" s="138"/>
    </row>
    <row r="110" spans="1:35" ht="18.75" customHeight="1">
      <c r="A110" s="138"/>
      <c r="B110" s="138"/>
      <c r="C110" s="138"/>
      <c r="D110" s="138"/>
      <c r="E110" s="3128"/>
      <c r="F110" s="3129"/>
      <c r="G110" s="2521" t="s">
        <v>2299</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21" t="s">
        <v>2297</v>
      </c>
      <c r="H111" s="1048" t="str">
        <f>IF(E111="——","——",N59)</f>
        <v>——</v>
      </c>
      <c r="I111" s="138"/>
    </row>
    <row r="112" spans="1:35" ht="18.75" customHeight="1" thickBot="1">
      <c r="A112" s="138"/>
      <c r="B112" s="138"/>
      <c r="C112" s="138"/>
      <c r="D112" s="138"/>
      <c r="E112" s="3165"/>
      <c r="F112" s="3166"/>
      <c r="G112" s="2526" t="s">
        <v>2299</v>
      </c>
      <c r="H112" s="790" t="str">
        <f>IF(E111="——","——",N61)</f>
        <v>——</v>
      </c>
      <c r="I112" s="138"/>
    </row>
    <row r="113" spans="1:11" ht="18.75" customHeight="1">
      <c r="A113" s="138"/>
      <c r="B113" s="138"/>
      <c r="C113" s="138"/>
      <c r="D113" s="138"/>
      <c r="E113" s="3133" t="s">
        <v>2305</v>
      </c>
      <c r="F113" s="3133"/>
      <c r="G113" s="3133"/>
      <c r="H113" s="3133"/>
      <c r="I113" s="138"/>
    </row>
    <row r="114" spans="1:11" ht="3.75" customHeight="1">
      <c r="A114" s="2419"/>
      <c r="B114" s="2419"/>
      <c r="C114" s="2419"/>
      <c r="D114" s="2419"/>
      <c r="E114" s="2497"/>
      <c r="F114" s="2497"/>
      <c r="G114" s="2497"/>
      <c r="H114" s="2497"/>
      <c r="I114" s="2419"/>
    </row>
    <row r="115" spans="1:11" ht="18.75" customHeight="1">
      <c r="A115" s="3146" t="s">
        <v>2307</v>
      </c>
      <c r="B115" s="3147"/>
      <c r="C115" s="3147"/>
      <c r="D115" s="3147"/>
      <c r="E115" s="3147"/>
      <c r="F115" s="3147"/>
      <c r="G115" s="3147"/>
      <c r="H115" s="3147"/>
      <c r="I115" s="3148"/>
    </row>
    <row r="116" spans="1:11" ht="27" customHeight="1">
      <c r="A116" s="3036" t="s">
        <v>2308</v>
      </c>
      <c r="B116" s="3134" t="s">
        <v>2309</v>
      </c>
      <c r="C116" s="3134" t="s">
        <v>2310</v>
      </c>
      <c r="D116" s="3150" t="s">
        <v>2311</v>
      </c>
      <c r="E116" s="3151"/>
      <c r="F116" s="3142" t="s">
        <v>2312</v>
      </c>
      <c r="G116" s="3142"/>
      <c r="H116" s="3036" t="s">
        <v>2313</v>
      </c>
      <c r="I116" s="3036"/>
    </row>
    <row r="117" spans="1:11" ht="18.75" customHeight="1">
      <c r="A117" s="3036"/>
      <c r="B117" s="3135"/>
      <c r="C117" s="3135"/>
      <c r="D117" s="1797" t="s">
        <v>2314</v>
      </c>
      <c r="E117" s="1797" t="s">
        <v>2315</v>
      </c>
      <c r="F117" s="1797" t="s">
        <v>2314</v>
      </c>
      <c r="G117" s="1797" t="s">
        <v>2316</v>
      </c>
      <c r="H117" s="1797" t="s">
        <v>2314</v>
      </c>
      <c r="I117" s="1797" t="s">
        <v>2316</v>
      </c>
    </row>
    <row r="118" spans="1:11" ht="24.75" customHeight="1">
      <c r="A118" s="2527" t="str">
        <f>项目基本情况!S2</f>
        <v>北京市丰台区南顶村58号楼-1至5层配套用房房地产</v>
      </c>
      <c r="B118" s="1797">
        <f>M18</f>
        <v>5121.38</v>
      </c>
      <c r="C118" s="1797">
        <f>M19</f>
        <v>0</v>
      </c>
      <c r="D118" s="1797" t="e">
        <f ca="1">ROUND(IF(D32="总价",C34,E118*B118/10000),0)</f>
        <v>#DIV/0!</v>
      </c>
      <c r="E118" s="1797" t="e">
        <f ca="1">ROUND(IF(C33="自定义",IF(D32="楼面单价",C34,D118*10000/B118),I118-G118),0)</f>
        <v>#DIV/0!</v>
      </c>
      <c r="F118" s="1797" t="e">
        <f ca="1">ROUND(IF(D32="总价",C35,G118*B118/10000),0)</f>
        <v>#DIV/0!</v>
      </c>
      <c r="G118" s="1797" t="e">
        <f ca="1">ROUND(IF(D32="楼面单价",C35,F118*10000/B118),0)</f>
        <v>#DIV/0!</v>
      </c>
      <c r="H118" s="1797">
        <f ca="1">ROUND(IF(D32="总价",C32,I118*B118/10000),0)</f>
        <v>5352</v>
      </c>
      <c r="I118" s="1797">
        <f ca="1">ROUND(IF(D32="楼面单价",C32,H118*10000/B118),0)</f>
        <v>10450</v>
      </c>
    </row>
    <row r="119" spans="1:11" ht="18.75" customHeight="1">
      <c r="A119" s="3036" t="s">
        <v>2317</v>
      </c>
      <c r="B119" s="3036"/>
      <c r="C119" s="3036"/>
      <c r="D119" s="3139" t="e">
        <f ca="1">NUMBERSTRING(INT(D118*10000),2)&amp;"元整"</f>
        <v>#DIV/0!</v>
      </c>
      <c r="E119" s="3141"/>
      <c r="F119" s="3139" t="e">
        <f ca="1">NUMBERSTRING(INT(F118*10000),2)&amp;"元整"</f>
        <v>#DIV/0!</v>
      </c>
      <c r="G119" s="3141"/>
      <c r="H119" s="3139" t="str">
        <f ca="1">NUMBERSTRING(INT(H118*10000),2)&amp;"元整"</f>
        <v>伍仟叁佰伍拾贰万元整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4" t="str">
        <f>IF(D120=0,"故，本次评估不存在"&amp;A120,"故，本次评估"&amp;A120&amp;"为人民币"&amp;D120&amp;"万元整。")</f>
        <v>故，本次评估不存在估价师知悉的法定优先受偿款</v>
      </c>
    </row>
    <row r="121" spans="1:11" ht="18.75" customHeight="1">
      <c r="A121" s="3143" t="s">
        <v>2317</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5352</v>
      </c>
      <c r="E122" s="3168"/>
      <c r="F122" s="3168"/>
      <c r="G122" s="3168"/>
      <c r="H122" s="3168"/>
      <c r="I122" s="3169"/>
    </row>
    <row r="123" spans="1:11" ht="18.75" customHeight="1">
      <c r="A123" s="3036" t="s">
        <v>2317</v>
      </c>
      <c r="B123" s="3036"/>
      <c r="C123" s="3036"/>
      <c r="D123" s="3139" t="str">
        <f ca="1">NUMBERSTRING(INT(D122*10000),2)&amp;"元整"</f>
        <v>伍仟叁佰伍拾贰万元整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6" t="s">
        <v>2317</v>
      </c>
      <c r="B125" s="3036"/>
      <c r="C125" s="3036"/>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6" t="s">
        <v>2317</v>
      </c>
      <c r="B127" s="3036"/>
      <c r="C127" s="3036"/>
      <c r="D127" s="3139" t="e">
        <f>NUMBERSTRING(INT(D126*10000),2)&amp;"元整"</f>
        <v>#VALUE!</v>
      </c>
      <c r="E127" s="3140"/>
      <c r="F127" s="3140"/>
      <c r="G127" s="3140"/>
      <c r="H127" s="3140"/>
      <c r="I127" s="3141"/>
    </row>
    <row r="128" spans="1:11" ht="21.75" customHeight="1">
      <c r="A128" s="3149" t="s">
        <v>2318</v>
      </c>
      <c r="B128" s="3149"/>
      <c r="C128" s="3149"/>
      <c r="D128" s="3149"/>
      <c r="E128" s="3149"/>
      <c r="F128" s="3149"/>
      <c r="G128" s="3149"/>
      <c r="H128" s="3149"/>
      <c r="I128" s="3149"/>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2" t="str">
        <f>项目基本情况!B1</f>
        <v>北京市丰台区南顶村58号楼-1至5层配套用房房地产抵押价值预评估</v>
      </c>
      <c r="C37" s="2992"/>
      <c r="D37" s="2992"/>
      <c r="E37" s="2992"/>
      <c r="F37" s="2992"/>
      <c r="G37" s="2992"/>
      <c r="H37" s="2992"/>
      <c r="I37" s="2992"/>
    </row>
    <row r="38" spans="1:9">
      <c r="A38" s="1019"/>
      <c r="B38" s="1019"/>
    </row>
    <row r="39" spans="1:9">
      <c r="A39" s="1017" t="s">
        <v>818</v>
      </c>
      <c r="B39" s="1017" t="s">
        <v>820</v>
      </c>
    </row>
    <row r="40" spans="1:9">
      <c r="A40" s="1017"/>
      <c r="B40" s="1944" t="str">
        <f>项目基本情况!B5</f>
        <v>远邦控股集团有限公司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王鹏（注册号：1120050019)、梁津（注册号：1119970066)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I59" sqref="I5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2804</v>
      </c>
      <c r="B1" s="241"/>
      <c r="C1" s="245" t="s">
        <v>2805</v>
      </c>
      <c r="D1" s="388">
        <f>SUM(D29:D30,D33:D39)</f>
        <v>1105.49</v>
      </c>
      <c r="E1" s="2720"/>
      <c r="F1" s="2720"/>
      <c r="G1" s="2720"/>
      <c r="H1" s="2720"/>
      <c r="I1" s="2720"/>
      <c r="J1" s="2720"/>
      <c r="K1" s="1373"/>
      <c r="L1" s="2721" t="s">
        <v>2806</v>
      </c>
      <c r="M1" s="1083">
        <f>SUMPRODUCT((区片价!B5:B9=I2)*(区片价!C3:F3=E2)*(区片价!C5:F9))</f>
        <v>0</v>
      </c>
      <c r="N1" s="1086">
        <f>SUMPRODUCT((因素修正幅度!B5:B9=I2)*(因素修正幅度!C3:F3=E2)*(因素修正幅度!C5:F9))</f>
        <v>0</v>
      </c>
      <c r="O1" s="2722"/>
      <c r="P1" s="2722"/>
      <c r="Q1" s="1373"/>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 ca="1">C26</f>
        <v>#DIV/0!</v>
      </c>
      <c r="C2" s="2724" t="s">
        <v>2813</v>
      </c>
      <c r="D2" s="2725" t="s">
        <v>2814</v>
      </c>
      <c r="E2" s="2726" t="s">
        <v>1376</v>
      </c>
      <c r="F2" s="2725" t="s">
        <v>2815</v>
      </c>
      <c r="G2" s="2727" t="str">
        <f>IF(E2="商业",项目基本情况!B37,IF(E2="办公",项目基本情况!C37,IF(E2="住宅",项目基本情况!D37,项目基本情况!E37)))</f>
        <v>五级</v>
      </c>
      <c r="H2" s="2725" t="s">
        <v>2816</v>
      </c>
      <c r="I2" s="2727" t="str">
        <f>IF(E2="商业",项目基本情况!B38,IF(E2="办公",项目基本情况!C38,IF(E2="住宅",项目基本情况!D38,项目基本情况!E38)))</f>
        <v>Ⅴ-18</v>
      </c>
      <c r="J2" s="2728"/>
      <c r="K2" s="1373"/>
      <c r="L2" s="2729" t="s">
        <v>2817</v>
      </c>
      <c r="M2" s="1084">
        <f>SUMPRODUCT((区片价!B10:B28=I2)*(区片价!C3:F3=E2)*(区片价!C10:F28))</f>
        <v>0</v>
      </c>
      <c r="N2" s="1086">
        <f>SUMPRODUCT((因素修正幅度!B10:B28=I2)*(因素修正幅度!C3:F3=E2)*(因素修正幅度!C10:F28))</f>
        <v>0</v>
      </c>
      <c r="O2" s="1373"/>
      <c r="P2" s="1373"/>
      <c r="Q2" s="1373"/>
      <c r="R2" s="1604">
        <v>1</v>
      </c>
      <c r="S2" s="1604" t="e">
        <f>ROUND(IF(G3&gt;1,IF(R2&lt;7,SUMPRODUCT((B93:B98=R2)*(C92:N92=G2)*(C93:N98)),SUMIF(C92:N92,G2,C100:N100)),IF(R2&lt;7,SUMPRODUCT((B102:B107=R2)*(C92:N92=G2)*(C102:N107)),SUMIF(C92:N92,G2,C109:N109))),4)</f>
        <v>#DIV/0!</v>
      </c>
      <c r="T2" s="1604" t="e">
        <f ca="1">ROUND($C$5*$C$18*$C$19*$C$20*S2*$C$24,0)</f>
        <v>#DIV/0!</v>
      </c>
      <c r="U2" s="1605">
        <f>'数据-基础表'!I14</f>
        <v>1105.49</v>
      </c>
      <c r="V2" s="1604" t="e">
        <f ca="1">ROUND(T2*U2/10000,0)</f>
        <v>#DIV/0!</v>
      </c>
      <c r="W2" s="1608"/>
      <c r="X2" s="1608"/>
      <c r="Y2" s="1608"/>
      <c r="Z2" s="1608"/>
      <c r="AA2" s="1608"/>
      <c r="AB2" s="1608"/>
      <c r="AC2" s="1609"/>
      <c r="AD2" s="1610"/>
      <c r="AE2" s="1610"/>
      <c r="AF2" s="1610"/>
      <c r="AG2" s="1610"/>
      <c r="AH2" s="1610"/>
      <c r="AI2" s="1610"/>
      <c r="AJ2" s="1611"/>
    </row>
    <row r="3" spans="1:36" ht="15.75">
      <c r="A3" s="247" t="s">
        <v>2818</v>
      </c>
      <c r="B3" s="248" t="e">
        <f ca="1">ROUND(B2*10000/D1,0)</f>
        <v>#DIV/0!</v>
      </c>
      <c r="C3" s="2724" t="s">
        <v>2819</v>
      </c>
      <c r="D3" s="2725" t="s">
        <v>2820</v>
      </c>
      <c r="E3" s="2730" t="s">
        <v>3083</v>
      </c>
      <c r="F3" s="2731" t="s">
        <v>2821</v>
      </c>
      <c r="G3" s="916" t="e">
        <f>IF(F3="宗地容积率",'数据-汇总表'!I4,IF(F3="估价对象容积率",'数据-汇总表'!I6,'数据-汇总表'!I7))</f>
        <v>#DIV/0!</v>
      </c>
      <c r="H3" s="198" t="s">
        <v>2822</v>
      </c>
      <c r="I3" s="947">
        <v>1</v>
      </c>
      <c r="J3" s="2728" t="s">
        <v>2823</v>
      </c>
      <c r="K3" s="1373"/>
      <c r="L3" s="2729" t="s">
        <v>2824</v>
      </c>
      <c r="M3" s="1084">
        <f>SUMPRODUCT((区片价!B29:B48=I2)*(区片价!C3:F3=E2)*(区片价!C29:F48))</f>
        <v>0</v>
      </c>
      <c r="N3" s="1086">
        <f>SUMPRODUCT((因素修正幅度!B29:B48=I2)*(因素修正幅度!C3:F3=E2)*(因素修正幅度!C29:F48))</f>
        <v>0</v>
      </c>
      <c r="O3" s="1373"/>
      <c r="P3" s="1373"/>
      <c r="Q3" s="1373"/>
      <c r="R3" s="1604">
        <v>2</v>
      </c>
      <c r="S3" s="1604" t="e">
        <f>ROUND(IF(G3&gt;1,IF(R3&lt;7,SUMPRODUCT((B93:B98=R3)*(C92:N92=G2)*(C93:N98)),SUMIF(C92:N92,G2,C100:N100)),IF(R3&lt;7,SUMPRODUCT((B102:B107=R3)*(C92:N92=G2)*(C102:N107)),SUMIF(C92:N92,G2,C109:N109))),4)</f>
        <v>#DIV/0!</v>
      </c>
      <c r="T3" s="1604" t="e">
        <f t="shared" ref="T3:T16" ca="1" si="0">ROUND($C$5*$C$18*$C$19*$C$20*S3*$C$24,0)</f>
        <v>#DIV/0!</v>
      </c>
      <c r="U3" s="1605">
        <f>'数据-基础表'!I15</f>
        <v>1338.95</v>
      </c>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84"/>
      <c r="B4" s="3185"/>
      <c r="C4" s="3185"/>
      <c r="D4" s="3186"/>
      <c r="E4" s="3186"/>
      <c r="F4" s="3186"/>
      <c r="G4" s="3186"/>
      <c r="H4" s="3186"/>
      <c r="I4" s="3186"/>
      <c r="J4" s="3187"/>
      <c r="K4" s="1373"/>
      <c r="L4" s="2729" t="s">
        <v>2825</v>
      </c>
      <c r="M4" s="1084">
        <f>SUMPRODUCT((区片价!B49:B75=I2)*(区片价!C3:F3=E2)*(区片价!C49:F75))</f>
        <v>0</v>
      </c>
      <c r="N4" s="1086">
        <f>SUMPRODUCT((因素修正幅度!B49:B75=I2)*(因素修正幅度!C3:F3=E2)*(因素修正幅度!C49:F75))</f>
        <v>0</v>
      </c>
      <c r="O4" s="1373"/>
      <c r="P4" s="1373"/>
      <c r="Q4" s="1373"/>
      <c r="R4" s="1604">
        <v>3</v>
      </c>
      <c r="S4" s="1604" t="e">
        <f>ROUND(IF(G3&gt;1,IF(R4&lt;7,SUMPRODUCT((B93:B98=R4)*(C92:N92=G2)*(C93:N98)),SUMIF(C92:N92,G2,C100:N100)),IF(R4&lt;7,SUMPRODUCT((B102:B107=R4)*(C92:N92=G2)*(C102:N107)),SUMIF(C92:N92,G2,C109:N109))),4)</f>
        <v>#DIV/0!</v>
      </c>
      <c r="T4" s="1604" t="e">
        <f t="shared" ca="1" si="0"/>
        <v>#DIV/0!</v>
      </c>
      <c r="U4" s="1605">
        <f>'数据-基础表'!I16</f>
        <v>1338.47</v>
      </c>
      <c r="V4" s="1604" t="e">
        <f t="shared" ca="1" si="1"/>
        <v>#DIV/0!</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2826</v>
      </c>
      <c r="C5" s="917">
        <f>ROUND(IF(E2="商业",IF(F16="增加",C6*C7+C16,C6*C7-C16),IF(E2="住宅",IF(F16="增加",C6*C12+C16,C6*C12-C16),IF(F16="增加",C6+C16,C6-C16))),0)</f>
        <v>12720</v>
      </c>
      <c r="D5" s="1789">
        <f>ROUND(IF(E2="商业",IF(F16="增加",C6+C16,C6-C16)),0)</f>
        <v>12720</v>
      </c>
      <c r="E5" s="2734"/>
      <c r="F5" s="2734"/>
      <c r="G5" s="2735"/>
      <c r="H5" s="2735"/>
      <c r="I5" s="2735"/>
      <c r="J5" s="2736"/>
      <c r="K5" s="2737"/>
      <c r="L5" s="2729" t="s">
        <v>2827</v>
      </c>
      <c r="M5" s="1084">
        <f>SUMPRODUCT((区片价!B76:B109=I2)*(区片价!C3:F3=E2)*(区片价!C76:F109))</f>
        <v>12740</v>
      </c>
      <c r="N5" s="1086">
        <f>SUMPRODUCT((因素修正幅度!B76:B109=I2)*(因素修正幅度!C3:F3=E2)*(因素修正幅度!C76:F109))</f>
        <v>9.6000000000000002E-2</v>
      </c>
      <c r="O5" s="1373"/>
      <c r="P5" s="1373"/>
      <c r="Q5" s="1373"/>
      <c r="R5" s="1604">
        <v>4</v>
      </c>
      <c r="S5" s="1604" t="e">
        <f>ROUND(IF(G3&gt;1,IF(R5&lt;7,SUMPRODUCT((B93:B98=R5)*(C92:N92=G2)*(C93:N98)),SUMIF(C92:N92,G2,C100:N100)),IF(R5&lt;7,SUMPRODUCT((B102:B107=R5)*(C92:N92=G2)*(C102:N107)),SUMIF(C92:N92,G2,C109:N109))),4)</f>
        <v>#DIV/0!</v>
      </c>
      <c r="T5" s="1604" t="e">
        <f t="shared" ca="1" si="0"/>
        <v>#DIV/0!</v>
      </c>
      <c r="U5" s="1605">
        <f>'数据-基础表'!I17</f>
        <v>1338.47</v>
      </c>
      <c r="V5" s="1604" t="e">
        <f t="shared" ca="1" si="1"/>
        <v>#DIV/0!</v>
      </c>
      <c r="W5" s="1608"/>
      <c r="X5" s="1608"/>
      <c r="Y5" s="1608"/>
      <c r="Z5" s="1608"/>
      <c r="AA5" s="1608"/>
      <c r="AB5" s="1608"/>
      <c r="AC5" s="2738"/>
      <c r="AD5" s="2739"/>
      <c r="AE5" s="2739"/>
      <c r="AF5" s="2739"/>
      <c r="AG5" s="2739"/>
      <c r="AH5" s="2739"/>
      <c r="AI5" s="2739"/>
      <c r="AJ5" s="2740"/>
    </row>
    <row r="6" spans="1:36" ht="15.75" thickBot="1">
      <c r="A6" s="2742" t="s">
        <v>2828</v>
      </c>
      <c r="B6" s="2743" t="s">
        <v>2829</v>
      </c>
      <c r="C6" s="918">
        <f>SUMIF(L1:L12,G2,M1:M12)</f>
        <v>12740</v>
      </c>
      <c r="D6" s="2744" t="s">
        <v>2830</v>
      </c>
      <c r="E6" s="2745"/>
      <c r="F6" s="2745"/>
      <c r="G6" s="2746"/>
      <c r="H6" s="2746"/>
      <c r="I6" s="2746"/>
      <c r="J6" s="2747"/>
      <c r="K6" s="1844"/>
      <c r="L6" s="2729" t="s">
        <v>2831</v>
      </c>
      <c r="M6" s="1084">
        <f>SUMPRODUCT((区片价!B110:B157=I2)*(区片价!C3:F3=E2)*(区片价!C110:F157))</f>
        <v>0</v>
      </c>
      <c r="N6" s="1086">
        <f>SUMPRODUCT((因素修正幅度!B110:B157=I2)*(因素修正幅度!C3:F3=E2)*(因素修正幅度!C110:F157))</f>
        <v>0</v>
      </c>
      <c r="O6" s="1373"/>
      <c r="P6" s="1373"/>
      <c r="Q6" s="1373"/>
      <c r="R6" s="1604">
        <v>5</v>
      </c>
      <c r="S6" s="1604" t="e">
        <f>ROUND(IF(G3&gt;1,IF(R6&lt;7,SUMPRODUCT((B93:B98=R6)*(C92:N92=G2)*(C93:N98)),SUMIF(C92:N92,G2,C100:N100)),IF(R6&lt;7,SUMPRODUCT((B102:B107=R6)*(C92:N92=G2)*(C102:N107)),SUMIF(C92:N92,G2,C109:N109))),4)</f>
        <v>#DIV/0!</v>
      </c>
      <c r="T6" s="1604" t="e">
        <f t="shared" ca="1" si="0"/>
        <v>#DIV/0!</v>
      </c>
      <c r="U6" s="1605">
        <f>'数据-基础表'!M18</f>
        <v>0</v>
      </c>
      <c r="V6" s="1604" t="e">
        <f t="shared" ca="1" si="1"/>
        <v>#DIV/0!</v>
      </c>
      <c r="W6" s="1608"/>
      <c r="X6" s="1608"/>
      <c r="Y6" s="1608"/>
      <c r="Z6" s="1608"/>
      <c r="AA6" s="1608"/>
      <c r="AB6" s="1608"/>
      <c r="AC6" s="2738"/>
      <c r="AD6" s="2739"/>
      <c r="AE6" s="2739"/>
      <c r="AF6" s="2739"/>
      <c r="AG6" s="2739"/>
      <c r="AH6" s="2739"/>
      <c r="AI6" s="2739"/>
      <c r="AJ6" s="2740"/>
    </row>
    <row r="7" spans="1:36" ht="24">
      <c r="A7" s="3188" t="str">
        <f>IF(E2="商业",IF(C8="不临58条商业街","",2),"")</f>
        <v/>
      </c>
      <c r="B7" s="2748" t="s">
        <v>2832</v>
      </c>
      <c r="C7" s="919">
        <f>IF(C8="不临58条商业街",1,ROUND(1+(1.6*E8+1.2*E9+0.8*E10+0.4*E11)*C9,4))</f>
        <v>1</v>
      </c>
      <c r="D7" s="2749" t="s">
        <v>2833</v>
      </c>
      <c r="E7" s="948"/>
      <c r="F7" s="2750"/>
      <c r="G7" s="2751"/>
      <c r="H7" s="2751"/>
      <c r="I7" s="2751"/>
      <c r="J7" s="2752"/>
      <c r="K7" s="1844"/>
      <c r="L7" s="2729" t="s">
        <v>2834</v>
      </c>
      <c r="M7" s="1084">
        <f>SUMPRODUCT((区片价!B158:B205=I2)*(区片价!C3:F3=E2)*(区片价!C158:F205))</f>
        <v>0</v>
      </c>
      <c r="N7" s="1086">
        <f>SUMPRODUCT((因素修正幅度!B158:B205=I2)*(因素修正幅度!C3:F3=E2)*(因素修正幅度!C158:F205))</f>
        <v>0</v>
      </c>
      <c r="O7" s="1373"/>
      <c r="P7" s="1373"/>
      <c r="Q7" s="1373"/>
      <c r="R7" s="1604">
        <v>6</v>
      </c>
      <c r="S7" s="1604" t="e">
        <f>ROUND(IF(G3&gt;1,IF(R7&lt;7,SUMPRODUCT((B93:B98=R7)*(C92:N92=G2)*(C93:N98)),SUMIF(C92:N92,G2,C100:N100)),IF(R7&lt;7,SUMPRODUCT((B102:B107=R7)*(C92:N92=G2)*(C102:N107)),SUMIF(C92:N92,G2,C109:N109))),4)</f>
        <v>#DIV/0!</v>
      </c>
      <c r="T7" s="1604" t="e">
        <f t="shared" ca="1" si="0"/>
        <v>#DIV/0!</v>
      </c>
      <c r="U7" s="1605"/>
      <c r="V7" s="1604" t="e">
        <f t="shared" ca="1" si="1"/>
        <v>#DIV/0!</v>
      </c>
      <c r="W7" s="1818" t="s">
        <v>2835</v>
      </c>
      <c r="X7" s="1606" t="str">
        <f>G2</f>
        <v>五级</v>
      </c>
      <c r="Y7" s="1606" t="s">
        <v>2836</v>
      </c>
      <c r="Z7" s="1607" t="e">
        <f>G3</f>
        <v>#DIV/0!</v>
      </c>
      <c r="AA7" s="1608"/>
      <c r="AB7" s="1608"/>
      <c r="AC7" s="1609"/>
      <c r="AD7" s="1610"/>
      <c r="AE7" s="1610"/>
      <c r="AF7" s="1610"/>
      <c r="AG7" s="1610"/>
      <c r="AH7" s="1610"/>
      <c r="AI7" s="1610"/>
      <c r="AJ7" s="1611"/>
    </row>
    <row r="8" spans="1:36" ht="25.5">
      <c r="A8" s="3189"/>
      <c r="B8" s="198" t="s">
        <v>2837</v>
      </c>
      <c r="C8" s="2753" t="s">
        <v>3084</v>
      </c>
      <c r="D8" s="920" t="s">
        <v>139</v>
      </c>
      <c r="E8" s="921" t="e">
        <f>ROUND(C11/E7,4)</f>
        <v>#DIV/0!</v>
      </c>
      <c r="F8" s="2754" t="s">
        <v>2838</v>
      </c>
      <c r="G8" s="2755"/>
      <c r="H8" s="2755"/>
      <c r="I8" s="2755"/>
      <c r="J8" s="2756"/>
      <c r="K8" s="1373"/>
      <c r="L8" s="2729"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81" t="s">
        <v>2840</v>
      </c>
      <c r="X8" s="3182"/>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89"/>
      <c r="B9" s="198" t="s">
        <v>2853</v>
      </c>
      <c r="C9" s="922">
        <f>SUMIF(修正!C59:C119,C8,修正!E59:E119)</f>
        <v>0</v>
      </c>
      <c r="D9" s="200" t="s">
        <v>140</v>
      </c>
      <c r="E9" s="200" t="e">
        <f>ROUND(C11/E7,4)</f>
        <v>#DIV/0!</v>
      </c>
      <c r="F9" s="2754" t="s">
        <v>2854</v>
      </c>
      <c r="G9" s="2755"/>
      <c r="H9" s="2755"/>
      <c r="I9" s="2755"/>
      <c r="J9" s="2756"/>
      <c r="K9" s="1373"/>
      <c r="L9" s="2729"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83"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89"/>
      <c r="B10" s="198" t="s">
        <v>2858</v>
      </c>
      <c r="C10" s="200">
        <f>SUMIF(修正!C59:C119,C8,修正!F59:F119)</f>
        <v>0</v>
      </c>
      <c r="D10" s="200" t="s">
        <v>141</v>
      </c>
      <c r="E10" s="200" t="e">
        <f>ROUND(C11/E7,4)</f>
        <v>#DIV/0!</v>
      </c>
      <c r="F10" s="2754" t="s">
        <v>2859</v>
      </c>
      <c r="G10" s="2755"/>
      <c r="H10" s="2755"/>
      <c r="I10" s="2755"/>
      <c r="J10" s="2756"/>
      <c r="K10" s="1373"/>
      <c r="L10" s="2729"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8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89"/>
      <c r="B11" s="2757" t="s">
        <v>2861</v>
      </c>
      <c r="C11" s="923">
        <f>C10/4</f>
        <v>0</v>
      </c>
      <c r="D11" s="923" t="s">
        <v>142</v>
      </c>
      <c r="E11" s="923" t="e">
        <f>ROUND(C11/E7,4)</f>
        <v>#DIV/0!</v>
      </c>
      <c r="F11" s="2758" t="s">
        <v>2862</v>
      </c>
      <c r="G11" s="2759"/>
      <c r="H11" s="2759"/>
      <c r="I11" s="2759"/>
      <c r="J11" s="2760"/>
      <c r="K11" s="1373"/>
      <c r="L11" s="2729"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83" t="s">
        <v>2864</v>
      </c>
      <c r="X11" s="1616" t="s">
        <v>2865</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188" t="s">
        <v>2866</v>
      </c>
      <c r="B12" s="2761" t="s">
        <v>2867</v>
      </c>
      <c r="C12" s="919">
        <f>ROUND(C15*D15*E15*F15*G15*H15*I15*J15,4)</f>
        <v>1</v>
      </c>
      <c r="D12" s="2762" t="s">
        <v>2868</v>
      </c>
      <c r="E12" s="2763"/>
      <c r="F12" s="2763"/>
      <c r="G12" s="2764"/>
      <c r="H12" s="2764"/>
      <c r="I12" s="2764"/>
      <c r="J12" s="2765"/>
      <c r="K12" s="1373"/>
      <c r="L12" s="2766"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83"/>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90"/>
      <c r="B13" s="2767" t="s">
        <v>2871</v>
      </c>
      <c r="C13" s="2768" t="s">
        <v>2872</v>
      </c>
      <c r="D13" s="1810" t="s">
        <v>2873</v>
      </c>
      <c r="E13" s="1810" t="s">
        <v>2874</v>
      </c>
      <c r="F13" s="30" t="s">
        <v>2875</v>
      </c>
      <c r="G13" s="2769" t="s">
        <v>2876</v>
      </c>
      <c r="H13" s="2769" t="s">
        <v>2876</v>
      </c>
      <c r="I13" s="2769" t="s">
        <v>2876</v>
      </c>
      <c r="J13" s="2770" t="s">
        <v>2876</v>
      </c>
      <c r="K13" s="1373"/>
      <c r="L13" s="1373"/>
      <c r="M13" s="1373"/>
      <c r="N13" s="1373"/>
      <c r="O13" s="1373"/>
      <c r="P13" s="1373"/>
      <c r="Q13" s="1373"/>
      <c r="R13" s="1604">
        <v>12</v>
      </c>
      <c r="S13" s="1605"/>
      <c r="T13" s="1604">
        <f t="shared" ca="1" si="0"/>
        <v>0</v>
      </c>
      <c r="U13" s="1605"/>
      <c r="V13" s="1604">
        <f t="shared" ca="1" si="1"/>
        <v>0</v>
      </c>
      <c r="W13" s="3183"/>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190"/>
      <c r="B14" s="2771"/>
      <c r="C14" s="2772"/>
      <c r="D14" s="2773"/>
      <c r="E14" s="2773"/>
      <c r="F14" s="2774"/>
      <c r="G14" s="2775" t="s">
        <v>2877</v>
      </c>
      <c r="H14" s="2776"/>
      <c r="I14" s="2777"/>
      <c r="J14" s="2778"/>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91"/>
      <c r="B15" s="2779" t="s">
        <v>2878</v>
      </c>
      <c r="C15" s="229">
        <f>IF(C14="有",1.1,1)</f>
        <v>1</v>
      </c>
      <c r="D15" s="229">
        <f>IF(D14="有",1.1,1)</f>
        <v>1</v>
      </c>
      <c r="E15" s="229">
        <f>IF(E14="有",1.1,1)</f>
        <v>1</v>
      </c>
      <c r="F15" s="229">
        <f>IF(F14="500米范围内",1.2,IF(F14="500-1000米",1.1,1))</f>
        <v>1</v>
      </c>
      <c r="G15" s="949">
        <v>1</v>
      </c>
      <c r="H15" s="949">
        <v>1</v>
      </c>
      <c r="I15" s="949">
        <v>1</v>
      </c>
      <c r="J15" s="950">
        <v>1</v>
      </c>
      <c r="K15" s="1373"/>
      <c r="L15" s="2780" t="s">
        <v>2814</v>
      </c>
      <c r="M15" s="920" t="s">
        <v>2879</v>
      </c>
      <c r="N15" s="920" t="s">
        <v>2880</v>
      </c>
      <c r="O15" s="920" t="s">
        <v>2881</v>
      </c>
      <c r="P15" s="2781" t="s">
        <v>2882</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88" t="s">
        <v>2883</v>
      </c>
      <c r="B16" s="2748" t="s">
        <v>2884</v>
      </c>
      <c r="C16" s="1803">
        <f>ROUND(SUM(G17:J17)/C17,0)</f>
        <v>20</v>
      </c>
      <c r="D16" s="2782" t="s">
        <v>2885</v>
      </c>
      <c r="E16" s="2783" t="s">
        <v>3085</v>
      </c>
      <c r="F16" s="2784" t="s">
        <v>3086</v>
      </c>
      <c r="G16" s="2785" t="s">
        <v>3087</v>
      </c>
      <c r="H16" s="2785"/>
      <c r="I16" s="2785"/>
      <c r="J16" s="2786"/>
      <c r="K16" s="1373"/>
      <c r="L16" s="2787" t="s">
        <v>2886</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89"/>
      <c r="B17" s="2788" t="s">
        <v>2887</v>
      </c>
      <c r="C17" s="924">
        <f>SUMPRODUCT((修正!A2:A5=E2)*(修正!B1:M1=G2)*(修正!B2:M5))</f>
        <v>2.5</v>
      </c>
      <c r="D17" s="2789" t="s">
        <v>2888</v>
      </c>
      <c r="E17" s="923" t="str">
        <f>IF(OR(G2="八级",G2="九级",G2="十级",G2="十一级",G2="十二级"),"五通一平","七通一平")</f>
        <v>七通一平</v>
      </c>
      <c r="F17" s="924" t="s">
        <v>2889</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2891</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2892</v>
      </c>
      <c r="C19" s="927">
        <f>ROUND(IF(H19="按公示增长率计算",SUMPRODUCT((地价!A3:A22=YEAR(G19)&amp;"-"&amp;ROUNDUP(MONTH(G19)/3,0))*(地价!X2:AB2=E2)*(地价!X3:AB22)),IF(H19="地价指数",M20/M19,(1+I19)^O19)),4)</f>
        <v>0</v>
      </c>
      <c r="D19" s="2800" t="s">
        <v>2893</v>
      </c>
      <c r="E19" s="928">
        <v>41640</v>
      </c>
      <c r="F19" s="2800" t="s">
        <v>2894</v>
      </c>
      <c r="G19" s="929">
        <f>'数据-取费表'!B2</f>
        <v>43293</v>
      </c>
      <c r="H19" s="2801" t="s">
        <v>3088</v>
      </c>
      <c r="I19" s="930" t="str">
        <f>IF(H19="季度增幅（自定义）",SUMIF(N21:N24,E2,O21:O24),"")</f>
        <v/>
      </c>
      <c r="J19" s="2798"/>
      <c r="K19" s="1380"/>
      <c r="L19" s="2802" t="s">
        <v>2895</v>
      </c>
      <c r="M19" s="1736">
        <f>ROUND(SUMIF(地价!B2:F2,E2,地价!B22:F22),0)</f>
        <v>258</v>
      </c>
      <c r="N19" s="2803"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2897</v>
      </c>
      <c r="C20" s="932">
        <f ca="1">ROUND(POWER(1+G20,J20-I20)*(POWER(1+G20,I20)-1)/(POWER(1+G20,J20)-1),4)</f>
        <v>0.98460000000000003</v>
      </c>
      <c r="D20" s="2809" t="s">
        <v>2898</v>
      </c>
      <c r="E20" s="1770">
        <f ca="1">存贷款利率!D4/100</f>
        <v>4.3499999999999997E-2</v>
      </c>
      <c r="F20" s="2809" t="s">
        <v>2890</v>
      </c>
      <c r="G20" s="937">
        <f ca="1">SUMIF(M15:P15,E2,M17:P17)</f>
        <v>5.3999999999999999E-2</v>
      </c>
      <c r="H20" s="2809" t="s">
        <v>2899</v>
      </c>
      <c r="I20" s="938">
        <f>SUMIF('数据-取费表'!C6:C15,E2,'数据-取费表'!F6:F15)/COUNTIF('数据-取费表'!C6:C15,E2)</f>
        <v>38</v>
      </c>
      <c r="J20" s="939">
        <f>IF(E2="住宅",70,IF(E2="商业",40,50))</f>
        <v>40</v>
      </c>
      <c r="K20" s="1380"/>
      <c r="L20" s="2810" t="s">
        <v>2900</v>
      </c>
      <c r="M20" s="1737">
        <f>ROUND(SUMPRODUCT((地价!A4:A22=YEAR(G19)&amp;"-"&amp;ROUNDUP(MONTH(G19)/3,0))*(地价!B2:F2=E2)*(地价!B4:F22)),0)</f>
        <v>0</v>
      </c>
      <c r="N20" s="2811" t="s">
        <v>2901</v>
      </c>
      <c r="O20" s="2812" t="s">
        <v>2902</v>
      </c>
      <c r="P20" s="2813" t="s">
        <v>2903</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3089</v>
      </c>
      <c r="C21" s="940" t="e">
        <f>IF(B21="容积率修正",IF(G3&lt;=10,D22,J22),C23)</f>
        <v>#DIV/0!</v>
      </c>
      <c r="D21" s="2816"/>
      <c r="E21" s="2816"/>
      <c r="F21" s="2816"/>
      <c r="G21" s="2816"/>
      <c r="H21" s="2816"/>
      <c r="I21" s="2816"/>
      <c r="J21" s="2817"/>
      <c r="K21" s="1380"/>
      <c r="N21" s="2818" t="s">
        <v>2904</v>
      </c>
      <c r="O21" s="1564"/>
      <c r="P21" s="1565">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2" t="s">
        <v>2907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8" t="s">
        <v>2908</v>
      </c>
      <c r="O22" s="1564"/>
      <c r="P22" s="1565">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t="e">
        <f>ROUND(IF(G3&gt;1,IF(I3&lt;7,SUMPRODUCT((B93:B98=I3)*(C92:N92=G2)*(C93:N98)),SUMIF(C92:N92,G2,C100:N100)),IF(I3&lt;7,SUMPRODUCT((B102:B107=I3)*(C92:N92=G2)*(C102:N107)),SUMIF(C92:N92,G2,C109:N109))),4)</f>
        <v>#DIV/0!</v>
      </c>
      <c r="D23" s="2776"/>
      <c r="E23" s="2776"/>
      <c r="F23" s="2821"/>
      <c r="G23" s="2822"/>
      <c r="H23" s="2823"/>
      <c r="I23" s="2824"/>
      <c r="J23" s="2825"/>
      <c r="K23" s="1373"/>
      <c r="N23" s="2818" t="s">
        <v>2911</v>
      </c>
      <c r="O23" s="1564"/>
      <c r="P23" s="1565">
        <f>SUMPRODUCT((地价!A3:A22=YEAR(G19)&amp;"-"&amp;ROUNDUP(MONTH(G19)/3,0))*(地价!AD2:AH2=N23)*(地价!AD3:AH22))</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1.0271999999999999</v>
      </c>
      <c r="D24" s="2796"/>
      <c r="E24" s="2826"/>
      <c r="F24" s="2826"/>
      <c r="G24" s="2826"/>
      <c r="H24" s="2826"/>
      <c r="I24" s="2826"/>
      <c r="J24" s="2827"/>
      <c r="K24" s="1380"/>
      <c r="N24" s="2828" t="s">
        <v>2913</v>
      </c>
      <c r="O24" s="1566"/>
      <c r="P24" s="1567">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5">
      <c r="A26" s="2832"/>
      <c r="B26" s="2819" t="s">
        <v>2916</v>
      </c>
      <c r="C26" s="206" t="e">
        <f ca="1">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 ca="1">ROUND(C5*C18*C19*C20*C21*C24,0)</f>
        <v>#DIV/0!</v>
      </c>
      <c r="D29" s="2848">
        <f>'数据-基础表'!I14</f>
        <v>1105.49</v>
      </c>
      <c r="E29" s="945" t="e">
        <f ca="1">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 ca="1">ROUND(IF(E2="工业",C29*M39,C29*M38),0)</f>
        <v>#DIV/0!</v>
      </c>
      <c r="D30" s="2854"/>
      <c r="E30" s="945" t="e">
        <f ca="1">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98" t="s">
        <v>2930</v>
      </c>
      <c r="B33" s="2864" t="s">
        <v>2931</v>
      </c>
      <c r="C33" s="206">
        <f ca="1">ROUND(D5*C19*C20*C24*F33,0)</f>
        <v>0</v>
      </c>
      <c r="D33" s="2848">
        <f>'数据-基础表'!K13</f>
        <v>0</v>
      </c>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99"/>
      <c r="B34" s="2768" t="s">
        <v>2932</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99"/>
      <c r="B35" s="2768" t="s">
        <v>2933</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00"/>
      <c r="B36" s="2768" t="s">
        <v>2934</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f ca="1">ROUND(C5*C19*C20*C24*F37,0)</f>
        <v>0</v>
      </c>
      <c r="D37" s="2848"/>
      <c r="E37" s="200">
        <f t="shared" ca="1" si="7"/>
        <v>0</v>
      </c>
      <c r="F37" s="206">
        <f>SUMIF(修正!A45:A56,G2,修正!F45:F56)</f>
        <v>0.25</v>
      </c>
      <c r="G37" s="200">
        <f t="shared" ca="1" si="6"/>
        <v>0</v>
      </c>
      <c r="H37" s="200">
        <f t="shared" si="8"/>
        <v>0</v>
      </c>
      <c r="I37" s="200">
        <f t="shared" ca="1" si="9"/>
        <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f ca="1">ROUND(C5*C19*C20*C24*F38,0)</f>
        <v>0</v>
      </c>
      <c r="D38" s="2848"/>
      <c r="E38" s="200">
        <f t="shared" ca="1" si="7"/>
        <v>0</v>
      </c>
      <c r="F38" s="206">
        <f>SUMIF(修正!A45:A56,G2,修正!G45:G56)</f>
        <v>0.25</v>
      </c>
      <c r="G38" s="200">
        <f t="shared" ca="1" si="6"/>
        <v>0</v>
      </c>
      <c r="H38" s="200">
        <f t="shared" si="8"/>
        <v>0</v>
      </c>
      <c r="I38" s="200">
        <f t="shared" ca="1" si="9"/>
        <v>0</v>
      </c>
      <c r="J38" s="2865"/>
      <c r="K38" s="1373"/>
      <c r="L38" s="1889"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f ca="1">ROUND(C5*C19*C20*C24*F39,0)</f>
        <v>0</v>
      </c>
      <c r="D39" s="2854"/>
      <c r="E39" s="229">
        <f t="shared" ca="1" si="7"/>
        <v>0</v>
      </c>
      <c r="F39" s="935">
        <f>SUMIF(修正!A45:A56,G2,修正!H45:H56)</f>
        <v>0.2</v>
      </c>
      <c r="G39" s="229" t="e">
        <f t="shared" si="6"/>
        <v>#DIV/0!</v>
      </c>
      <c r="H39" s="229">
        <f t="shared" si="8"/>
        <v>0</v>
      </c>
      <c r="I39" s="229" t="e">
        <f t="shared" si="9"/>
        <v>#DIV/0!</v>
      </c>
      <c r="J39" s="2871"/>
      <c r="K39" s="1373"/>
      <c r="L39" s="2872" t="s">
        <v>2882</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1.0271999999999999</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1" t="s">
        <v>2943</v>
      </c>
      <c r="C47" s="1811" t="s">
        <v>2944</v>
      </c>
      <c r="D47" s="1811" t="s">
        <v>2945</v>
      </c>
      <c r="E47" s="819" t="s">
        <v>2946</v>
      </c>
      <c r="F47" s="2882" t="s">
        <v>2947</v>
      </c>
      <c r="G47" s="1811" t="s">
        <v>754</v>
      </c>
      <c r="H47" s="2883" t="s">
        <v>2948</v>
      </c>
      <c r="I47" s="1811"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76.5">
      <c r="A48" s="2881" t="s">
        <v>2950</v>
      </c>
      <c r="B48" s="2884" t="str">
        <f>估价对象房地状况!C4</f>
        <v>估价对象位于大红门商圈，周边商业氛围成熟度一般，人流量一般，周边有京港城生活广场、明珠商贸城等商业项目，商业繁华度一般</v>
      </c>
      <c r="C48" s="2773" t="s">
        <v>3105</v>
      </c>
      <c r="D48" s="1289">
        <f t="shared" ref="D48:D56" si="10">SUMIF($J$47:$N$47,C48,J48:N48)</f>
        <v>0</v>
      </c>
      <c r="E48" s="821">
        <f>ROUND(SUM(D48:D56),4)</f>
        <v>2.7199999999999998E-2</v>
      </c>
      <c r="F48" s="2504">
        <f>IF(E2="商业",SUMIF(L1:L12,G2,N1:N12),"——")</f>
        <v>9.6000000000000002E-2</v>
      </c>
      <c r="G48" s="1287">
        <v>1.5800000000000002E-2</v>
      </c>
      <c r="H48" s="1291">
        <f t="shared" ref="H48:H56" si="11">IFERROR(ROUNDDOWN($F$48*I48/2,4),"——")</f>
        <v>1.5800000000000002E-2</v>
      </c>
      <c r="I48" s="820">
        <v>0.33</v>
      </c>
      <c r="J48" s="1288">
        <f t="shared" ref="J48:J56" si="12">K48+$G48</f>
        <v>3.1600000000000003E-2</v>
      </c>
      <c r="K48" s="1288">
        <f t="shared" ref="K48:K56" si="13">$L48+$G48</f>
        <v>1.5800000000000002E-2</v>
      </c>
      <c r="L48" s="1288">
        <v>0</v>
      </c>
      <c r="M48" s="1288">
        <f t="shared" ref="M48:N56" si="14">L48-$G48</f>
        <v>-1.5800000000000002E-2</v>
      </c>
      <c r="N48" s="1288">
        <f t="shared" si="14"/>
        <v>-3.1600000000000003E-2</v>
      </c>
      <c r="AA48" s="1374"/>
      <c r="AB48" s="1374"/>
      <c r="AC48" s="1374"/>
      <c r="AD48" s="1374"/>
      <c r="AE48" s="1374"/>
      <c r="AF48" s="1374"/>
      <c r="AG48" s="1374"/>
      <c r="AH48" s="1374"/>
      <c r="AI48" s="1374"/>
      <c r="AJ48" s="1374"/>
      <c r="AK48" s="1374"/>
    </row>
    <row r="49" spans="1:37" s="1373" customFormat="1" ht="63.75">
      <c r="A49" s="2881" t="s">
        <v>2951</v>
      </c>
      <c r="B49" s="2885" t="str">
        <f>估价对象房地状况!C18</f>
        <v>估价对象周边道路状况、公共交通通达情况：地铁10号线及71、511路等公交车、停车便捷程度，综合评价交通便捷度较好</v>
      </c>
      <c r="C49" s="2773" t="s">
        <v>3106</v>
      </c>
      <c r="D49" s="1289">
        <f t="shared" si="10"/>
        <v>1.2E-2</v>
      </c>
      <c r="E49" s="822"/>
      <c r="F49" s="2504"/>
      <c r="G49" s="1287">
        <v>1.2E-2</v>
      </c>
      <c r="H49" s="1291">
        <f t="shared" si="11"/>
        <v>1.2E-2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t="s">
        <v>3106</v>
      </c>
      <c r="D50" s="1289">
        <f t="shared" si="10"/>
        <v>2.3999999999999998E-3</v>
      </c>
      <c r="E50" s="822"/>
      <c r="F50" s="2504"/>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1" t="s">
        <v>2953</v>
      </c>
      <c r="B51" s="2886" t="s">
        <v>2954</v>
      </c>
      <c r="C51" s="2773" t="s">
        <v>3106</v>
      </c>
      <c r="D51" s="1289">
        <f t="shared" si="10"/>
        <v>2.3999999999999998E-3</v>
      </c>
      <c r="E51" s="822"/>
      <c r="F51" s="2504"/>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t="s">
        <v>3107</v>
      </c>
      <c r="D52" s="1289">
        <f t="shared" si="10"/>
        <v>-3.8E-3</v>
      </c>
      <c r="E52" s="822"/>
      <c r="F52" s="2504"/>
      <c r="G52" s="1287">
        <v>3.8E-3</v>
      </c>
      <c r="H52" s="1291">
        <f t="shared" si="11"/>
        <v>3.8E-3</v>
      </c>
      <c r="I52" s="820">
        <v>0.08</v>
      </c>
      <c r="J52" s="1288">
        <f t="shared" si="12"/>
        <v>7.6E-3</v>
      </c>
      <c r="K52" s="1288">
        <f t="shared" si="13"/>
        <v>3.8E-3</v>
      </c>
      <c r="L52" s="1288">
        <v>0</v>
      </c>
      <c r="M52" s="1288">
        <f t="shared" si="14"/>
        <v>-3.8E-3</v>
      </c>
      <c r="N52" s="1288">
        <f t="shared" si="14"/>
        <v>-7.6E-3</v>
      </c>
      <c r="AA52" s="1374"/>
      <c r="AB52" s="1374"/>
      <c r="AC52" s="1374"/>
      <c r="AD52" s="1374"/>
      <c r="AE52" s="1374"/>
      <c r="AF52" s="1374"/>
      <c r="AG52" s="1374"/>
      <c r="AH52" s="1374"/>
      <c r="AI52" s="1374"/>
      <c r="AJ52" s="1374"/>
      <c r="AK52" s="1374"/>
    </row>
    <row r="53" spans="1:37" s="1373" customFormat="1" ht="24">
      <c r="A53" s="2881" t="s">
        <v>2956</v>
      </c>
      <c r="B53" s="2887" t="s">
        <v>2957</v>
      </c>
      <c r="C53" s="2773" t="s">
        <v>3106</v>
      </c>
      <c r="D53" s="1289">
        <f t="shared" si="10"/>
        <v>1.4E-3</v>
      </c>
      <c r="E53" s="822"/>
      <c r="F53" s="2504"/>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88" t="s">
        <v>2958</v>
      </c>
      <c r="B54" s="1727" t="str">
        <f>估价对象房地状况!C21</f>
        <v>估价对象所在区域公共配套设施齐备情况较好</v>
      </c>
      <c r="C54" s="2773" t="s">
        <v>3106</v>
      </c>
      <c r="D54" s="1289">
        <f t="shared" si="10"/>
        <v>2.3999999999999998E-3</v>
      </c>
      <c r="E54" s="822"/>
      <c r="F54" s="2504"/>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估价对象所在区域基础设施水平：七通</v>
      </c>
      <c r="C55" s="2773" t="s">
        <v>3106</v>
      </c>
      <c r="D55" s="1289">
        <f t="shared" si="10"/>
        <v>4.7999999999999996E-3</v>
      </c>
      <c r="E55" s="822"/>
      <c r="F55" s="2504"/>
      <c r="G55" s="1287">
        <v>4.7999999999999996E-3</v>
      </c>
      <c r="H55" s="1291">
        <f t="shared" si="11"/>
        <v>4.7999999999999996E-3</v>
      </c>
      <c r="I55" s="820">
        <v>0.1</v>
      </c>
      <c r="J55" s="1288">
        <f t="shared" si="12"/>
        <v>9.5999999999999992E-3</v>
      </c>
      <c r="K55" s="1288">
        <f t="shared" si="13"/>
        <v>4.7999999999999996E-3</v>
      </c>
      <c r="L55" s="1288">
        <v>0</v>
      </c>
      <c r="M55" s="1288">
        <f t="shared" si="14"/>
        <v>-4.7999999999999996E-3</v>
      </c>
      <c r="N55" s="1288">
        <f t="shared" si="14"/>
        <v>-9.5999999999999992E-3</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区域自然环境：福海公园；人文环境；综合评价环境状况一般</v>
      </c>
      <c r="C56" s="2773" t="s">
        <v>3108</v>
      </c>
      <c r="D56" s="1289">
        <f t="shared" si="10"/>
        <v>5.5999999999999999E-3</v>
      </c>
      <c r="E56" s="825"/>
      <c r="F56" s="2504"/>
      <c r="G56" s="1287">
        <v>2.8E-3</v>
      </c>
      <c r="H56" s="1291">
        <f t="shared" si="11"/>
        <v>2.8E-3</v>
      </c>
      <c r="I56" s="824">
        <v>0.06</v>
      </c>
      <c r="J56" s="1288">
        <f t="shared" si="12"/>
        <v>5.5999999999999999E-3</v>
      </c>
      <c r="K56" s="1288">
        <f t="shared" si="13"/>
        <v>2.8E-3</v>
      </c>
      <c r="L56" s="1288">
        <v>0</v>
      </c>
      <c r="M56" s="1288">
        <f t="shared" si="14"/>
        <v>-2.8E-3</v>
      </c>
      <c r="N56" s="1288">
        <f t="shared" si="14"/>
        <v>-5.5999999999999999E-3</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1"/>
      <c r="C58" s="1811" t="s">
        <v>2944</v>
      </c>
      <c r="D58" s="1811" t="s">
        <v>2945</v>
      </c>
      <c r="E58" s="819" t="s">
        <v>2946</v>
      </c>
      <c r="F58" s="2882" t="s">
        <v>2962</v>
      </c>
      <c r="G58" s="1811" t="s">
        <v>754</v>
      </c>
      <c r="H58" s="2883" t="s">
        <v>2948</v>
      </c>
      <c r="I58" s="1811"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1" t="s">
        <v>2951</v>
      </c>
      <c r="B60" s="2885" t="str">
        <f>估价对象房地状况!C18</f>
        <v>估价对象周边道路状况、公共交通通达情况：地铁10号线及71、511路等公交车、停车便捷程度，综合评价交通便捷度较好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7" t="str">
        <f>估价对象房地状况!C21</f>
        <v>估价对象所在区域公共配套设施齐备情况较好</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7" t="str">
        <f>估价对象房地状况!C22</f>
        <v>估价对象所在区域基础设施水平：七通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区域自然环境：福海公园；人文环境；综合评价环境状况一般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1"/>
      <c r="C69" s="1811" t="s">
        <v>2944</v>
      </c>
      <c r="D69" s="1811" t="s">
        <v>2945</v>
      </c>
      <c r="E69" s="819" t="s">
        <v>2946</v>
      </c>
      <c r="F69" s="2882" t="s">
        <v>2962</v>
      </c>
      <c r="G69" s="1811" t="s">
        <v>754</v>
      </c>
      <c r="H69" s="2883" t="s">
        <v>2948</v>
      </c>
      <c r="I69" s="1811"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1" t="s">
        <v>2951</v>
      </c>
      <c r="B71" s="2885" t="str">
        <f>估价对象房地状况!C18</f>
        <v>估价对象周边道路状况、公共交通通达情况：地铁10号线及71、511路等公交车、停车便捷程度，综合评价交通便捷度较好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7" t="str">
        <f>估价对象房地状况!C21</f>
        <v>估价对象所在区域公共配套设施齐备情况较好</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7" t="str">
        <f>估价对象房地状况!C22</f>
        <v>估价对象所在区域基础设施水平：七通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区域自然环境：福海公园；人文环境；综合评价环境状况一般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1"/>
      <c r="C80" s="1811" t="s">
        <v>2944</v>
      </c>
      <c r="D80" s="1811" t="s">
        <v>2945</v>
      </c>
      <c r="E80" s="819" t="s">
        <v>2946</v>
      </c>
      <c r="F80" s="2882" t="s">
        <v>2962</v>
      </c>
      <c r="G80" s="1811" t="s">
        <v>754</v>
      </c>
      <c r="H80" s="2883" t="s">
        <v>2948</v>
      </c>
      <c r="I80" s="1811" t="s">
        <v>2949</v>
      </c>
      <c r="J80" s="603" t="s">
        <v>2597</v>
      </c>
      <c r="K80" s="603" t="s">
        <v>2598</v>
      </c>
      <c r="L80" s="603" t="s">
        <v>2599</v>
      </c>
      <c r="M80" s="603" t="s">
        <v>2600</v>
      </c>
      <c r="N80" s="603" t="s">
        <v>2601</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7"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7"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192" t="s">
        <v>2972</v>
      </c>
      <c r="B90" s="3192"/>
      <c r="C90" s="3192"/>
      <c r="D90" s="3192"/>
      <c r="E90" s="3192"/>
      <c r="F90" s="3192"/>
      <c r="G90" s="3192"/>
      <c r="H90" s="3192"/>
      <c r="I90" s="3192"/>
      <c r="J90" s="3192"/>
      <c r="K90" s="2895"/>
      <c r="L90" s="2895"/>
      <c r="M90" s="2895"/>
      <c r="N90" s="2895"/>
    </row>
    <row r="91" spans="1:37">
      <c r="A91" s="3194" t="s">
        <v>2973</v>
      </c>
      <c r="B91" s="3194" t="s">
        <v>2974</v>
      </c>
      <c r="C91" s="2849" t="s">
        <v>2975</v>
      </c>
      <c r="D91" s="2850"/>
      <c r="E91" s="2850"/>
      <c r="F91" s="2850"/>
      <c r="G91" s="2850"/>
      <c r="H91" s="2850"/>
      <c r="I91" s="2850"/>
      <c r="J91" s="2896"/>
      <c r="K91" s="2897"/>
      <c r="L91" s="2897"/>
      <c r="M91" s="2897"/>
      <c r="N91" s="2897"/>
    </row>
    <row r="92" spans="1:37">
      <c r="A92" s="3194"/>
      <c r="B92" s="3194"/>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95"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9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9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9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9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9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96"/>
      <c r="B99" s="2898" t="s">
        <v>2857</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197"/>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195" t="s">
        <v>2977</v>
      </c>
      <c r="B101" s="2902" t="s">
        <v>2978</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196"/>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196"/>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196"/>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196"/>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196"/>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196"/>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196"/>
      <c r="B108" s="3154" t="s">
        <v>2979</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197"/>
      <c r="B109" s="3155"/>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193" t="s">
        <v>2980</v>
      </c>
      <c r="B110" s="3193"/>
      <c r="C110" s="3193"/>
      <c r="D110" s="3193"/>
      <c r="E110" s="3193"/>
      <c r="F110" s="3193"/>
      <c r="G110" s="3193"/>
      <c r="H110" s="3193"/>
      <c r="I110" s="3193"/>
      <c r="J110" s="3193"/>
      <c r="K110" s="2904"/>
      <c r="L110" s="2904"/>
      <c r="M110" s="2904"/>
      <c r="N110" s="2904"/>
    </row>
    <row r="112" spans="1:14" ht="13.5" thickBot="1"/>
    <row r="113" spans="1:13" ht="25.5" thickBot="1">
      <c r="A113" s="903" t="s">
        <v>2981</v>
      </c>
      <c r="B113" s="1290" t="e">
        <f>G3</f>
        <v>#DIV/0!</v>
      </c>
      <c r="C113" s="904" t="s">
        <v>2982</v>
      </c>
      <c r="D113" s="905" t="e">
        <f>SUMPRODUCT((A115:A118=F113)*(B114:M114=H113)*B115:M118)</f>
        <v>#DIV/0!</v>
      </c>
      <c r="E113" s="2727" t="s">
        <v>2814</v>
      </c>
      <c r="F113" s="2906" t="str">
        <f>E2</f>
        <v>商业</v>
      </c>
      <c r="G113" s="2727" t="s">
        <v>2815</v>
      </c>
      <c r="H113" s="2906" t="str">
        <f>G2</f>
        <v>五级</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C47" sqref="C47"/>
    </sheetView>
  </sheetViews>
  <sheetFormatPr defaultRowHeight="14.25"/>
  <cols>
    <col min="1" max="1" width="14.375" style="403" customWidth="1"/>
    <col min="2" max="2" width="15.75" style="403" customWidth="1"/>
    <col min="3" max="3" width="24.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205" t="s">
        <v>2646</v>
      </c>
      <c r="D4" s="3218"/>
      <c r="E4" s="3219" t="s">
        <v>2647</v>
      </c>
      <c r="F4" s="3220"/>
      <c r="G4" s="3205" t="s">
        <v>2648</v>
      </c>
      <c r="H4" s="3218"/>
      <c r="I4" s="3205" t="s">
        <v>2649</v>
      </c>
      <c r="J4" s="3218"/>
      <c r="K4" s="610" t="s">
        <v>2650</v>
      </c>
      <c r="L4" s="1133"/>
      <c r="M4" s="1134"/>
      <c r="N4" s="1134"/>
      <c r="O4" s="1134"/>
      <c r="P4" s="3221" t="s">
        <v>2651</v>
      </c>
      <c r="Q4" s="3222"/>
      <c r="R4" s="3227" t="s">
        <v>2647</v>
      </c>
      <c r="S4" s="3228"/>
      <c r="T4" s="3227" t="s">
        <v>2648</v>
      </c>
      <c r="U4" s="3228"/>
      <c r="V4" s="3214" t="s">
        <v>2649</v>
      </c>
      <c r="W4" s="3214"/>
      <c r="X4" s="1815"/>
      <c r="Y4" s="3227" t="s">
        <v>2651</v>
      </c>
      <c r="Z4" s="3228"/>
      <c r="AA4" s="3215" t="s">
        <v>2647</v>
      </c>
      <c r="AB4" s="3216" t="s">
        <v>2648</v>
      </c>
      <c r="AC4" s="3215" t="s">
        <v>2649</v>
      </c>
    </row>
    <row r="5" spans="1:30" ht="55.5" customHeight="1">
      <c r="A5" s="404"/>
      <c r="B5" s="405"/>
      <c r="C5" s="3235" t="s">
        <v>2542</v>
      </c>
      <c r="D5" s="3236"/>
      <c r="E5" s="3242" t="str">
        <f>租赁!A2</f>
        <v>丰台区丽泽金融商务区南区D-07、D-08地块</v>
      </c>
      <c r="F5" s="3243"/>
      <c r="G5" s="3235" t="str">
        <f>租赁!A3</f>
        <v>丰台区花乡四合庄(中关村科技园丰台园东区三期)1516-28-B地块</v>
      </c>
      <c r="H5" s="3236"/>
      <c r="I5" s="3235" t="str">
        <f>租赁!A4</f>
        <v>丰台区花乡四合庄(中关村科技园丰台园东区三期)1516-28-A地块</v>
      </c>
      <c r="J5" s="3236"/>
      <c r="K5" s="610"/>
      <c r="L5" s="1133"/>
      <c r="M5" s="1134"/>
      <c r="N5" s="1134"/>
      <c r="O5" s="1134"/>
      <c r="P5" s="3223"/>
      <c r="Q5" s="3224"/>
      <c r="R5" s="3229"/>
      <c r="S5" s="3230"/>
      <c r="T5" s="3229"/>
      <c r="U5" s="3230"/>
      <c r="V5" s="3214"/>
      <c r="W5" s="3214"/>
      <c r="X5" s="1815"/>
      <c r="Y5" s="3229"/>
      <c r="Z5" s="3230"/>
      <c r="AA5" s="3216"/>
      <c r="AB5" s="3216"/>
      <c r="AC5" s="3216"/>
    </row>
    <row r="6" spans="1:30" ht="15.75" thickBot="1">
      <c r="A6" s="406"/>
      <c r="B6" s="407"/>
      <c r="C6" s="3233" t="s">
        <v>2546</v>
      </c>
      <c r="D6" s="3234"/>
      <c r="E6" s="3240" t="s">
        <v>2546</v>
      </c>
      <c r="F6" s="3241"/>
      <c r="G6" s="3233" t="s">
        <v>2546</v>
      </c>
      <c r="H6" s="3234"/>
      <c r="I6" s="3233" t="s">
        <v>2546</v>
      </c>
      <c r="J6" s="3234"/>
      <c r="K6" s="610" t="s">
        <v>2547</v>
      </c>
      <c r="L6" s="1133"/>
      <c r="M6" s="1134"/>
      <c r="N6" s="1134"/>
      <c r="O6" s="1134"/>
      <c r="P6" s="3225"/>
      <c r="Q6" s="3226"/>
      <c r="R6" s="3229"/>
      <c r="S6" s="3230"/>
      <c r="T6" s="3231"/>
      <c r="U6" s="3232"/>
      <c r="V6" s="3214"/>
      <c r="W6" s="3214"/>
      <c r="X6" s="1815"/>
      <c r="Y6" s="3231"/>
      <c r="Z6" s="3232"/>
      <c r="AA6" s="3217"/>
      <c r="AB6" s="3217"/>
      <c r="AC6" s="3217"/>
    </row>
    <row r="7" spans="1:30" s="117" customFormat="1" ht="15.75" thickBot="1">
      <c r="A7" s="408" t="s">
        <v>2548</v>
      </c>
      <c r="B7" s="409"/>
      <c r="C7" s="410">
        <f>'数据-取费表'!B2</f>
        <v>43293</v>
      </c>
      <c r="D7" s="411">
        <v>100</v>
      </c>
      <c r="E7" s="412" t="str">
        <f>租赁!H2</f>
        <v>2017-05-18</v>
      </c>
      <c r="F7" s="413">
        <f>SUMIF(70:70,YEAR(E7)&amp;"-"&amp;INT((MONTH(E7)+2)/3),71:71)</f>
        <v>92.5</v>
      </c>
      <c r="G7" s="2699" t="str">
        <f>租赁!H3</f>
        <v>2015-10-21</v>
      </c>
      <c r="H7" s="411">
        <f>SUMIF(70:70,YEAR(G7)&amp;"-"&amp;INT((MONTH(G7)+2)/3),71:71)</f>
        <v>83.5</v>
      </c>
      <c r="I7" s="2699" t="str">
        <f>租赁!H4</f>
        <v>2015-10-21</v>
      </c>
      <c r="J7" s="411">
        <f>SUMIF(70:70,YEAR(I7)&amp;"-"&amp;INT((MONTH(I7)+2)/3),71:71)</f>
        <v>83.5</v>
      </c>
      <c r="K7" s="611"/>
      <c r="L7" s="1135"/>
      <c r="M7" s="1136"/>
      <c r="N7" s="1136"/>
      <c r="O7" s="1136"/>
      <c r="P7" s="3237" t="s">
        <v>2549</v>
      </c>
      <c r="Q7" s="3239"/>
      <c r="R7" s="770" t="s">
        <v>17</v>
      </c>
      <c r="S7" s="771">
        <f t="shared" ref="S7:S15" si="0">F7</f>
        <v>92.5</v>
      </c>
      <c r="T7" s="770" t="s">
        <v>17</v>
      </c>
      <c r="U7" s="771">
        <f t="shared" ref="U7:U15" si="1">H7</f>
        <v>83.5</v>
      </c>
      <c r="V7" s="770" t="s">
        <v>17</v>
      </c>
      <c r="W7" s="771">
        <f t="shared" ref="W7:W15" si="2">J7</f>
        <v>83.5</v>
      </c>
      <c r="X7" s="772"/>
      <c r="Y7" s="3237" t="s">
        <v>2549</v>
      </c>
      <c r="Z7" s="3238"/>
      <c r="AA7" s="773">
        <f>D7/F7</f>
        <v>1.0810810810810811</v>
      </c>
      <c r="AB7" s="773">
        <f>D7/H7</f>
        <v>1.1976047904191616</v>
      </c>
      <c r="AC7" s="773">
        <f>D7/J7</f>
        <v>1.1976047904191616</v>
      </c>
    </row>
    <row r="8" spans="1:30" s="117" customFormat="1" ht="15.75" thickBot="1">
      <c r="A8" s="408" t="s">
        <v>2550</v>
      </c>
      <c r="B8" s="409"/>
      <c r="C8" s="414" t="s">
        <v>2551</v>
      </c>
      <c r="D8" s="411">
        <v>100</v>
      </c>
      <c r="E8" s="414" t="s">
        <v>3060</v>
      </c>
      <c r="F8" s="413">
        <f>SUMIF(73:73,E8,74:74)-SUMIF(73:73,C8,74:74)+100</f>
        <v>100</v>
      </c>
      <c r="G8" s="414" t="s">
        <v>3060</v>
      </c>
      <c r="H8" s="411">
        <f>SUMIF(73:73,G8,74:74)-SUMIF(73:73,C8,74:74)+100</f>
        <v>100</v>
      </c>
      <c r="I8" s="414" t="s">
        <v>3060</v>
      </c>
      <c r="J8" s="411">
        <f>SUMIF(73:73,I8,74:74)-SUMIF(73:73,C8,74:74)+100</f>
        <v>100</v>
      </c>
      <c r="K8" s="611"/>
      <c r="L8" s="1135"/>
      <c r="M8" s="1136"/>
      <c r="N8" s="1136"/>
      <c r="O8" s="1136"/>
      <c r="P8" s="3237" t="s">
        <v>2552</v>
      </c>
      <c r="Q8" s="3238"/>
      <c r="R8" s="770" t="s">
        <v>17</v>
      </c>
      <c r="S8" s="771">
        <f t="shared" si="0"/>
        <v>100</v>
      </c>
      <c r="T8" s="770" t="s">
        <v>17</v>
      </c>
      <c r="U8" s="771">
        <f t="shared" si="1"/>
        <v>100</v>
      </c>
      <c r="V8" s="770" t="s">
        <v>17</v>
      </c>
      <c r="W8" s="771">
        <f t="shared" si="2"/>
        <v>100</v>
      </c>
      <c r="X8" s="772"/>
      <c r="Y8" s="3237" t="s">
        <v>2552</v>
      </c>
      <c r="Z8" s="3238"/>
      <c r="AA8" s="773">
        <f t="shared" ref="AA8:AA45" si="3">D8/F8</f>
        <v>1</v>
      </c>
      <c r="AB8" s="773">
        <f t="shared" ref="AB8:AB45" si="4">D8/H8</f>
        <v>1</v>
      </c>
      <c r="AC8" s="773">
        <f t="shared" ref="AC8:AC45" si="5">D8/J8</f>
        <v>1</v>
      </c>
    </row>
    <row r="9" spans="1:30" s="117" customFormat="1">
      <c r="A9" s="415" t="s">
        <v>2553</v>
      </c>
      <c r="B9" s="71" t="s">
        <v>2554</v>
      </c>
      <c r="C9" s="2702" t="s">
        <v>1376</v>
      </c>
      <c r="D9" s="135">
        <v>100</v>
      </c>
      <c r="E9" s="2702" t="s">
        <v>3128</v>
      </c>
      <c r="F9" s="135">
        <f>SUMIF(75:75,E9,76:76)-SUMIF(75:75,C9,76:76)+100</f>
        <v>98</v>
      </c>
      <c r="G9" s="2702" t="s">
        <v>3128</v>
      </c>
      <c r="H9" s="135">
        <f>SUMIF(75:75,G9,76:76)-SUMIF(75:75,C9,76:76)+100</f>
        <v>98</v>
      </c>
      <c r="I9" s="2702" t="s">
        <v>3128</v>
      </c>
      <c r="J9" s="135">
        <f>SUMIF(75:75,I9,76:76)-SUMIF(75:75,C9,76:76)+100</f>
        <v>98</v>
      </c>
      <c r="K9" s="611"/>
      <c r="L9" s="1135"/>
      <c r="M9" s="1136"/>
      <c r="N9" s="1136"/>
      <c r="O9" s="1137"/>
      <c r="P9" s="3208" t="s">
        <v>2555</v>
      </c>
      <c r="Q9" s="1797" t="str">
        <f t="shared" ref="Q9:Q15" si="6">B9</f>
        <v>用途</v>
      </c>
      <c r="R9" s="770" t="s">
        <v>17</v>
      </c>
      <c r="S9" s="771">
        <f t="shared" si="0"/>
        <v>98</v>
      </c>
      <c r="T9" s="770" t="s">
        <v>17</v>
      </c>
      <c r="U9" s="771">
        <f t="shared" si="1"/>
        <v>98</v>
      </c>
      <c r="V9" s="770" t="s">
        <v>17</v>
      </c>
      <c r="W9" s="771">
        <f t="shared" si="2"/>
        <v>98</v>
      </c>
      <c r="X9" s="772"/>
      <c r="Y9" s="3036" t="s">
        <v>2556</v>
      </c>
      <c r="Z9" s="55" t="str">
        <f t="shared" ref="Z9:Z15" si="7">Q9</f>
        <v>用途</v>
      </c>
      <c r="AA9" s="773">
        <f t="shared" si="3"/>
        <v>1.0204081632653061</v>
      </c>
      <c r="AB9" s="773">
        <f t="shared" si="4"/>
        <v>1.0204081632653061</v>
      </c>
      <c r="AC9" s="773">
        <f t="shared" si="5"/>
        <v>1.0204081632653061</v>
      </c>
    </row>
    <row r="10" spans="1:30" s="427" customFormat="1" ht="27">
      <c r="A10" s="421"/>
      <c r="B10" s="422" t="s">
        <v>2557</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08"/>
      <c r="Q10" s="1797" t="str">
        <f t="shared" si="6"/>
        <v>土地使用年限（年）</v>
      </c>
      <c r="R10" s="770" t="s">
        <v>17</v>
      </c>
      <c r="S10" s="771">
        <f t="shared" si="0"/>
        <v>102</v>
      </c>
      <c r="T10" s="770" t="s">
        <v>17</v>
      </c>
      <c r="U10" s="771">
        <f t="shared" si="1"/>
        <v>102</v>
      </c>
      <c r="V10" s="770" t="s">
        <v>17</v>
      </c>
      <c r="W10" s="771">
        <f t="shared" si="2"/>
        <v>102</v>
      </c>
      <c r="X10" s="772"/>
      <c r="Y10" s="3036"/>
      <c r="Z10" s="55" t="str">
        <f t="shared" si="7"/>
        <v>土地使用年限（年）</v>
      </c>
      <c r="AA10" s="773">
        <f t="shared" si="3"/>
        <v>0.98039215686274506</v>
      </c>
      <c r="AB10" s="773">
        <f t="shared" si="4"/>
        <v>0.98039215686274506</v>
      </c>
      <c r="AC10" s="773">
        <f t="shared" si="5"/>
        <v>0.98039215686274506</v>
      </c>
    </row>
    <row r="11" spans="1:30" ht="15">
      <c r="A11" s="428"/>
      <c r="B11" s="422" t="s">
        <v>2558</v>
      </c>
      <c r="C11" s="2970" t="e">
        <f>'数据-汇总表'!I6</f>
        <v>#DIV/0!</v>
      </c>
      <c r="D11" s="136">
        <v>100</v>
      </c>
      <c r="E11" s="429">
        <f>租赁!G2</f>
        <v>5.8</v>
      </c>
      <c r="F11" s="136" t="e">
        <f>LOOKUP(E11,80:80,81:81)-LOOKUP(C11,80:80,81:81)+100</f>
        <v>#DIV/0!</v>
      </c>
      <c r="G11" s="430">
        <f>租赁!G3</f>
        <v>4</v>
      </c>
      <c r="H11" s="136" t="e">
        <f>LOOKUP(G11,80:80,81:81)-LOOKUP(C11,80:80,81:81)+100</f>
        <v>#DIV/0!</v>
      </c>
      <c r="I11" s="429">
        <f>租赁!G4</f>
        <v>4</v>
      </c>
      <c r="J11" s="136" t="e">
        <f>LOOKUP(I11,80:80,81:81)-LOOKUP(C11,80:80,81:81)+100</f>
        <v>#DIV/0!</v>
      </c>
      <c r="K11" s="673">
        <v>0.5</v>
      </c>
      <c r="L11" s="1141"/>
      <c r="M11" s="1134"/>
      <c r="N11" s="1134"/>
      <c r="O11" s="1142"/>
      <c r="P11" s="3208"/>
      <c r="Q11" s="1797" t="str">
        <f t="shared" si="6"/>
        <v>容积率</v>
      </c>
      <c r="R11" s="770" t="s">
        <v>17</v>
      </c>
      <c r="S11" s="771" t="e">
        <f t="shared" si="0"/>
        <v>#DIV/0!</v>
      </c>
      <c r="T11" s="770" t="s">
        <v>17</v>
      </c>
      <c r="U11" s="771" t="e">
        <f t="shared" si="1"/>
        <v>#DIV/0!</v>
      </c>
      <c r="V11" s="770" t="s">
        <v>17</v>
      </c>
      <c r="W11" s="771" t="e">
        <f t="shared" si="2"/>
        <v>#DIV/0!</v>
      </c>
      <c r="X11" s="772"/>
      <c r="Y11" s="3036"/>
      <c r="Z11" s="55" t="str">
        <f t="shared" si="7"/>
        <v>容积率</v>
      </c>
      <c r="AA11" s="773" t="e">
        <f t="shared" si="3"/>
        <v>#DIV/0!</v>
      </c>
      <c r="AB11" s="773" t="e">
        <f t="shared" si="4"/>
        <v>#DIV/0!</v>
      </c>
      <c r="AC11" s="773" t="e">
        <f t="shared" si="5"/>
        <v>#DIV/0!</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8"/>
      <c r="Q12" s="1797"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8"/>
      <c r="Q13" s="1797">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8"/>
      <c r="Q14" s="1797">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21.75" customHeight="1">
      <c r="A15" s="440" t="s">
        <v>2559</v>
      </c>
      <c r="B15" s="69" t="s">
        <v>2086</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0" t="s">
        <v>2560</v>
      </c>
      <c r="Q15" s="1812" t="str">
        <f t="shared" si="6"/>
        <v>居住社区成熟度</v>
      </c>
      <c r="R15" s="774" t="s">
        <v>17</v>
      </c>
      <c r="S15" s="775">
        <f t="shared" si="0"/>
        <v>100</v>
      </c>
      <c r="T15" s="774" t="s">
        <v>17</v>
      </c>
      <c r="U15" s="775">
        <f t="shared" si="1"/>
        <v>100</v>
      </c>
      <c r="V15" s="774" t="s">
        <v>17</v>
      </c>
      <c r="W15" s="775">
        <f t="shared" si="2"/>
        <v>100</v>
      </c>
      <c r="X15" s="1815"/>
      <c r="Y15" s="3210" t="s">
        <v>2560</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3"/>
      <c r="M16" s="1134"/>
      <c r="N16" s="1134"/>
      <c r="O16" s="1142"/>
      <c r="P16" s="3211"/>
      <c r="Q16" s="1812"/>
      <c r="R16" s="774"/>
      <c r="S16" s="775"/>
      <c r="T16" s="774"/>
      <c r="U16" s="775"/>
      <c r="V16" s="774"/>
      <c r="W16" s="775"/>
      <c r="X16" s="1815"/>
      <c r="Y16" s="3211"/>
      <c r="Z16" s="1816"/>
      <c r="AA16" s="1813">
        <v>1</v>
      </c>
      <c r="AB16" s="1813">
        <v>1</v>
      </c>
      <c r="AC16" s="1813">
        <v>1</v>
      </c>
    </row>
    <row r="17" spans="1:29" ht="85.5" customHeight="1">
      <c r="A17" s="428"/>
      <c r="B17" s="451" t="s">
        <v>2653</v>
      </c>
      <c r="C17" s="2667" t="str">
        <f>估价对象房地状况!C16</f>
        <v>估价对象位于大红门商圈，周边商业氛围成熟度一般，人流量一般，周边有京港城生活广场、明珠商贸城等商业项目，商业繁华度一般</v>
      </c>
      <c r="D17" s="450">
        <v>100</v>
      </c>
      <c r="E17" s="2969" t="s">
        <v>3154</v>
      </c>
      <c r="F17" s="450">
        <f>SUMIF(90:90,E18,91:91)-SUMIF(90:90,C18,91:91)+100</f>
        <v>103</v>
      </c>
      <c r="G17" s="2969" t="s">
        <v>3155</v>
      </c>
      <c r="H17" s="455">
        <f>SUMIF(90:90,G18,91:91)-SUMIF(90:90,C18,91:91)+100</f>
        <v>103</v>
      </c>
      <c r="I17" s="2969" t="s">
        <v>3155</v>
      </c>
      <c r="J17" s="455">
        <f>SUMIF(90:90,I18,91:91)-SUMIF(90:90,C18,91:91)+100</f>
        <v>103</v>
      </c>
      <c r="K17" s="673">
        <v>3</v>
      </c>
      <c r="L17" s="1143"/>
      <c r="M17" s="1134"/>
      <c r="N17" s="1134"/>
      <c r="O17" s="1142"/>
      <c r="P17" s="3211"/>
      <c r="Q17" s="1812" t="str">
        <f>B17</f>
        <v>商业繁华度</v>
      </c>
      <c r="R17" s="774" t="s">
        <v>17</v>
      </c>
      <c r="S17" s="775">
        <f>F17</f>
        <v>103</v>
      </c>
      <c r="T17" s="774" t="s">
        <v>17</v>
      </c>
      <c r="U17" s="775">
        <f>H17</f>
        <v>103</v>
      </c>
      <c r="V17" s="774" t="s">
        <v>17</v>
      </c>
      <c r="W17" s="775">
        <f>J17</f>
        <v>103</v>
      </c>
      <c r="X17" s="1815"/>
      <c r="Y17" s="3211"/>
      <c r="Z17" s="1816" t="str">
        <f>Q17</f>
        <v>商业繁华度</v>
      </c>
      <c r="AA17" s="1813">
        <f t="shared" si="3"/>
        <v>0.970873786407767</v>
      </c>
      <c r="AB17" s="1813">
        <f t="shared" si="4"/>
        <v>0.970873786407767</v>
      </c>
      <c r="AC17" s="1813">
        <f t="shared" si="5"/>
        <v>0.970873786407767</v>
      </c>
    </row>
    <row r="18" spans="1:29" ht="15">
      <c r="A18" s="428"/>
      <c r="B18" s="456"/>
      <c r="C18" s="2611" t="s">
        <v>3105</v>
      </c>
      <c r="D18" s="450"/>
      <c r="E18" s="2613" t="s">
        <v>3106</v>
      </c>
      <c r="F18" s="450"/>
      <c r="G18" s="2613" t="s">
        <v>3106</v>
      </c>
      <c r="H18" s="448"/>
      <c r="I18" s="2613" t="s">
        <v>3106</v>
      </c>
      <c r="J18" s="448"/>
      <c r="K18" s="672"/>
      <c r="L18" s="1143"/>
      <c r="M18" s="1134"/>
      <c r="N18" s="1134"/>
      <c r="O18" s="1142"/>
      <c r="P18" s="3211"/>
      <c r="Q18" s="1812"/>
      <c r="R18" s="774"/>
      <c r="S18" s="775"/>
      <c r="T18" s="774"/>
      <c r="U18" s="775"/>
      <c r="V18" s="774"/>
      <c r="W18" s="775"/>
      <c r="X18" s="1815"/>
      <c r="Y18" s="3211"/>
      <c r="Z18" s="1816"/>
      <c r="AA18" s="1813">
        <v>1</v>
      </c>
      <c r="AB18" s="1813">
        <v>1</v>
      </c>
      <c r="AC18" s="1813">
        <v>1</v>
      </c>
    </row>
    <row r="19" spans="1:29" ht="48.75" customHeight="1">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1"/>
      <c r="Q19" s="1812" t="str">
        <f>B19</f>
        <v>办公集聚程度</v>
      </c>
      <c r="R19" s="774" t="s">
        <v>17</v>
      </c>
      <c r="S19" s="775">
        <f>F19</f>
        <v>100</v>
      </c>
      <c r="T19" s="774" t="s">
        <v>17</v>
      </c>
      <c r="U19" s="775">
        <f>H19</f>
        <v>100</v>
      </c>
      <c r="V19" s="774" t="s">
        <v>17</v>
      </c>
      <c r="W19" s="775">
        <f>J19</f>
        <v>100</v>
      </c>
      <c r="X19" s="1815"/>
      <c r="Y19" s="3211"/>
      <c r="Z19" s="1816" t="str">
        <f>Q19</f>
        <v>办公集聚程度</v>
      </c>
      <c r="AA19" s="1813">
        <f t="shared" si="3"/>
        <v>1</v>
      </c>
      <c r="AB19" s="1813">
        <f t="shared" si="4"/>
        <v>1</v>
      </c>
      <c r="AC19" s="1813">
        <f t="shared" si="5"/>
        <v>1</v>
      </c>
    </row>
    <row r="20" spans="1:29" ht="15">
      <c r="A20" s="428"/>
      <c r="B20" s="456"/>
      <c r="C20" s="447"/>
      <c r="D20" s="448"/>
      <c r="E20" s="2608"/>
      <c r="F20" s="448"/>
      <c r="G20" s="2608"/>
      <c r="H20" s="448"/>
      <c r="I20" s="2607"/>
      <c r="J20" s="448"/>
      <c r="K20" s="672"/>
      <c r="L20" s="1143"/>
      <c r="M20" s="1134"/>
      <c r="N20" s="1134"/>
      <c r="O20" s="1142"/>
      <c r="P20" s="3211"/>
      <c r="Q20" s="1812"/>
      <c r="R20" s="774"/>
      <c r="S20" s="775"/>
      <c r="T20" s="774"/>
      <c r="U20" s="775"/>
      <c r="V20" s="774"/>
      <c r="W20" s="775"/>
      <c r="X20" s="1815"/>
      <c r="Y20" s="3211"/>
      <c r="Z20" s="1816"/>
      <c r="AA20" s="1813">
        <v>1</v>
      </c>
      <c r="AB20" s="1813">
        <v>1</v>
      </c>
      <c r="AC20" s="1813">
        <v>1</v>
      </c>
    </row>
    <row r="21" spans="1:29" ht="70.5" customHeight="1">
      <c r="A21" s="428"/>
      <c r="B21" s="451" t="s">
        <v>2709</v>
      </c>
      <c r="C21" s="2610" t="str">
        <f>估价对象房地状况!C18</f>
        <v>估价对象周边道路状况、公共交通通达情况：地铁10号线及71、511路等公交车、停车便捷程度，综合评价交通便捷度较好</v>
      </c>
      <c r="D21" s="450">
        <v>100</v>
      </c>
      <c r="E21" s="452" t="s">
        <v>3151</v>
      </c>
      <c r="F21" s="455">
        <f>SUMIF(94:94,E22,95:95)-SUMIF(94:94,C22,95:95)+100</f>
        <v>100</v>
      </c>
      <c r="G21" s="2969" t="s">
        <v>3156</v>
      </c>
      <c r="H21" s="450">
        <f>SUMIF(94:94,G22,95:95)-SUMIF(94:94,C22,95:95)+100</f>
        <v>100</v>
      </c>
      <c r="I21" s="2969" t="s">
        <v>3156</v>
      </c>
      <c r="J21" s="450">
        <f>SUMIF(94:94,I22,95:95)-SUMIF(94:94,C22,95:95)+100</f>
        <v>100</v>
      </c>
      <c r="K21" s="673">
        <v>2</v>
      </c>
      <c r="L21" s="1143"/>
      <c r="M21" s="1134"/>
      <c r="N21" s="1134"/>
      <c r="O21" s="1142"/>
      <c r="P21" s="3211"/>
      <c r="Q21" s="1812" t="str">
        <f>B21</f>
        <v>交通便捷度</v>
      </c>
      <c r="R21" s="774" t="s">
        <v>17</v>
      </c>
      <c r="S21" s="775">
        <f>F21</f>
        <v>100</v>
      </c>
      <c r="T21" s="774" t="s">
        <v>17</v>
      </c>
      <c r="U21" s="775">
        <f>H21</f>
        <v>100</v>
      </c>
      <c r="V21" s="774" t="s">
        <v>17</v>
      </c>
      <c r="W21" s="775">
        <f>J21</f>
        <v>100</v>
      </c>
      <c r="X21" s="1815"/>
      <c r="Y21" s="3211"/>
      <c r="Z21" s="1816" t="str">
        <f>Q21</f>
        <v>交通便捷度</v>
      </c>
      <c r="AA21" s="1813">
        <f t="shared" si="3"/>
        <v>1</v>
      </c>
      <c r="AB21" s="1813">
        <f t="shared" si="4"/>
        <v>1</v>
      </c>
      <c r="AC21" s="1813">
        <f t="shared" si="5"/>
        <v>1</v>
      </c>
    </row>
    <row r="22" spans="1:29" ht="15">
      <c r="A22" s="428"/>
      <c r="B22" s="1387"/>
      <c r="C22" s="447" t="s">
        <v>3106</v>
      </c>
      <c r="D22" s="450"/>
      <c r="E22" s="447" t="s">
        <v>3106</v>
      </c>
      <c r="F22" s="448"/>
      <c r="G22" s="2608" t="s">
        <v>3106</v>
      </c>
      <c r="H22" s="448"/>
      <c r="I22" s="2607" t="s">
        <v>3106</v>
      </c>
      <c r="J22" s="448"/>
      <c r="K22" s="672"/>
      <c r="L22" s="1143"/>
      <c r="M22" s="1134"/>
      <c r="N22" s="1134"/>
      <c r="O22" s="1142"/>
      <c r="P22" s="3211"/>
      <c r="Q22" s="1812"/>
      <c r="R22" s="774"/>
      <c r="S22" s="775"/>
      <c r="T22" s="774"/>
      <c r="U22" s="775"/>
      <c r="V22" s="774"/>
      <c r="W22" s="775"/>
      <c r="X22" s="1815"/>
      <c r="Y22" s="3211"/>
      <c r="Z22" s="1816"/>
      <c r="AA22" s="1813">
        <v>1</v>
      </c>
      <c r="AB22" s="1813">
        <v>1</v>
      </c>
      <c r="AC22" s="1813">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11"/>
      <c r="Q23" s="1812" t="str">
        <f t="shared" ref="Q23:Q37" si="8">B23</f>
        <v>区域土地利用方向</v>
      </c>
      <c r="R23" s="774" t="s">
        <v>17</v>
      </c>
      <c r="S23" s="775">
        <f>F23</f>
        <v>100</v>
      </c>
      <c r="T23" s="774" t="s">
        <v>17</v>
      </c>
      <c r="U23" s="775">
        <f>H23</f>
        <v>100</v>
      </c>
      <c r="V23" s="774" t="s">
        <v>17</v>
      </c>
      <c r="W23" s="775">
        <f>J23</f>
        <v>100</v>
      </c>
      <c r="X23" s="1815"/>
      <c r="Y23" s="3211"/>
      <c r="Z23" s="1816" t="str">
        <f>Q23</f>
        <v>区域土地利用方向</v>
      </c>
      <c r="AA23" s="1813">
        <f t="shared" si="3"/>
        <v>1</v>
      </c>
      <c r="AB23" s="1813">
        <f t="shared" si="4"/>
        <v>1</v>
      </c>
      <c r="AC23" s="1813">
        <f t="shared" si="5"/>
        <v>1</v>
      </c>
    </row>
    <row r="24" spans="1:29" ht="15">
      <c r="A24" s="404"/>
      <c r="B24" s="456"/>
      <c r="C24" s="616" t="s">
        <v>3106</v>
      </c>
      <c r="D24" s="448"/>
      <c r="E24" s="616" t="s">
        <v>3106</v>
      </c>
      <c r="F24" s="448"/>
      <c r="G24" s="616" t="s">
        <v>3106</v>
      </c>
      <c r="H24" s="448"/>
      <c r="I24" s="616" t="s">
        <v>3106</v>
      </c>
      <c r="J24" s="448"/>
      <c r="K24" s="812"/>
      <c r="L24" s="1143"/>
      <c r="M24" s="1134"/>
      <c r="N24" s="1134"/>
      <c r="O24" s="1142"/>
      <c r="P24" s="3211"/>
      <c r="Q24" s="1812"/>
      <c r="R24" s="774"/>
      <c r="S24" s="775"/>
      <c r="T24" s="774"/>
      <c r="U24" s="775"/>
      <c r="V24" s="774"/>
      <c r="W24" s="775"/>
      <c r="X24" s="1815"/>
      <c r="Y24" s="3211"/>
      <c r="Z24" s="1816"/>
      <c r="AA24" s="1813"/>
      <c r="AB24" s="1813"/>
      <c r="AC24" s="1813"/>
    </row>
    <row r="25" spans="1:29" ht="42.75">
      <c r="A25" s="404"/>
      <c r="B25" s="1387" t="s">
        <v>2749</v>
      </c>
      <c r="C25" s="2667" t="str">
        <f>估价对象房地状况!C20</f>
        <v>区域自然环境：福海公园；人文环境；综合评价环境状况一般</v>
      </c>
      <c r="D25" s="450">
        <v>100</v>
      </c>
      <c r="E25" s="2969" t="s">
        <v>3158</v>
      </c>
      <c r="F25" s="450">
        <f>SUMIF(98:98,E26,99:99)-SUMIF(98:98,C26,99:99)+100</f>
        <v>100</v>
      </c>
      <c r="G25" s="2969" t="s">
        <v>3157</v>
      </c>
      <c r="H25" s="450">
        <f>SUMIF(98:98,G26,99:99)-SUMIF(98:98,C26,99:99)+100</f>
        <v>102</v>
      </c>
      <c r="I25" s="2969" t="s">
        <v>3157</v>
      </c>
      <c r="J25" s="450">
        <f>SUMIF(98:98,I26,99:99)-SUMIF(98:98,C26,99:99)+100</f>
        <v>102</v>
      </c>
      <c r="K25" s="673">
        <v>2</v>
      </c>
      <c r="L25" s="1143"/>
      <c r="M25" s="1134"/>
      <c r="N25" s="1134"/>
      <c r="O25" s="1142"/>
      <c r="P25" s="3211"/>
      <c r="Q25" s="1812" t="str">
        <f t="shared" si="8"/>
        <v>自然及人文环境状况</v>
      </c>
      <c r="R25" s="774" t="s">
        <v>17</v>
      </c>
      <c r="S25" s="775">
        <f>F25</f>
        <v>100</v>
      </c>
      <c r="T25" s="774" t="s">
        <v>17</v>
      </c>
      <c r="U25" s="775">
        <f>H25</f>
        <v>102</v>
      </c>
      <c r="V25" s="774" t="s">
        <v>17</v>
      </c>
      <c r="W25" s="775">
        <f>J25</f>
        <v>102</v>
      </c>
      <c r="X25" s="1815"/>
      <c r="Y25" s="3211"/>
      <c r="Z25" s="1816" t="str">
        <f>Q25</f>
        <v>自然及人文环境状况</v>
      </c>
      <c r="AA25" s="1813">
        <f t="shared" si="3"/>
        <v>1</v>
      </c>
      <c r="AB25" s="1813">
        <f t="shared" si="4"/>
        <v>0.98039215686274506</v>
      </c>
      <c r="AC25" s="1813">
        <f t="shared" si="5"/>
        <v>0.98039215686274506</v>
      </c>
    </row>
    <row r="26" spans="1:29" ht="15">
      <c r="A26" s="404"/>
      <c r="B26" s="456"/>
      <c r="C26" s="447" t="s">
        <v>3105</v>
      </c>
      <c r="D26" s="448"/>
      <c r="E26" s="447" t="s">
        <v>3105</v>
      </c>
      <c r="F26" s="448"/>
      <c r="G26" s="447" t="s">
        <v>3106</v>
      </c>
      <c r="H26" s="448"/>
      <c r="I26" s="447" t="s">
        <v>3106</v>
      </c>
      <c r="J26" s="448"/>
      <c r="K26" s="672"/>
      <c r="L26" s="1143"/>
      <c r="M26" s="1134"/>
      <c r="N26" s="1134"/>
      <c r="O26" s="1142"/>
      <c r="P26" s="3211"/>
      <c r="Q26" s="1812"/>
      <c r="R26" s="774"/>
      <c r="S26" s="775"/>
      <c r="T26" s="774"/>
      <c r="U26" s="775"/>
      <c r="V26" s="774"/>
      <c r="W26" s="775"/>
      <c r="X26" s="1815"/>
      <c r="Y26" s="3211"/>
      <c r="Z26" s="1816"/>
      <c r="AA26" s="1813">
        <v>1</v>
      </c>
      <c r="AB26" s="1813">
        <v>1</v>
      </c>
      <c r="AC26" s="1813">
        <v>1</v>
      </c>
    </row>
    <row r="27" spans="1:29" s="117" customFormat="1" ht="28.5">
      <c r="A27" s="649"/>
      <c r="B27" s="1387" t="s">
        <v>2654</v>
      </c>
      <c r="C27" s="2610"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211"/>
      <c r="Q27" s="1797" t="str">
        <f t="shared" si="8"/>
        <v>公共配套设施</v>
      </c>
      <c r="R27" s="770" t="s">
        <v>17</v>
      </c>
      <c r="S27" s="771">
        <f>F27</f>
        <v>100</v>
      </c>
      <c r="T27" s="770" t="s">
        <v>17</v>
      </c>
      <c r="U27" s="771">
        <f>H27</f>
        <v>100</v>
      </c>
      <c r="V27" s="770" t="s">
        <v>17</v>
      </c>
      <c r="W27" s="771">
        <f>J27</f>
        <v>100</v>
      </c>
      <c r="X27" s="772"/>
      <c r="Y27" s="3211"/>
      <c r="Z27" s="55" t="str">
        <f>Q27</f>
        <v>公共配套设施</v>
      </c>
      <c r="AA27" s="1813">
        <f>D27/F27</f>
        <v>1</v>
      </c>
      <c r="AB27" s="1813">
        <f>D27/H27</f>
        <v>1</v>
      </c>
      <c r="AC27" s="1813">
        <f>D27/J27</f>
        <v>1</v>
      </c>
    </row>
    <row r="28" spans="1:29" s="117" customFormat="1" ht="15">
      <c r="A28" s="649"/>
      <c r="B28" s="456"/>
      <c r="C28" s="2703" t="s">
        <v>3106</v>
      </c>
      <c r="D28" s="448"/>
      <c r="E28" s="2703" t="s">
        <v>3106</v>
      </c>
      <c r="F28" s="448"/>
      <c r="G28" s="2608" t="s">
        <v>3106</v>
      </c>
      <c r="H28" s="448"/>
      <c r="I28" s="2608" t="s">
        <v>3106</v>
      </c>
      <c r="J28" s="448"/>
      <c r="K28" s="672"/>
      <c r="L28" s="1135"/>
      <c r="M28" s="1136"/>
      <c r="N28" s="1136"/>
      <c r="O28" s="1137"/>
      <c r="P28" s="3211"/>
      <c r="Q28" s="1797"/>
      <c r="R28" s="770"/>
      <c r="S28" s="771"/>
      <c r="T28" s="770"/>
      <c r="U28" s="771"/>
      <c r="V28" s="770"/>
      <c r="W28" s="771"/>
      <c r="X28" s="772"/>
      <c r="Y28" s="3211"/>
      <c r="Z28" s="55"/>
      <c r="AA28" s="1813">
        <v>1</v>
      </c>
      <c r="AB28" s="1813">
        <v>1</v>
      </c>
      <c r="AC28" s="1813">
        <v>1</v>
      </c>
    </row>
    <row r="29" spans="1:29" s="117" customFormat="1" ht="28.5">
      <c r="A29" s="649"/>
      <c r="B29" s="1387" t="s">
        <v>2655</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11"/>
      <c r="Q29" s="1797"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3">
        <f>D29/F29</f>
        <v>1</v>
      </c>
      <c r="AB29" s="1813">
        <f>D29/H29</f>
        <v>1</v>
      </c>
      <c r="AC29" s="1813">
        <f>D29/J29</f>
        <v>1</v>
      </c>
    </row>
    <row r="30" spans="1:29" s="117" customFormat="1" ht="15">
      <c r="A30" s="649"/>
      <c r="B30" s="456"/>
      <c r="C30" s="2703" t="s">
        <v>3130</v>
      </c>
      <c r="D30" s="448"/>
      <c r="E30" s="2703" t="s">
        <v>3130</v>
      </c>
      <c r="F30" s="448"/>
      <c r="G30" s="2704" t="s">
        <v>3130</v>
      </c>
      <c r="H30" s="448"/>
      <c r="I30" s="2704" t="s">
        <v>3130</v>
      </c>
      <c r="J30" s="448"/>
      <c r="K30" s="672"/>
      <c r="L30" s="1135"/>
      <c r="M30" s="1136"/>
      <c r="N30" s="1136"/>
      <c r="O30" s="1137"/>
      <c r="P30" s="3211"/>
      <c r="Q30" s="1797"/>
      <c r="R30" s="770"/>
      <c r="S30" s="771"/>
      <c r="T30" s="770"/>
      <c r="U30" s="771"/>
      <c r="V30" s="770"/>
      <c r="W30" s="771"/>
      <c r="X30" s="772"/>
      <c r="Y30" s="3211"/>
      <c r="Z30" s="55"/>
      <c r="AA30" s="1813">
        <v>1</v>
      </c>
      <c r="AB30" s="1813">
        <v>1</v>
      </c>
      <c r="AC30" s="1813">
        <v>1</v>
      </c>
    </row>
    <row r="31" spans="1:29" ht="15">
      <c r="A31" s="428"/>
      <c r="B31" s="456" t="s">
        <v>2656</v>
      </c>
      <c r="C31" s="616" t="s">
        <v>3159</v>
      </c>
      <c r="D31" s="435">
        <v>100</v>
      </c>
      <c r="E31" s="634" t="s">
        <v>3152</v>
      </c>
      <c r="F31" s="435">
        <f>SUMIF(104:104,E31,105:105)-SUMIF(104:104,C31,105:105)+100</f>
        <v>102</v>
      </c>
      <c r="G31" s="634" t="s">
        <v>3152</v>
      </c>
      <c r="H31" s="435">
        <f>SUMIF(104:104,G31,105:105)-SUMIF(104:104,C31,105:105)+100</f>
        <v>102</v>
      </c>
      <c r="I31" s="634" t="s">
        <v>3152</v>
      </c>
      <c r="J31" s="435">
        <f>SUMIF(104:104,I31,105:105)-SUMIF(104:104,C31,105:105)+100</f>
        <v>102</v>
      </c>
      <c r="K31" s="673">
        <v>1</v>
      </c>
      <c r="L31" s="1143"/>
      <c r="M31" s="1134"/>
      <c r="N31" s="1134"/>
      <c r="O31" s="1142"/>
      <c r="P31" s="3211"/>
      <c r="Q31" s="1812" t="str">
        <f t="shared" si="8"/>
        <v>临街状况</v>
      </c>
      <c r="R31" s="774" t="s">
        <v>17</v>
      </c>
      <c r="S31" s="775">
        <f t="shared" ref="S31:S45" si="10">F31</f>
        <v>102</v>
      </c>
      <c r="T31" s="774" t="s">
        <v>17</v>
      </c>
      <c r="U31" s="775">
        <f t="shared" ref="U31:U45" si="11">H31</f>
        <v>102</v>
      </c>
      <c r="V31" s="774" t="s">
        <v>17</v>
      </c>
      <c r="W31" s="775">
        <f t="shared" ref="W31:W45" si="12">J31</f>
        <v>102</v>
      </c>
      <c r="X31" s="1815"/>
      <c r="Y31" s="3211"/>
      <c r="Z31" s="1816" t="str">
        <f t="shared" ref="Z31:Z45" si="13">Q31</f>
        <v>临街状况</v>
      </c>
      <c r="AA31" s="1813">
        <f t="shared" si="3"/>
        <v>0.98039215686274506</v>
      </c>
      <c r="AB31" s="1813">
        <f t="shared" si="4"/>
        <v>0.98039215686274506</v>
      </c>
      <c r="AC31" s="1813">
        <f t="shared" si="5"/>
        <v>0.98039215686274506</v>
      </c>
    </row>
    <row r="32" spans="1:29" ht="27">
      <c r="A32" s="428"/>
      <c r="B32" s="1387" t="s">
        <v>2691</v>
      </c>
      <c r="C32" s="454"/>
      <c r="D32" s="450">
        <v>100</v>
      </c>
      <c r="E32" s="2969" t="s">
        <v>3153</v>
      </c>
      <c r="F32" s="450">
        <f>SUMIF(106:106,E33,107:107)-SUMIF(106:106,C33,107:107)+100</f>
        <v>101</v>
      </c>
      <c r="G32" s="2969" t="s">
        <v>3165</v>
      </c>
      <c r="H32" s="450">
        <f>SUMIF(106:106,G33,107:107)-SUMIF(106:106,C33,107:107)+100</f>
        <v>100</v>
      </c>
      <c r="I32" s="2969" t="s">
        <v>3166</v>
      </c>
      <c r="J32" s="450">
        <f>SUMIF(106:106,I33,107:107)-SUMIF(106:106,C33,107:107)+100</f>
        <v>100</v>
      </c>
      <c r="K32" s="673">
        <v>1</v>
      </c>
      <c r="L32" s="1143"/>
      <c r="M32" s="1134"/>
      <c r="N32" s="1134"/>
      <c r="O32" s="1142"/>
      <c r="P32" s="3211"/>
      <c r="Q32" s="1812" t="str">
        <f t="shared" si="8"/>
        <v>毗邻道路的类型与等级</v>
      </c>
      <c r="R32" s="774" t="s">
        <v>17</v>
      </c>
      <c r="S32" s="775">
        <f t="shared" si="10"/>
        <v>101</v>
      </c>
      <c r="T32" s="774" t="s">
        <v>17</v>
      </c>
      <c r="U32" s="775">
        <f t="shared" si="11"/>
        <v>100</v>
      </c>
      <c r="V32" s="774" t="s">
        <v>17</v>
      </c>
      <c r="W32" s="775">
        <f t="shared" si="12"/>
        <v>100</v>
      </c>
      <c r="X32" s="1815"/>
      <c r="Y32" s="3211"/>
      <c r="Z32" s="1816" t="str">
        <f t="shared" si="13"/>
        <v>毗邻道路的类型与等级</v>
      </c>
      <c r="AA32" s="1813">
        <f t="shared" si="3"/>
        <v>0.99009900990099009</v>
      </c>
      <c r="AB32" s="1813">
        <f t="shared" si="4"/>
        <v>1</v>
      </c>
      <c r="AC32" s="1813">
        <f t="shared" si="5"/>
        <v>1</v>
      </c>
    </row>
    <row r="33" spans="1:29" ht="15">
      <c r="A33" s="428"/>
      <c r="B33" s="456"/>
      <c r="C33" s="447" t="s">
        <v>3167</v>
      </c>
      <c r="D33" s="448"/>
      <c r="E33" s="2614" t="s">
        <v>3134</v>
      </c>
      <c r="F33" s="448"/>
      <c r="G33" s="2614" t="s">
        <v>3167</v>
      </c>
      <c r="H33" s="448"/>
      <c r="I33" s="2614" t="s">
        <v>3167</v>
      </c>
      <c r="J33" s="448"/>
      <c r="K33" s="613"/>
      <c r="L33" s="1143"/>
      <c r="M33" s="1134"/>
      <c r="N33" s="1134"/>
      <c r="O33" s="1142"/>
      <c r="P33" s="3211"/>
      <c r="Q33" s="1812"/>
      <c r="R33" s="774"/>
      <c r="S33" s="775"/>
      <c r="T33" s="774"/>
      <c r="U33" s="775"/>
      <c r="V33" s="774"/>
      <c r="W33" s="775"/>
      <c r="X33" s="1815"/>
      <c r="Y33" s="3211"/>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1"/>
      <c r="Q34" s="1812" t="str">
        <f t="shared" si="8"/>
        <v>土地级别</v>
      </c>
      <c r="R34" s="774" t="s">
        <v>17</v>
      </c>
      <c r="S34" s="775">
        <f t="shared" si="10"/>
        <v>100</v>
      </c>
      <c r="T34" s="774" t="s">
        <v>17</v>
      </c>
      <c r="U34" s="775">
        <f t="shared" si="11"/>
        <v>100</v>
      </c>
      <c r="V34" s="774" t="s">
        <v>17</v>
      </c>
      <c r="W34" s="775">
        <f t="shared" si="12"/>
        <v>100</v>
      </c>
      <c r="X34" s="1815"/>
      <c r="Y34" s="3211"/>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1"/>
      <c r="Q35" s="1812">
        <f t="shared" si="8"/>
        <v>0</v>
      </c>
      <c r="R35" s="774" t="s">
        <v>17</v>
      </c>
      <c r="S35" s="775">
        <f t="shared" si="10"/>
        <v>100</v>
      </c>
      <c r="T35" s="774" t="s">
        <v>17</v>
      </c>
      <c r="U35" s="775">
        <f t="shared" si="11"/>
        <v>100</v>
      </c>
      <c r="V35" s="774" t="s">
        <v>17</v>
      </c>
      <c r="W35" s="775">
        <f t="shared" si="12"/>
        <v>100</v>
      </c>
      <c r="X35" s="1815"/>
      <c r="Y35" s="3211"/>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2565</v>
      </c>
      <c r="Q36" s="1812">
        <f t="shared" si="8"/>
        <v>0</v>
      </c>
      <c r="R36" s="774" t="s">
        <v>17</v>
      </c>
      <c r="S36" s="775">
        <f t="shared" si="10"/>
        <v>100</v>
      </c>
      <c r="T36" s="774" t="s">
        <v>17</v>
      </c>
      <c r="U36" s="775">
        <f t="shared" si="11"/>
        <v>100</v>
      </c>
      <c r="V36" s="774" t="s">
        <v>17</v>
      </c>
      <c r="W36" s="775">
        <f t="shared" si="12"/>
        <v>100</v>
      </c>
      <c r="X36" s="1815"/>
      <c r="Y36" s="3213" t="s">
        <v>2565</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3"/>
      <c r="Q37" s="1812">
        <f t="shared" si="8"/>
        <v>0</v>
      </c>
      <c r="R37" s="777" t="s">
        <v>17</v>
      </c>
      <c r="S37" s="778">
        <f t="shared" si="10"/>
        <v>100</v>
      </c>
      <c r="T37" s="777" t="s">
        <v>17</v>
      </c>
      <c r="U37" s="778">
        <f t="shared" si="11"/>
        <v>100</v>
      </c>
      <c r="V37" s="777" t="s">
        <v>17</v>
      </c>
      <c r="W37" s="778">
        <f t="shared" si="12"/>
        <v>100</v>
      </c>
      <c r="X37" s="779"/>
      <c r="Y37" s="3213"/>
      <c r="Z37" s="780">
        <f t="shared" si="13"/>
        <v>0</v>
      </c>
      <c r="AA37" s="1813">
        <f t="shared" si="3"/>
        <v>1</v>
      </c>
      <c r="AB37" s="1813">
        <f t="shared" si="4"/>
        <v>1</v>
      </c>
      <c r="AC37" s="1813">
        <f t="shared" si="5"/>
        <v>1</v>
      </c>
    </row>
    <row r="38" spans="1:29" ht="15">
      <c r="A38" s="472" t="s">
        <v>2563</v>
      </c>
      <c r="B38" s="456" t="s">
        <v>2751</v>
      </c>
      <c r="C38" s="2971">
        <f>'数据-基础表'!A3</f>
        <v>0</v>
      </c>
      <c r="D38" s="467">
        <v>100</v>
      </c>
      <c r="E38" s="679">
        <f>租赁!E2</f>
        <v>27295.08</v>
      </c>
      <c r="F38" s="467">
        <f>LOOKUP(E38,117:117,118:118)-LOOKUP(C38,117:117,118:118)+100</f>
        <v>102</v>
      </c>
      <c r="G38" s="679">
        <f>租赁!E3</f>
        <v>14788.3</v>
      </c>
      <c r="H38" s="467">
        <f>LOOKUP(G38,117:117,118:118)-LOOKUP(C38,117:117,118:118)+100</f>
        <v>101</v>
      </c>
      <c r="I38" s="530">
        <f>租赁!E4</f>
        <v>29500</v>
      </c>
      <c r="J38" s="467">
        <f>LOOKUP(I38,117:117,118:118)-LOOKUP(C38,117:117,118:118)+100</f>
        <v>102</v>
      </c>
      <c r="K38" s="613"/>
      <c r="L38" s="1143"/>
      <c r="M38" s="1134"/>
      <c r="N38" s="1134"/>
      <c r="O38" s="1142"/>
      <c r="P38" s="3213"/>
      <c r="Q38" s="1812" t="str">
        <f>B38</f>
        <v>宗地面积</v>
      </c>
      <c r="R38" s="774" t="s">
        <v>17</v>
      </c>
      <c r="S38" s="775">
        <f t="shared" si="10"/>
        <v>102</v>
      </c>
      <c r="T38" s="774" t="s">
        <v>17</v>
      </c>
      <c r="U38" s="775">
        <f t="shared" si="11"/>
        <v>101</v>
      </c>
      <c r="V38" s="774" t="s">
        <v>17</v>
      </c>
      <c r="W38" s="775">
        <f t="shared" si="12"/>
        <v>102</v>
      </c>
      <c r="X38" s="1815"/>
      <c r="Y38" s="3213"/>
      <c r="Z38" s="1816" t="str">
        <f t="shared" si="13"/>
        <v>宗地面积</v>
      </c>
      <c r="AA38" s="1813">
        <f t="shared" si="3"/>
        <v>0.98039215686274506</v>
      </c>
      <c r="AB38" s="1813">
        <f t="shared" si="4"/>
        <v>0.99009900990099009</v>
      </c>
      <c r="AC38" s="1813">
        <f t="shared" si="5"/>
        <v>0.98039215686274506</v>
      </c>
    </row>
    <row r="39" spans="1:29" ht="15">
      <c r="A39" s="472"/>
      <c r="B39" s="422" t="s">
        <v>2752</v>
      </c>
      <c r="C39" s="2616" t="s">
        <v>3138</v>
      </c>
      <c r="D39" s="435">
        <v>100</v>
      </c>
      <c r="E39" s="2616" t="s">
        <v>3138</v>
      </c>
      <c r="F39" s="435">
        <f>SUMIF(119:119,E39,120:120)-SUMIF(119:119,C39,120:120)+100</f>
        <v>100</v>
      </c>
      <c r="G39" s="2616" t="s">
        <v>3138</v>
      </c>
      <c r="H39" s="435">
        <f>SUMIF(119:119,G39,120:120)-SUMIF(119:119,C39,120:120)+100</f>
        <v>100</v>
      </c>
      <c r="I39" s="2616" t="s">
        <v>3138</v>
      </c>
      <c r="J39" s="435">
        <f>SUMIF(119:119,I39,120:120)-SUMIF(119:119,C39,120:120)+100</f>
        <v>100</v>
      </c>
      <c r="K39" s="612">
        <v>2</v>
      </c>
      <c r="L39" s="1143"/>
      <c r="M39" s="1134"/>
      <c r="N39" s="1134"/>
      <c r="O39" s="1142"/>
      <c r="P39" s="3213"/>
      <c r="Q39" s="1812" t="str">
        <f t="shared" ref="Q39:Q45" si="14">B39</f>
        <v>宗地形状</v>
      </c>
      <c r="R39" s="774" t="s">
        <v>17</v>
      </c>
      <c r="S39" s="775">
        <f t="shared" si="10"/>
        <v>100</v>
      </c>
      <c r="T39" s="774" t="s">
        <v>17</v>
      </c>
      <c r="U39" s="775">
        <f t="shared" si="11"/>
        <v>100</v>
      </c>
      <c r="V39" s="774" t="s">
        <v>17</v>
      </c>
      <c r="W39" s="775">
        <f t="shared" si="12"/>
        <v>100</v>
      </c>
      <c r="X39" s="1815"/>
      <c r="Y39" s="3213"/>
      <c r="Z39" s="1816" t="str">
        <f t="shared" si="13"/>
        <v>宗地形状</v>
      </c>
      <c r="AA39" s="1813">
        <f t="shared" si="3"/>
        <v>1</v>
      </c>
      <c r="AB39" s="1813">
        <f t="shared" si="4"/>
        <v>1</v>
      </c>
      <c r="AC39" s="1813">
        <f t="shared" si="5"/>
        <v>1</v>
      </c>
    </row>
    <row r="40" spans="1:29" ht="15">
      <c r="A40" s="472"/>
      <c r="B40" s="422" t="s">
        <v>2753</v>
      </c>
      <c r="C40" s="2616" t="s">
        <v>3106</v>
      </c>
      <c r="D40" s="435">
        <v>100</v>
      </c>
      <c r="E40" s="2616" t="s">
        <v>3106</v>
      </c>
      <c r="F40" s="435">
        <f>SUMIF(121:121,E40,122:122)-SUMIF(121:121,C40,122:122)+100</f>
        <v>100</v>
      </c>
      <c r="G40" s="2616" t="s">
        <v>3106</v>
      </c>
      <c r="H40" s="435">
        <f>SUMIF(121:121,G40,122:122)-SUMIF(121:121,C40,122:122)+100</f>
        <v>100</v>
      </c>
      <c r="I40" s="2616" t="s">
        <v>3106</v>
      </c>
      <c r="J40" s="435">
        <f>SUMIF(121:121,I40,122:122)-SUMIF(121:121,C40,122:122)+100</f>
        <v>100</v>
      </c>
      <c r="K40" s="612">
        <v>2</v>
      </c>
      <c r="L40" s="1143"/>
      <c r="M40" s="1134"/>
      <c r="N40" s="1134"/>
      <c r="O40" s="1142"/>
      <c r="P40" s="3213"/>
      <c r="Q40" s="1812" t="str">
        <f t="shared" si="14"/>
        <v>临街宽度及深度</v>
      </c>
      <c r="R40" s="774" t="s">
        <v>17</v>
      </c>
      <c r="S40" s="775">
        <f t="shared" si="10"/>
        <v>100</v>
      </c>
      <c r="T40" s="774" t="s">
        <v>17</v>
      </c>
      <c r="U40" s="775">
        <f t="shared" si="11"/>
        <v>100</v>
      </c>
      <c r="V40" s="774" t="s">
        <v>17</v>
      </c>
      <c r="W40" s="775">
        <f t="shared" si="12"/>
        <v>100</v>
      </c>
      <c r="X40" s="1815"/>
      <c r="Y40" s="3213"/>
      <c r="Z40" s="1816" t="str">
        <f t="shared" si="13"/>
        <v>临街宽度及深度</v>
      </c>
      <c r="AA40" s="1813">
        <f t="shared" si="3"/>
        <v>1</v>
      </c>
      <c r="AB40" s="1813">
        <f t="shared" si="4"/>
        <v>1</v>
      </c>
      <c r="AC40" s="1813">
        <f t="shared" si="5"/>
        <v>1</v>
      </c>
    </row>
    <row r="41" spans="1:29" s="117" customFormat="1" ht="15">
      <c r="A41" s="473"/>
      <c r="B41" s="422" t="s">
        <v>2754</v>
      </c>
      <c r="C41" s="2705" t="s">
        <v>3168</v>
      </c>
      <c r="D41" s="136">
        <v>100</v>
      </c>
      <c r="E41" s="2705" t="s">
        <v>3171</v>
      </c>
      <c r="F41" s="435">
        <f>SUMIF(123:123,E41,124:124)-SUMIF(123:123,C41,124:124)+100</f>
        <v>94</v>
      </c>
      <c r="G41" s="2705" t="s">
        <v>3169</v>
      </c>
      <c r="H41" s="435">
        <f>SUMIF(123:123,G41,124:124)-SUMIF(123:123,C41,124:124)+100</f>
        <v>98</v>
      </c>
      <c r="I41" s="2705" t="s">
        <v>3169</v>
      </c>
      <c r="J41" s="435">
        <f>SUMIF(123:123,I41,124:124)-SUMIF(123:123,C41,124:124)+100</f>
        <v>98</v>
      </c>
      <c r="K41" s="612">
        <v>2</v>
      </c>
      <c r="L41" s="1135"/>
      <c r="M41" s="1136"/>
      <c r="N41" s="1136"/>
      <c r="O41" s="1137"/>
      <c r="P41" s="3213"/>
      <c r="Q41" s="1812" t="str">
        <f t="shared" si="14"/>
        <v>宗地开发程度</v>
      </c>
      <c r="R41" s="770" t="s">
        <v>17</v>
      </c>
      <c r="S41" s="771">
        <f t="shared" si="10"/>
        <v>94</v>
      </c>
      <c r="T41" s="770" t="s">
        <v>17</v>
      </c>
      <c r="U41" s="771">
        <f t="shared" si="11"/>
        <v>98</v>
      </c>
      <c r="V41" s="770" t="s">
        <v>17</v>
      </c>
      <c r="W41" s="771">
        <f t="shared" si="12"/>
        <v>98</v>
      </c>
      <c r="X41" s="772"/>
      <c r="Y41" s="3213"/>
      <c r="Z41" s="55" t="str">
        <f t="shared" si="13"/>
        <v>宗地开发程度</v>
      </c>
      <c r="AA41" s="773">
        <f t="shared" si="3"/>
        <v>1.0638297872340425</v>
      </c>
      <c r="AB41" s="773">
        <f t="shared" si="4"/>
        <v>1.0204081632653061</v>
      </c>
      <c r="AC41" s="773">
        <f t="shared" si="5"/>
        <v>1.0204081632653061</v>
      </c>
    </row>
    <row r="42" spans="1:29" ht="15">
      <c r="A42" s="472"/>
      <c r="B42" s="422" t="s">
        <v>2755</v>
      </c>
      <c r="C42" s="2616" t="s">
        <v>3106</v>
      </c>
      <c r="D42" s="435">
        <v>100</v>
      </c>
      <c r="E42" s="2616" t="s">
        <v>3106</v>
      </c>
      <c r="F42" s="435">
        <f>SUMIF(125:125,E42,126:126)-SUMIF(125:125,C42,126:126)+100</f>
        <v>100</v>
      </c>
      <c r="G42" s="2616" t="s">
        <v>3106</v>
      </c>
      <c r="H42" s="435">
        <f>SUMIF(125:125,G42,126:126)-SUMIF(125:125,C42,126:126)+100</f>
        <v>100</v>
      </c>
      <c r="I42" s="2616" t="s">
        <v>3106</v>
      </c>
      <c r="J42" s="435">
        <f>SUMIF(125:125,I42,126:126)-SUMIF(125:125,C42,126:126)+100</f>
        <v>100</v>
      </c>
      <c r="K42" s="612">
        <v>2</v>
      </c>
      <c r="L42" s="1143"/>
      <c r="M42" s="1134"/>
      <c r="N42" s="1134"/>
      <c r="O42" s="1142"/>
      <c r="P42" s="3213" t="s">
        <v>2565</v>
      </c>
      <c r="Q42" s="1812" t="str">
        <f t="shared" si="14"/>
        <v>工程地质条件</v>
      </c>
      <c r="R42" s="774" t="s">
        <v>17</v>
      </c>
      <c r="S42" s="775">
        <f t="shared" si="10"/>
        <v>100</v>
      </c>
      <c r="T42" s="774" t="s">
        <v>17</v>
      </c>
      <c r="U42" s="775">
        <f t="shared" si="11"/>
        <v>100</v>
      </c>
      <c r="V42" s="774" t="s">
        <v>17</v>
      </c>
      <c r="W42" s="775">
        <f t="shared" si="12"/>
        <v>100</v>
      </c>
      <c r="X42" s="1815"/>
      <c r="Y42" s="3213" t="s">
        <v>2565</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3"/>
      <c r="Q43" s="1812">
        <f t="shared" si="14"/>
        <v>0</v>
      </c>
      <c r="R43" s="774" t="s">
        <v>17</v>
      </c>
      <c r="S43" s="775">
        <f t="shared" si="10"/>
        <v>100</v>
      </c>
      <c r="T43" s="774" t="s">
        <v>17</v>
      </c>
      <c r="U43" s="775">
        <f t="shared" si="11"/>
        <v>100</v>
      </c>
      <c r="V43" s="774" t="s">
        <v>17</v>
      </c>
      <c r="W43" s="775">
        <f t="shared" si="12"/>
        <v>100</v>
      </c>
      <c r="X43" s="1815"/>
      <c r="Y43" s="3213"/>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3"/>
      <c r="Q44" s="1812">
        <f t="shared" si="14"/>
        <v>0</v>
      </c>
      <c r="R44" s="774" t="s">
        <v>17</v>
      </c>
      <c r="S44" s="775">
        <f t="shared" si="10"/>
        <v>100</v>
      </c>
      <c r="T44" s="774" t="s">
        <v>17</v>
      </c>
      <c r="U44" s="775">
        <f t="shared" si="11"/>
        <v>100</v>
      </c>
      <c r="V44" s="774" t="s">
        <v>17</v>
      </c>
      <c r="W44" s="775">
        <f t="shared" si="12"/>
        <v>100</v>
      </c>
      <c r="X44" s="1815"/>
      <c r="Y44" s="3213"/>
      <c r="Z44" s="1816">
        <f t="shared" si="13"/>
        <v>0</v>
      </c>
      <c r="AA44" s="1813">
        <f t="shared" si="3"/>
        <v>1</v>
      </c>
      <c r="AB44" s="1813">
        <f t="shared" si="4"/>
        <v>1</v>
      </c>
      <c r="AC44" s="1813">
        <f t="shared" si="5"/>
        <v>1</v>
      </c>
    </row>
    <row r="45" spans="1:29" s="471" customFormat="1" ht="15.75" thickBot="1">
      <c r="A45" s="468"/>
      <c r="B45" s="1390"/>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3"/>
      <c r="Q45" s="1812">
        <f t="shared" si="14"/>
        <v>0</v>
      </c>
      <c r="R45" s="777" t="s">
        <v>17</v>
      </c>
      <c r="S45" s="778">
        <f t="shared" si="10"/>
        <v>100</v>
      </c>
      <c r="T45" s="777" t="s">
        <v>17</v>
      </c>
      <c r="U45" s="778">
        <f t="shared" si="11"/>
        <v>100</v>
      </c>
      <c r="V45" s="777" t="s">
        <v>17</v>
      </c>
      <c r="W45" s="778">
        <f t="shared" si="12"/>
        <v>100</v>
      </c>
      <c r="X45" s="779"/>
      <c r="Y45" s="3213"/>
      <c r="Z45" s="780">
        <f t="shared" si="13"/>
        <v>0</v>
      </c>
      <c r="AA45" s="1813">
        <f t="shared" si="3"/>
        <v>1</v>
      </c>
      <c r="AB45" s="1813">
        <f t="shared" si="4"/>
        <v>1</v>
      </c>
      <c r="AC45" s="1813">
        <f t="shared" si="5"/>
        <v>1</v>
      </c>
    </row>
    <row r="46" spans="1:29" ht="15">
      <c r="A46" s="479" t="s">
        <v>2720</v>
      </c>
      <c r="B46" s="2707" t="s">
        <v>2756</v>
      </c>
      <c r="C46" s="682" t="s">
        <v>1</v>
      </c>
      <c r="D46" s="481"/>
      <c r="E46" s="482">
        <f>ROUND(租赁!L2,0)</f>
        <v>27125</v>
      </c>
      <c r="F46" s="483"/>
      <c r="G46" s="482">
        <f>ROUND(租赁!L3,0)</f>
        <v>29753</v>
      </c>
      <c r="H46" s="485"/>
      <c r="I46" s="482">
        <f>ROUND(租赁!L4,0)</f>
        <v>28983</v>
      </c>
      <c r="J46" s="485"/>
      <c r="K46" s="783"/>
      <c r="L46" s="1146"/>
      <c r="M46" s="1147"/>
      <c r="N46" s="1134"/>
      <c r="O46" s="1147"/>
      <c r="P46" s="3208" t="str">
        <f>A46</f>
        <v>成交单价</v>
      </c>
      <c r="Q46" s="3208"/>
      <c r="R46" s="3214">
        <f>E46</f>
        <v>27125</v>
      </c>
      <c r="S46" s="3214"/>
      <c r="T46" s="3214">
        <f>G46</f>
        <v>29753</v>
      </c>
      <c r="U46" s="3214"/>
      <c r="V46" s="3214">
        <f>I46</f>
        <v>28983</v>
      </c>
      <c r="W46" s="3214"/>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08" t="str">
        <f>A47</f>
        <v>比较价值（元/平方米）</v>
      </c>
      <c r="Q47" s="3208"/>
      <c r="R47" s="3201" t="e">
        <f>ROUND(PRODUCT(R46,AA7:AA45),0)</f>
        <v>#DIV/0!</v>
      </c>
      <c r="S47" s="3201"/>
      <c r="T47" s="3201" t="e">
        <f>ROUND(PRODUCT(T46,AB7:AB45),0)</f>
        <v>#DIV/0!</v>
      </c>
      <c r="U47" s="3201"/>
      <c r="V47" s="3201" t="e">
        <f>ROUND(PRODUCT(V46,AC7:AC45),0)</f>
        <v>#DIV/0!</v>
      </c>
      <c r="W47" s="3201"/>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202" t="str">
        <f>A48</f>
        <v>估价对象XX用房的比较价值（楼面单价，元/平方米）</v>
      </c>
      <c r="Q48" s="3203"/>
      <c r="R48" s="3204" t="e">
        <f>ROUND(AVERAGE(R47:V47),0)</f>
        <v>#DIV/0!</v>
      </c>
      <c r="S48" s="3204"/>
      <c r="T48" s="3204"/>
      <c r="U48" s="3204"/>
      <c r="V48" s="3204"/>
      <c r="W48" s="32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f>IF(E46&lt;G46,G46/E46-1,E46/G46-1)</f>
        <v>9.6884792626728E-2</v>
      </c>
      <c r="F53" s="500" t="str">
        <f>IF(OR(E53&gt;=0.3,E53&lt;=-0.3),"超过30%","")</f>
        <v/>
      </c>
      <c r="G53" s="499">
        <f>IF(G46&lt;I46,I46/G46-1,G46/I46-1)</f>
        <v>2.6567298071283219E-2</v>
      </c>
      <c r="H53" s="500" t="str">
        <f>IF(OR(G53&gt;=0.3,G53&lt;=-0.3),"超过30%","")</f>
        <v/>
      </c>
      <c r="I53" s="499">
        <f>IF(I46&lt;E46,E46/I46-1,I46/E46-1)</f>
        <v>6.8497695852534513E-2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8" t="s">
        <v>2760</v>
      </c>
      <c r="D55" s="2709" t="s">
        <v>2761</v>
      </c>
      <c r="E55" s="686" t="s">
        <v>2762</v>
      </c>
      <c r="F55" s="1110" t="s">
        <v>2763</v>
      </c>
      <c r="G55" s="3205" t="s">
        <v>2764</v>
      </c>
      <c r="H55" s="3206"/>
      <c r="I55" s="144" t="s">
        <v>2765</v>
      </c>
      <c r="J55" s="2710">
        <f>项目基本情况!F35</f>
        <v>0</v>
      </c>
      <c r="K55" s="2711" t="s">
        <v>2766</v>
      </c>
      <c r="L55" s="1109"/>
      <c r="M55" s="1147"/>
      <c r="N55" s="1147"/>
      <c r="O55" s="1147"/>
    </row>
    <row r="56" spans="1:15" s="692" customFormat="1">
      <c r="A56" s="688" t="s">
        <v>2767</v>
      </c>
      <c r="B56" s="689" t="e">
        <f>C48</f>
        <v>#DIV/0!</v>
      </c>
      <c r="C56" s="690">
        <v>1</v>
      </c>
      <c r="D56" s="1166">
        <v>1</v>
      </c>
      <c r="E56" s="690">
        <f>'数据-汇总表'!E8+'数据-汇总表'!E9</f>
        <v>5121.38</v>
      </c>
      <c r="F56" s="1106" t="e">
        <f t="shared" ref="F56:F65" si="15">ROUND(B56*E56/10000,0)</f>
        <v>#DIV/0!</v>
      </c>
      <c r="G56" s="3207"/>
      <c r="H56" s="3208"/>
      <c r="I56" s="1111">
        <v>1</v>
      </c>
      <c r="J56" s="1114">
        <v>1</v>
      </c>
      <c r="K56" s="1148"/>
      <c r="L56" s="944"/>
      <c r="M56" s="944"/>
      <c r="N56" s="944"/>
      <c r="O56" s="944"/>
    </row>
    <row r="57" spans="1:15" s="692" customFormat="1">
      <c r="A57" s="693" t="s">
        <v>2768</v>
      </c>
      <c r="B57" s="262" t="e">
        <f>ROUND($C$48*C57*D57,0)</f>
        <v>#DIV/0!</v>
      </c>
      <c r="C57" s="200">
        <f t="shared" ref="C57:C65" si="16">IF($C$55="北京市系数",I57,J57)</f>
        <v>0.7</v>
      </c>
      <c r="D57" s="1167">
        <v>0.25</v>
      </c>
      <c r="E57" s="694">
        <f>'数据-基础表'!K13</f>
        <v>0</v>
      </c>
      <c r="F57" s="1106" t="e">
        <f t="shared" si="15"/>
        <v>#DIV/0!</v>
      </c>
      <c r="G57" s="3209" t="s">
        <v>2769</v>
      </c>
      <c r="H57" s="1107" t="str">
        <f>项目基本情况!B37</f>
        <v>五级</v>
      </c>
      <c r="I57" s="1111">
        <f>SUMIF(修正!A45:A56,H57,修正!B45:B56)</f>
        <v>0.7</v>
      </c>
      <c r="J57" s="1115"/>
      <c r="K57" s="1147"/>
      <c r="L57" s="944"/>
      <c r="M57" s="944"/>
      <c r="N57" s="944"/>
      <c r="O57" s="944"/>
    </row>
    <row r="58" spans="1:15" s="692" customFormat="1">
      <c r="A58" s="693" t="s">
        <v>2770</v>
      </c>
      <c r="B58" s="262" t="e">
        <f t="shared" ref="B58:B65" si="17">ROUND($C$48*C58*D58,0)</f>
        <v>#DIV/0!</v>
      </c>
      <c r="C58" s="200">
        <f t="shared" si="16"/>
        <v>0.4</v>
      </c>
      <c r="D58" s="1167">
        <v>0.25</v>
      </c>
      <c r="E58" s="694"/>
      <c r="F58" s="1106" t="e">
        <f t="shared" si="15"/>
        <v>#DIV/0!</v>
      </c>
      <c r="G58" s="3209"/>
      <c r="H58" s="1107" t="str">
        <f>项目基本情况!B37</f>
        <v>五级</v>
      </c>
      <c r="I58" s="1111">
        <f>SUMIF(修正!A45:A56,H58,修正!C45:C56)</f>
        <v>0.4</v>
      </c>
      <c r="J58" s="1115"/>
      <c r="K58" s="1148"/>
      <c r="L58" s="944"/>
      <c r="M58" s="944"/>
      <c r="N58" s="944"/>
      <c r="O58" s="944"/>
    </row>
    <row r="59" spans="1:15" s="692" customFormat="1">
      <c r="A59" s="693" t="s">
        <v>2771</v>
      </c>
      <c r="B59" s="262" t="e">
        <f t="shared" si="17"/>
        <v>#DIV/0!</v>
      </c>
      <c r="C59" s="200">
        <f t="shared" si="16"/>
        <v>0.28000000000000003</v>
      </c>
      <c r="D59" s="1167">
        <v>0.25</v>
      </c>
      <c r="E59" s="694"/>
      <c r="F59" s="1106" t="e">
        <f t="shared" si="15"/>
        <v>#DIV/0!</v>
      </c>
      <c r="G59" s="3209"/>
      <c r="H59" s="1107" t="str">
        <f>项目基本情况!B37</f>
        <v>五级</v>
      </c>
      <c r="I59" s="1111">
        <f>SUMIF(修正!A45:A56,H59,修正!D45:D56)</f>
        <v>0.28000000000000003</v>
      </c>
      <c r="J59" s="1115"/>
      <c r="K59" s="1147"/>
      <c r="L59" s="944"/>
      <c r="M59" s="944"/>
      <c r="N59" s="944"/>
      <c r="O59" s="944"/>
    </row>
    <row r="60" spans="1:15" s="692" customFormat="1">
      <c r="A60" s="693" t="s">
        <v>2772</v>
      </c>
      <c r="B60" s="262" t="e">
        <f t="shared" si="17"/>
        <v>#DIV/0!</v>
      </c>
      <c r="C60" s="200">
        <f t="shared" si="16"/>
        <v>0.25</v>
      </c>
      <c r="D60" s="1167">
        <v>0.25</v>
      </c>
      <c r="E60" s="694"/>
      <c r="F60" s="1106" t="e">
        <f t="shared" si="15"/>
        <v>#DIV/0!</v>
      </c>
      <c r="G60" s="3209"/>
      <c r="H60" s="1107" t="str">
        <f>项目基本情况!B37</f>
        <v>五级</v>
      </c>
      <c r="I60" s="1111">
        <f>SUMIF(修正!A45:A56,H60,修正!E45:E56)</f>
        <v>0.25</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2"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0.2</v>
      </c>
      <c r="D64" s="1167">
        <v>0.25</v>
      </c>
      <c r="E64" s="261">
        <f>'数据-汇总表'!E14</f>
        <v>0</v>
      </c>
      <c r="F64" s="1106" t="e">
        <f t="shared" si="15"/>
        <v>#DIV/0!</v>
      </c>
      <c r="G64" s="2712" t="s">
        <v>2769</v>
      </c>
      <c r="H64" s="1107" t="str">
        <f>项目基本情况!B37</f>
        <v>五级</v>
      </c>
      <c r="I64" s="1111">
        <f>SUMIF(修正!A45:A56,H64,修正!H45:H56)</f>
        <v>0.2</v>
      </c>
      <c r="J64" s="1115"/>
      <c r="K64" s="1148"/>
      <c r="L64" s="944"/>
      <c r="M64" s="944"/>
      <c r="N64" s="944"/>
      <c r="O64" s="944"/>
    </row>
    <row r="65" spans="1:17" s="692" customFormat="1" ht="15" thickBot="1">
      <c r="A65" s="693" t="s">
        <v>2780</v>
      </c>
      <c r="B65" s="262" t="e">
        <f t="shared" si="17"/>
        <v>#DIV/0!</v>
      </c>
      <c r="C65" s="200">
        <f t="shared" si="16"/>
        <v>0</v>
      </c>
      <c r="D65" s="1167">
        <v>0.25</v>
      </c>
      <c r="E65" s="261">
        <f>'数据-汇总表'!E15</f>
        <v>0</v>
      </c>
      <c r="F65" s="1106" t="e">
        <f t="shared" si="15"/>
        <v>#DIV/0!</v>
      </c>
      <c r="G65" s="2713"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5121.38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4" t="s">
        <v>2782</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5" t="s">
        <v>2783</v>
      </c>
      <c r="B71" s="332" t="str">
        <f>"北京市平均增长率"&amp;TEXT(SUMIF(基准地价修正!N21:N25,A71,基准地价修正!P21:P25),"0.00%")</f>
        <v>北京市平均增长率0.00%</v>
      </c>
      <c r="C71" s="603">
        <v>100</v>
      </c>
      <c r="D71" s="595">
        <v>98.5</v>
      </c>
      <c r="E71" s="595">
        <v>97</v>
      </c>
      <c r="F71" s="595">
        <v>95.5</v>
      </c>
      <c r="G71" s="595">
        <v>94</v>
      </c>
      <c r="H71" s="595">
        <v>92.5</v>
      </c>
      <c r="I71" s="595">
        <v>91</v>
      </c>
      <c r="J71" s="595">
        <v>89.5</v>
      </c>
      <c r="K71" s="595">
        <v>88</v>
      </c>
      <c r="L71" s="595">
        <v>86.5</v>
      </c>
      <c r="M71" s="595">
        <v>85</v>
      </c>
      <c r="N71" s="595">
        <v>83.5</v>
      </c>
      <c r="O71" s="595">
        <v>82</v>
      </c>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2964" t="s">
        <v>3127</v>
      </c>
      <c r="D75" s="2964" t="s">
        <v>3129</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49">
        <v>9</v>
      </c>
      <c r="L80" s="549">
        <v>10</v>
      </c>
      <c r="M80" s="549">
        <v>11</v>
      </c>
      <c r="N80" s="1155"/>
      <c r="O80" s="1155"/>
      <c r="P80" s="45"/>
      <c r="Q80" s="504"/>
    </row>
    <row r="81" spans="1:17" ht="15.75" thickBot="1">
      <c r="A81" s="534"/>
      <c r="B81" s="535"/>
      <c r="C81" s="544">
        <v>100</v>
      </c>
      <c r="D81" s="544">
        <f t="shared" ref="D81:M81" si="21">IF($B$46="单位面积地价",C81+$K11,C81-$K11)</f>
        <v>99.5</v>
      </c>
      <c r="E81" s="544">
        <f t="shared" si="21"/>
        <v>99</v>
      </c>
      <c r="F81" s="544">
        <f t="shared" si="21"/>
        <v>98.5</v>
      </c>
      <c r="G81" s="544">
        <f t="shared" si="21"/>
        <v>98</v>
      </c>
      <c r="H81" s="544">
        <f t="shared" si="21"/>
        <v>97.5</v>
      </c>
      <c r="I81" s="544">
        <f t="shared" si="21"/>
        <v>97</v>
      </c>
      <c r="J81" s="544">
        <f t="shared" si="21"/>
        <v>96.5</v>
      </c>
      <c r="K81" s="544">
        <f t="shared" si="21"/>
        <v>96</v>
      </c>
      <c r="L81" s="544">
        <f t="shared" si="21"/>
        <v>95.5</v>
      </c>
      <c r="M81" s="544">
        <f t="shared" si="21"/>
        <v>95</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2691</v>
      </c>
      <c r="C106" s="2965" t="s">
        <v>3131</v>
      </c>
      <c r="D106" s="2965" t="s">
        <v>3132</v>
      </c>
      <c r="E106" s="2965" t="s">
        <v>3133</v>
      </c>
      <c r="F106" s="2965" t="s">
        <v>3135</v>
      </c>
      <c r="G106" s="2965" t="s">
        <v>3136</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2563</v>
      </c>
      <c r="B116" s="528" t="s">
        <v>2791</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c r="I117" s="595"/>
      <c r="J117" s="595"/>
      <c r="K117" s="596"/>
      <c r="L117" s="597"/>
      <c r="M117" s="598"/>
      <c r="N117" s="1155"/>
      <c r="O117" s="1155"/>
      <c r="P117" s="45"/>
      <c r="Q117" s="504"/>
    </row>
    <row r="118" spans="1:17" ht="15.75" thickBot="1">
      <c r="A118" s="534"/>
      <c r="B118" s="543"/>
      <c r="C118" s="570">
        <v>100</v>
      </c>
      <c r="D118" s="591">
        <v>101</v>
      </c>
      <c r="E118" s="591">
        <v>102</v>
      </c>
      <c r="F118" s="570">
        <v>103</v>
      </c>
      <c r="G118" s="591">
        <v>104</v>
      </c>
      <c r="H118" s="570"/>
      <c r="I118" s="591"/>
      <c r="J118" s="570"/>
      <c r="K118" s="591"/>
      <c r="L118" s="591"/>
      <c r="M118" s="592"/>
      <c r="N118" s="1156"/>
      <c r="O118" s="1156"/>
      <c r="P118" s="45"/>
      <c r="Q118" s="504"/>
    </row>
    <row r="119" spans="1:17" ht="15" thickTop="1">
      <c r="A119" s="599"/>
      <c r="B119" s="538" t="s">
        <v>2792</v>
      </c>
      <c r="C119" s="2966" t="s">
        <v>3137</v>
      </c>
      <c r="D119" s="2966" t="s">
        <v>3139</v>
      </c>
      <c r="E119" s="2966" t="s">
        <v>3140</v>
      </c>
      <c r="F119" s="2966" t="s">
        <v>3141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2793</v>
      </c>
      <c r="C121" s="554" t="s">
        <v>3108</v>
      </c>
      <c r="D121" s="554" t="s">
        <v>3106</v>
      </c>
      <c r="E121" s="554" t="s">
        <v>3105</v>
      </c>
      <c r="F121" s="554" t="s">
        <v>3107</v>
      </c>
      <c r="G121" s="554" t="s">
        <v>3142</v>
      </c>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2794</v>
      </c>
      <c r="C123" s="2972" t="s">
        <v>3130</v>
      </c>
      <c r="D123" s="2972" t="s">
        <v>3168</v>
      </c>
      <c r="E123" s="2972" t="s">
        <v>3169</v>
      </c>
      <c r="F123" s="2972" t="s">
        <v>3170</v>
      </c>
      <c r="G123" s="2972" t="s">
        <v>3171</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2795</v>
      </c>
      <c r="C125" s="554" t="s">
        <v>3108</v>
      </c>
      <c r="D125" s="554" t="s">
        <v>3106</v>
      </c>
      <c r="E125" s="583" t="s">
        <v>3105</v>
      </c>
      <c r="F125" s="583" t="s">
        <v>3107</v>
      </c>
      <c r="G125" s="583" t="s">
        <v>3142</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10" workbookViewId="0">
      <selection activeCell="C47" sqref="C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10" s="244" customFormat="1" ht="20.25">
      <c r="A1" s="240" t="s">
        <v>2326</v>
      </c>
      <c r="B1" s="1939"/>
      <c r="C1" s="242"/>
      <c r="D1" s="242"/>
      <c r="E1" s="242"/>
      <c r="F1" s="242"/>
      <c r="G1" s="1382">
        <f>MATCH(B1,'数据-取费表'!A6:A16,0)+5</f>
        <v>7</v>
      </c>
    </row>
    <row r="2" spans="1:10" s="244" customFormat="1" ht="18" customHeight="1">
      <c r="A2" s="245" t="s">
        <v>2327</v>
      </c>
      <c r="B2" s="246" t="e">
        <f ca="1">IF(D2="——",C52,C52-E2)</f>
        <v>#DIV/0!</v>
      </c>
      <c r="C2" s="243" t="s">
        <v>2328</v>
      </c>
      <c r="D2" s="2550" t="s">
        <v>70</v>
      </c>
      <c r="E2" s="1443" t="e">
        <f ca="1">SUMIF(INDIRECT("'"&amp;G2&amp;"'"&amp;"!A:A"),"承租人权益价值",INDIRECT("'"&amp;G2&amp;"'"&amp;"!c:c"))</f>
        <v>#REF!</v>
      </c>
      <c r="F2" s="2551" t="s">
        <v>2328</v>
      </c>
      <c r="G2" s="2552"/>
    </row>
    <row r="3" spans="1:10" s="244" customFormat="1" ht="18" customHeight="1" thickBot="1">
      <c r="A3" s="247" t="s">
        <v>2329</v>
      </c>
      <c r="B3" s="248" t="e">
        <f ca="1">ROUND(B2*10000/(IF(B1="",'数据-汇总表'!E3,INDIRECT("'数据-取费表'!k"&amp;$G$1))),0)</f>
        <v>#DIV/0!</v>
      </c>
      <c r="C3" s="243" t="s">
        <v>2330</v>
      </c>
      <c r="D3" s="243"/>
      <c r="E3" s="243"/>
      <c r="F3" s="243"/>
      <c r="G3" s="243"/>
    </row>
    <row r="4" spans="1:10" s="252" customFormat="1" ht="15.75">
      <c r="A4" s="249" t="s">
        <v>2331</v>
      </c>
      <c r="B4" s="250"/>
      <c r="C4" s="250"/>
      <c r="D4" s="250"/>
      <c r="E4" s="250"/>
      <c r="F4" s="250"/>
      <c r="G4" s="251"/>
    </row>
    <row r="5" spans="1:10" s="258" customFormat="1" ht="13.5" customHeight="1">
      <c r="A5" s="299" t="s">
        <v>2332</v>
      </c>
      <c r="B5" s="254" t="s">
        <v>2333</v>
      </c>
      <c r="C5" s="255" t="e">
        <f>C6+C7+C8</f>
        <v>#DIV/0!</v>
      </c>
      <c r="D5" s="255" t="s">
        <v>2334</v>
      </c>
      <c r="E5" s="256" t="s">
        <v>2335</v>
      </c>
      <c r="F5" s="256" t="s">
        <v>2336</v>
      </c>
      <c r="G5" s="257"/>
      <c r="J5" s="258" t="e">
        <f>C6/'数据-基础表'!G5</f>
        <v>#DIV/0!</v>
      </c>
    </row>
    <row r="6" spans="1:10" s="258" customFormat="1" ht="13.5" customHeight="1">
      <c r="A6" s="952" t="s">
        <v>2337</v>
      </c>
      <c r="B6" s="259" t="s">
        <v>2338</v>
      </c>
      <c r="C6" s="260" t="e">
        <f>'土地比较法-住宅、综合'!F66</f>
        <v>#DIV/0!</v>
      </c>
      <c r="D6" s="261"/>
      <c r="E6" s="262"/>
      <c r="F6" s="262"/>
      <c r="G6" s="263"/>
    </row>
    <row r="7" spans="1:10" s="258" customFormat="1" ht="13.5" customHeight="1">
      <c r="A7" s="952" t="s">
        <v>2339</v>
      </c>
      <c r="B7" s="259" t="s">
        <v>2340</v>
      </c>
      <c r="C7" s="264" t="e">
        <f>ROUND(C6*F7,0)</f>
        <v>#DIV/0!</v>
      </c>
      <c r="D7" s="264"/>
      <c r="E7" s="262"/>
      <c r="F7" s="265">
        <f>'数据-取费表'!B48+'数据-取费表'!B49</f>
        <v>3.0499999999999999E-2</v>
      </c>
      <c r="G7" s="263"/>
    </row>
    <row r="8" spans="1:10" s="267" customFormat="1">
      <c r="A8" s="952" t="s">
        <v>2341</v>
      </c>
      <c r="B8" s="259" t="s">
        <v>2342</v>
      </c>
      <c r="C8" s="264">
        <f>IF(G8="已包含在土地购买价格中","0",IF(B1="",'数据-取费表'!B29,IF(G9="全部缴纳",C9+C10,H9)))</f>
        <v>102</v>
      </c>
      <c r="D8" s="266"/>
      <c r="E8" s="264"/>
      <c r="F8" s="265"/>
      <c r="G8" s="2553" t="s">
        <v>3098</v>
      </c>
    </row>
    <row r="9" spans="1:10"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4" t="s">
        <v>3099</v>
      </c>
      <c r="H9" s="1393"/>
      <c r="I9" s="2555" t="s">
        <v>2344</v>
      </c>
    </row>
    <row r="10" spans="1:10" s="258" customFormat="1" ht="13.5" customHeight="1">
      <c r="A10" s="953" t="s">
        <v>801</v>
      </c>
      <c r="B10" s="268" t="s">
        <v>2345</v>
      </c>
      <c r="C10" s="269">
        <f ca="1">ROUND(D10*E10/10000,0)</f>
        <v>102</v>
      </c>
      <c r="D10" s="1035">
        <f ca="1">IF(B1="",'数据-汇总表'!E6,IF(INDIRECT("'数据-取费表'!c"&amp;$G$1)="住宅",INDIRECT("'数据-取费表'!s"&amp;$G$1),INDIRECT("'数据-取费表'!k"&amp;$G$1)+INDIRECT("'数据-取费表'!s"&amp;$G$1)))</f>
        <v>5121.38</v>
      </c>
      <c r="E10" s="269">
        <f>'数据-取费表'!B28</f>
        <v>200</v>
      </c>
      <c r="F10" s="265"/>
      <c r="G10" s="270"/>
    </row>
    <row r="11" spans="1:10" s="258" customFormat="1" ht="13.5" hidden="1" customHeight="1">
      <c r="A11" s="271" t="s">
        <v>7</v>
      </c>
      <c r="B11" s="259" t="s">
        <v>2346</v>
      </c>
      <c r="C11" s="255"/>
      <c r="D11" s="1037"/>
      <c r="E11" s="262"/>
      <c r="F11" s="262"/>
      <c r="G11" s="263"/>
    </row>
    <row r="12" spans="1:10" s="258" customFormat="1" ht="13.5" hidden="1" customHeight="1">
      <c r="A12" s="271" t="s">
        <v>8</v>
      </c>
      <c r="B12" s="259" t="s">
        <v>2347</v>
      </c>
      <c r="C12" s="255">
        <v>0</v>
      </c>
      <c r="D12" s="1037"/>
      <c r="E12" s="272"/>
      <c r="F12" s="265">
        <v>3.0499999999999999E-2</v>
      </c>
      <c r="G12" s="263"/>
    </row>
    <row r="13" spans="1:10" s="258" customFormat="1" ht="13.5" hidden="1" customHeight="1">
      <c r="A13" s="271" t="s">
        <v>9</v>
      </c>
      <c r="B13" s="259" t="s">
        <v>2348</v>
      </c>
      <c r="C13" s="255"/>
      <c r="D13" s="1037"/>
      <c r="E13" s="262"/>
      <c r="F13" s="262"/>
      <c r="G13" s="263"/>
    </row>
    <row r="14" spans="1:10" s="258" customFormat="1" ht="13.5" hidden="1" customHeight="1">
      <c r="A14" s="271" t="s">
        <v>10</v>
      </c>
      <c r="B14" s="259" t="s">
        <v>2349</v>
      </c>
      <c r="C14" s="255"/>
      <c r="D14" s="1037"/>
      <c r="E14" s="262"/>
      <c r="F14" s="262"/>
      <c r="G14" s="263" t="s">
        <v>2350</v>
      </c>
    </row>
    <row r="15" spans="1:10" s="258" customFormat="1" ht="13.5" hidden="1" customHeight="1">
      <c r="A15" s="271" t="s">
        <v>11</v>
      </c>
      <c r="B15" s="259" t="s">
        <v>2351</v>
      </c>
      <c r="C15" s="264"/>
      <c r="D15" s="1037"/>
      <c r="E15" s="262"/>
      <c r="F15" s="262"/>
      <c r="G15" s="263" t="s">
        <v>2352</v>
      </c>
    </row>
    <row r="16" spans="1:10"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5121.38</v>
      </c>
      <c r="E19" s="255">
        <f>'数据-取费表'!B31</f>
        <v>200</v>
      </c>
      <c r="F19" s="275"/>
      <c r="G19" s="2553" t="s">
        <v>3100</v>
      </c>
    </row>
    <row r="20" spans="1:7" s="258" customFormat="1" ht="13.5" customHeight="1">
      <c r="A20" s="299" t="s">
        <v>2358</v>
      </c>
      <c r="B20" s="254" t="s">
        <v>2359</v>
      </c>
      <c r="C20" s="276" t="e">
        <f>ROUND((C5+C19)*F20,0)</f>
        <v>#DIV/0!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t="e">
        <f ca="1">ROUND(SUM(C23:C25),0)</f>
        <v>#DIV/0!</v>
      </c>
      <c r="D22" s="279">
        <f ca="1">C26</f>
        <v>1E-3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t="e">
        <f ca="1">ROUND(IF('数据-取费表'!B22&lt;=1,C5*F22*'数据-取费表'!B23,C5*(POWER((1+F22),'数据-取费表'!B23)-1)),0)</f>
        <v>#DIV/0!</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t="e">
        <f ca="1">ROUND(IF('数据-取费表'!B22&lt;=1,C20*F22*'数据-取费表'!B23/2,C20*(POWER((1+F22),'数据-取费表'!B23/2)-1)),0)</f>
        <v>#DIV/0!</v>
      </c>
      <c r="D25" s="282"/>
      <c r="E25" s="285"/>
      <c r="F25" s="283"/>
      <c r="G25" s="286" t="s">
        <v>2375</v>
      </c>
    </row>
    <row r="26" spans="1:7" s="258" customFormat="1">
      <c r="A26" s="954"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t="e">
        <f ca="1">C28</f>
        <v>#DIV/0!</v>
      </c>
      <c r="D27" s="279">
        <f ca="1">C29</f>
        <v>2E-3</v>
      </c>
      <c r="E27" s="280" t="s">
        <v>2379</v>
      </c>
      <c r="F27" s="290">
        <f ca="1">IF(B1="",'数据-取费表'!Q16,INDIRECT("'数据-取费表'!q"&amp;$G$1))</f>
        <v>0.1</v>
      </c>
      <c r="G27" s="291" t="s">
        <v>2380</v>
      </c>
    </row>
    <row r="28" spans="1:7" s="258" customFormat="1" ht="13.5" customHeight="1">
      <c r="A28" s="954" t="s">
        <v>791</v>
      </c>
      <c r="B28" s="292" t="s">
        <v>2381</v>
      </c>
      <c r="C28" s="293" t="e">
        <f ca="1">ROUND((C5+C19+C20)*F27*'数据-取费表'!B21/'数据-取费表'!B20,0)</f>
        <v>#DIV/0!</v>
      </c>
      <c r="D28" s="279"/>
      <c r="E28" s="280"/>
      <c r="F28" s="290"/>
      <c r="G28" s="291"/>
    </row>
    <row r="29" spans="1:7" s="258" customFormat="1" ht="13.5" customHeight="1">
      <c r="A29" s="954"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t="e">
        <f ca="1">ROUND((C5+C19+C20+C22+C27)/(1-C21-D22-D27-C30),0)</f>
        <v>#DIV/0!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1707</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1536</v>
      </c>
      <c r="D34" s="261"/>
      <c r="E34" s="264"/>
      <c r="F34" s="301">
        <f ca="1">IF('数据-取费表'!B24=0,1,IF(B1="",'数据-取费表'!N16,INDIRECT("'数据-取费表'!n"&amp;$G$1)))</f>
        <v>1</v>
      </c>
      <c r="G34" s="263" t="s">
        <v>2391</v>
      </c>
    </row>
    <row r="35" spans="1:7" ht="13.5" customHeight="1">
      <c r="A35" s="954" t="s">
        <v>796</v>
      </c>
      <c r="B35" s="259" t="s">
        <v>2392</v>
      </c>
      <c r="C35" s="264">
        <f ca="1">ROUND(C34*F35,0)</f>
        <v>46</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102</v>
      </c>
      <c r="D37" s="261">
        <f ca="1">D19</f>
        <v>5121.38</v>
      </c>
      <c r="E37" s="293">
        <f>'数据-取费表'!B35</f>
        <v>200</v>
      </c>
      <c r="F37" s="303"/>
      <c r="G37" s="305" t="s">
        <v>2397</v>
      </c>
    </row>
    <row r="38" spans="1:7" ht="13.5" customHeight="1">
      <c r="A38" s="954" t="s">
        <v>799</v>
      </c>
      <c r="B38" s="259" t="s">
        <v>2398</v>
      </c>
      <c r="C38" s="264">
        <f ca="1">ROUND(C34*F38,0)</f>
        <v>23</v>
      </c>
      <c r="D38" s="264"/>
      <c r="E38" s="264"/>
      <c r="F38" s="303">
        <f>'数据-取费表'!B36</f>
        <v>1.4999999999999999E-2</v>
      </c>
      <c r="G38" s="263" t="s">
        <v>2393</v>
      </c>
    </row>
    <row r="39" spans="1:7" s="258" customFormat="1" ht="13.5" customHeight="1">
      <c r="A39" s="299" t="s">
        <v>2399</v>
      </c>
      <c r="B39" s="254" t="s">
        <v>2400</v>
      </c>
      <c r="C39" s="276">
        <f ca="1">ROUND(C33*F20,0)</f>
        <v>34</v>
      </c>
      <c r="D39" s="276"/>
      <c r="E39" s="276"/>
      <c r="F39" s="277"/>
      <c r="G39" s="278" t="s">
        <v>2401</v>
      </c>
    </row>
    <row r="40" spans="1:7" s="258" customFormat="1" ht="13.5" customHeight="1">
      <c r="A40" s="299" t="s">
        <v>2402</v>
      </c>
      <c r="B40" s="254" t="s">
        <v>2403</v>
      </c>
      <c r="C40" s="1730">
        <f>F21</f>
        <v>0.02</v>
      </c>
      <c r="D40" s="280" t="s">
        <v>2404</v>
      </c>
      <c r="E40" s="276"/>
      <c r="F40" s="277"/>
      <c r="G40" s="278" t="s">
        <v>2405</v>
      </c>
    </row>
    <row r="41" spans="1:7" s="258" customFormat="1" ht="13.5" customHeight="1">
      <c r="A41" s="299" t="s">
        <v>2406</v>
      </c>
      <c r="B41" s="254" t="s">
        <v>2407</v>
      </c>
      <c r="C41" s="276">
        <f ca="1">ROUND(SUM(C42:C43),0)</f>
        <v>83</v>
      </c>
      <c r="D41" s="279">
        <f ca="1">C44</f>
        <v>1E-3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81</v>
      </c>
      <c r="D42" s="282"/>
      <c r="E42" s="282"/>
      <c r="F42" s="283"/>
      <c r="G42" s="3244" t="s">
        <v>2409</v>
      </c>
    </row>
    <row r="43" spans="1:7" ht="13.5" customHeight="1">
      <c r="A43" s="954" t="s">
        <v>792</v>
      </c>
      <c r="B43" s="259" t="s">
        <v>2410</v>
      </c>
      <c r="C43" s="282">
        <f ca="1">ROUND(IF('数据-取费表'!B22&lt;=1,C39*F22*'数据-取费表'!B21/2,C39*(POWER((1+F22),'数据-取费表'!B21/2)-1)),0)</f>
        <v>2</v>
      </c>
      <c r="D43" s="282"/>
      <c r="E43" s="282"/>
      <c r="F43" s="283"/>
      <c r="G43" s="3245"/>
    </row>
    <row r="44" spans="1:7" ht="13.5" customHeight="1">
      <c r="A44" s="954" t="s">
        <v>793</v>
      </c>
      <c r="B44" s="259" t="s">
        <v>2411</v>
      </c>
      <c r="C44" s="282">
        <f ca="1">ROUND(IF('数据-取费表'!B22&lt;=1,C40*F22*'数据-取费表'!B21/2,C40*(POWER((1+F22),'数据-取费表'!B21/2)-1)),4)</f>
        <v>1E-3</v>
      </c>
      <c r="D44" s="282"/>
      <c r="E44" s="282"/>
      <c r="F44" s="283"/>
      <c r="G44" s="3246"/>
    </row>
    <row r="45" spans="1:7" s="258" customFormat="1" ht="13.5" customHeight="1">
      <c r="A45" s="299" t="s">
        <v>2412</v>
      </c>
      <c r="B45" s="288" t="s">
        <v>2378</v>
      </c>
      <c r="C45" s="289">
        <f ca="1">C46</f>
        <v>174</v>
      </c>
      <c r="D45" s="279">
        <f ca="1">C47</f>
        <v>2E-3</v>
      </c>
      <c r="E45" s="280" t="s">
        <v>2404</v>
      </c>
      <c r="F45" s="290"/>
      <c r="G45" s="291" t="s">
        <v>2413</v>
      </c>
    </row>
    <row r="46" spans="1:7" s="258" customFormat="1" ht="13.5" customHeight="1">
      <c r="A46" s="954" t="s">
        <v>791</v>
      </c>
      <c r="B46" s="292" t="s">
        <v>2414</v>
      </c>
      <c r="C46" s="293">
        <f ca="1">ROUND((C33+C39)*F27,0)</f>
        <v>174</v>
      </c>
      <c r="D46" s="307"/>
      <c r="E46" s="280"/>
      <c r="F46" s="290"/>
      <c r="G46" s="291"/>
    </row>
    <row r="47" spans="1:7" s="258" customFormat="1" ht="13.5" customHeight="1">
      <c r="A47" s="954" t="s">
        <v>792</v>
      </c>
      <c r="B47" s="292" t="s">
        <v>2415</v>
      </c>
      <c r="C47" s="282">
        <f ca="1">ROUND(C40*F27,4)</f>
        <v>2E-3</v>
      </c>
      <c r="D47" s="307"/>
      <c r="E47" s="280"/>
      <c r="F47" s="290"/>
      <c r="G47" s="291"/>
    </row>
    <row r="48" spans="1:7" s="258" customFormat="1" ht="13.5" customHeight="1">
      <c r="A48" s="299" t="s">
        <v>2377</v>
      </c>
      <c r="B48" s="254" t="s">
        <v>2416</v>
      </c>
      <c r="C48" s="1730">
        <f>ROUND(F30/(1+'数据-取费表'!C42),4)</f>
        <v>5.33E-2</v>
      </c>
      <c r="D48" s="280" t="s">
        <v>2404</v>
      </c>
      <c r="E48" s="276"/>
      <c r="F48" s="281"/>
      <c r="G48" s="278" t="s">
        <v>2417</v>
      </c>
    </row>
    <row r="49" spans="1:7" ht="16.5" customHeight="1">
      <c r="A49" s="299" t="s">
        <v>2383</v>
      </c>
      <c r="B49" s="254" t="s">
        <v>2418</v>
      </c>
      <c r="C49" s="276">
        <f ca="1">ROUND((C33+C39+C41+C45)/(1-C40-D41-D45-C48),0)</f>
        <v>2163</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2163</v>
      </c>
      <c r="D51" s="276"/>
      <c r="E51" s="276"/>
      <c r="F51" s="308"/>
      <c r="G51" s="278" t="s">
        <v>2425</v>
      </c>
    </row>
    <row r="52" spans="1:7" s="252" customFormat="1" ht="16.5" thickBot="1">
      <c r="A52" s="309" t="s">
        <v>2426</v>
      </c>
      <c r="B52" s="310"/>
      <c r="C52" s="311" t="e">
        <f ca="1">C31+C51</f>
        <v>#DIV/0!</v>
      </c>
      <c r="D52" s="310"/>
      <c r="E52" s="310"/>
      <c r="F52" s="310"/>
      <c r="G52" s="312"/>
    </row>
    <row r="55" spans="1:7" ht="15">
      <c r="B55" s="314" t="s">
        <v>2427</v>
      </c>
      <c r="C55" s="315"/>
    </row>
    <row r="56" spans="1:7">
      <c r="B56" s="317" t="s">
        <v>1512</v>
      </c>
      <c r="C56" s="319" t="e">
        <f ca="1">1-C57</f>
        <v>#DIV/0!</v>
      </c>
    </row>
    <row r="57" spans="1:7">
      <c r="B57" s="317" t="s">
        <v>1513</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2" sqref="F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9"/>
      <c r="C1" s="2556"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2435</v>
      </c>
      <c r="C2" s="243" t="s">
        <v>2328</v>
      </c>
      <c r="D2" s="2550" t="s">
        <v>70</v>
      </c>
      <c r="E2" s="1443"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4755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1024276</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1024276</v>
      </c>
      <c r="D8" s="266"/>
      <c r="E8" s="264"/>
      <c r="F8" s="265"/>
      <c r="G8" s="2553"/>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1024276</v>
      </c>
      <c r="D10" s="1035">
        <f ca="1">IF(B1="",'数据-汇总表'!E6,IF(INDIRECT("'数据-取费表'!c"&amp;$G$1)="住宅",INDIRECT("'数据-取费表'!s"&amp;$G$1),INDIRECT("'数据-取费表'!k"&amp;$G$1)+INDIRECT("'数据-取费表'!s"&amp;$G$1)))</f>
        <v>5121.38</v>
      </c>
      <c r="E10" s="269">
        <f>'数据-取费表'!B28</f>
        <v>200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1024276</v>
      </c>
      <c r="D19" s="1039">
        <f ca="1">D9+D10</f>
        <v>5121.38</v>
      </c>
      <c r="E19" s="255">
        <f>'数据-取费表'!B31</f>
        <v>200</v>
      </c>
      <c r="F19" s="275"/>
      <c r="G19" s="2553"/>
    </row>
    <row r="20" spans="1:7" s="258" customFormat="1" ht="13.5" customHeight="1">
      <c r="A20" s="299" t="s">
        <v>2439</v>
      </c>
      <c r="B20" s="254" t="s">
        <v>2440</v>
      </c>
      <c r="C20" s="276">
        <f ca="1">ROUND((C5+C19)*F20,0)</f>
        <v>40971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201180</v>
      </c>
      <c r="D22" s="279">
        <f ca="1">C26</f>
        <v>1E-3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99617</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99617</v>
      </c>
      <c r="D24" s="282"/>
      <c r="E24" s="282"/>
      <c r="F24" s="283"/>
      <c r="G24" s="284" t="s">
        <v>2451</v>
      </c>
    </row>
    <row r="25" spans="1:7" s="258" customFormat="1" ht="24">
      <c r="A25" s="954" t="s">
        <v>2341</v>
      </c>
      <c r="B25" s="259" t="s">
        <v>2452</v>
      </c>
      <c r="C25" s="1384">
        <f ca="1">ROUND(IF('数据-取费表'!B22&lt;=1,C20*F22*'数据-取费表'!B22/2,C20*(POWER((1+F22),'数据-取费表'!B22/2)-1)),0)</f>
        <v>1946</v>
      </c>
      <c r="D25" s="282"/>
      <c r="E25" s="285"/>
      <c r="F25" s="283"/>
      <c r="G25" s="286" t="s">
        <v>2453</v>
      </c>
    </row>
    <row r="26" spans="1:7" s="258" customFormat="1">
      <c r="A26" s="954"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208952</v>
      </c>
      <c r="D27" s="279">
        <f ca="1">C29</f>
        <v>2E-3</v>
      </c>
      <c r="E27" s="280" t="s">
        <v>2379</v>
      </c>
      <c r="F27" s="290">
        <f ca="1">IF(B1="",'数据-取费表'!Q16,INDIRECT("'数据-取费表'!q"&amp;$G$1))</f>
        <v>0.1</v>
      </c>
      <c r="G27" s="291" t="s">
        <v>2380</v>
      </c>
    </row>
    <row r="28" spans="1:7" s="258" customFormat="1" ht="13.5" customHeight="1">
      <c r="A28" s="954" t="s">
        <v>791</v>
      </c>
      <c r="B28" s="292" t="s">
        <v>2381</v>
      </c>
      <c r="C28" s="293">
        <f ca="1">ROUND((C5+C19+C20)*F27,0)</f>
        <v>208952</v>
      </c>
      <c r="D28" s="279"/>
      <c r="E28" s="280"/>
      <c r="F28" s="290"/>
      <c r="G28" s="291"/>
    </row>
    <row r="29" spans="1:7" s="258" customFormat="1" ht="13.5" customHeight="1">
      <c r="A29" s="954" t="s">
        <v>792</v>
      </c>
      <c r="B29" s="292" t="s">
        <v>2382</v>
      </c>
      <c r="C29" s="282">
        <f ca="1">ROUND(C21*F27,4)</f>
        <v>2E-3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2706133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17079802</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15364140</v>
      </c>
      <c r="D34" s="261"/>
      <c r="E34" s="264"/>
      <c r="F34" s="301"/>
      <c r="G34" s="263"/>
    </row>
    <row r="35" spans="1:7" ht="13.5" customHeight="1">
      <c r="A35" s="954" t="s">
        <v>796</v>
      </c>
      <c r="B35" s="259" t="s">
        <v>2392</v>
      </c>
      <c r="C35" s="264">
        <f ca="1">ROUND(C34*F35,0)</f>
        <v>460924</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1024276</v>
      </c>
      <c r="D37" s="261">
        <f ca="1">D19</f>
        <v>5121.38</v>
      </c>
      <c r="E37" s="293">
        <f>'数据-取费表'!B35</f>
        <v>200</v>
      </c>
      <c r="F37" s="303"/>
      <c r="G37" s="305"/>
    </row>
    <row r="38" spans="1:7" ht="13.5" customHeight="1">
      <c r="A38" s="954" t="s">
        <v>799</v>
      </c>
      <c r="B38" s="259" t="s">
        <v>2398</v>
      </c>
      <c r="C38" s="264">
        <f ca="1">ROUND(C34*F38,0)</f>
        <v>230462</v>
      </c>
      <c r="D38" s="264"/>
      <c r="E38" s="264"/>
      <c r="F38" s="303">
        <f>'数据-取费表'!B36</f>
        <v>1.4999999999999999E-2</v>
      </c>
      <c r="G38" s="263" t="s">
        <v>2393</v>
      </c>
    </row>
    <row r="39" spans="1:7" s="258" customFormat="1" ht="13.5" customHeight="1">
      <c r="A39" s="299" t="s">
        <v>2399</v>
      </c>
      <c r="B39" s="254" t="s">
        <v>2400</v>
      </c>
      <c r="C39" s="276">
        <f ca="1">ROUND(C33*F20,0)</f>
        <v>341596</v>
      </c>
      <c r="D39" s="276"/>
      <c r="E39" s="276"/>
      <c r="F39" s="277"/>
      <c r="G39" s="278" t="s">
        <v>2401</v>
      </c>
    </row>
    <row r="40" spans="1:7" s="258" customFormat="1" ht="13.5" customHeight="1">
      <c r="A40" s="299" t="s">
        <v>2402</v>
      </c>
      <c r="B40" s="254" t="s">
        <v>2403</v>
      </c>
      <c r="C40" s="1730">
        <f>F21</f>
        <v>0.02</v>
      </c>
      <c r="D40" s="280" t="s">
        <v>2404</v>
      </c>
      <c r="E40" s="276"/>
      <c r="F40" s="277"/>
      <c r="G40" s="278" t="s">
        <v>2405</v>
      </c>
    </row>
    <row r="41" spans="1:7" s="258" customFormat="1" ht="13.5" customHeight="1">
      <c r="A41" s="299" t="s">
        <v>2406</v>
      </c>
      <c r="B41" s="254" t="s">
        <v>2407</v>
      </c>
      <c r="C41" s="276">
        <f ca="1">ROUND(SUM(C42:C43),0)</f>
        <v>827517</v>
      </c>
      <c r="D41" s="279">
        <f ca="1">C44</f>
        <v>1E-3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811291</v>
      </c>
      <c r="D42" s="282"/>
      <c r="E42" s="282"/>
      <c r="F42" s="283"/>
      <c r="G42" s="3244" t="s">
        <v>2456</v>
      </c>
    </row>
    <row r="43" spans="1:7" ht="13.5" customHeight="1">
      <c r="A43" s="954" t="s">
        <v>792</v>
      </c>
      <c r="B43" s="259" t="s">
        <v>2410</v>
      </c>
      <c r="C43" s="282">
        <f ca="1">ROUND(IF('数据-取费表'!B22&lt;=1,C39*F22*'数据-取费表'!B20/2,C39*(POWER((1+F22),'数据-取费表'!B20/2)-1)),0)</f>
        <v>16226</v>
      </c>
      <c r="D43" s="282"/>
      <c r="E43" s="282"/>
      <c r="F43" s="283"/>
      <c r="G43" s="3245"/>
    </row>
    <row r="44" spans="1:7" ht="13.5" customHeight="1">
      <c r="A44" s="954" t="s">
        <v>793</v>
      </c>
      <c r="B44" s="259" t="s">
        <v>2411</v>
      </c>
      <c r="C44" s="282">
        <f ca="1">ROUND(IF('数据-取费表'!B22&lt;=1,C40*F22*'数据-取费表'!B20/2,C40*(POWER((1+F22),'数据-取费表'!B20/2)-1)),4)</f>
        <v>1E-3</v>
      </c>
      <c r="D44" s="282"/>
      <c r="E44" s="282"/>
      <c r="F44" s="283"/>
      <c r="G44" s="3246"/>
    </row>
    <row r="45" spans="1:7" s="258" customFormat="1" ht="13.5" customHeight="1">
      <c r="A45" s="299" t="s">
        <v>2412</v>
      </c>
      <c r="B45" s="288" t="s">
        <v>2378</v>
      </c>
      <c r="C45" s="289">
        <f ca="1">C46</f>
        <v>1742140</v>
      </c>
      <c r="D45" s="279">
        <f ca="1">C47</f>
        <v>2E-3</v>
      </c>
      <c r="E45" s="280" t="s">
        <v>2404</v>
      </c>
      <c r="F45" s="290"/>
      <c r="G45" s="291" t="s">
        <v>2413</v>
      </c>
    </row>
    <row r="46" spans="1:7" s="258" customFormat="1" ht="13.5" customHeight="1">
      <c r="A46" s="954" t="s">
        <v>791</v>
      </c>
      <c r="B46" s="292" t="s">
        <v>2414</v>
      </c>
      <c r="C46" s="293">
        <f ca="1">ROUND((C33+C39)*F27,0)</f>
        <v>1742140</v>
      </c>
      <c r="D46" s="307"/>
      <c r="E46" s="280"/>
      <c r="F46" s="290"/>
      <c r="G46" s="291"/>
    </row>
    <row r="47" spans="1:7" s="258" customFormat="1" ht="13.5" customHeight="1">
      <c r="A47" s="954" t="s">
        <v>792</v>
      </c>
      <c r="B47" s="292" t="s">
        <v>2415</v>
      </c>
      <c r="C47" s="282">
        <f ca="1">ROUND(C40*F27,4)</f>
        <v>2E-3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21642368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21642368</v>
      </c>
      <c r="D51" s="276"/>
      <c r="E51" s="276"/>
      <c r="F51" s="308"/>
      <c r="G51" s="278" t="s">
        <v>2425</v>
      </c>
    </row>
    <row r="52" spans="1:7" s="252" customFormat="1" ht="16.5" thickBot="1">
      <c r="A52" s="309" t="s">
        <v>2426</v>
      </c>
      <c r="B52" s="310"/>
      <c r="C52" s="311">
        <f ca="1">C31+C51</f>
        <v>24348501</v>
      </c>
      <c r="D52" s="310"/>
      <c r="E52" s="310"/>
      <c r="F52" s="310"/>
      <c r="G52" s="312"/>
    </row>
    <row r="55" spans="1:7" ht="15">
      <c r="B55" s="314" t="s">
        <v>2427</v>
      </c>
      <c r="C55" s="315"/>
    </row>
    <row r="56" spans="1:7">
      <c r="B56" s="317" t="s">
        <v>1512</v>
      </c>
      <c r="C56" s="319">
        <f ca="1">1-C57</f>
        <v>0.11099999999999999</v>
      </c>
    </row>
    <row r="57" spans="1:7">
      <c r="B57" s="317" t="s">
        <v>1513</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3"/>
      <c r="C1" s="1584"/>
      <c r="D1" s="1582"/>
      <c r="E1" s="320"/>
      <c r="F1" s="320"/>
      <c r="G1" s="1583"/>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57" t="s">
        <v>2465</v>
      </c>
      <c r="D5" s="2557" t="s">
        <v>2466</v>
      </c>
      <c r="E5" s="2557" t="s">
        <v>2467</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1333</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2481</v>
      </c>
      <c r="C12" s="24">
        <f ca="1">ROUND(C11*F12,0)</f>
        <v>0</v>
      </c>
      <c r="D12" s="976"/>
      <c r="E12" s="375"/>
      <c r="F12" s="979">
        <f>'数据-取费表'!B33</f>
        <v>0.03</v>
      </c>
      <c r="G12" s="8" t="s">
        <v>2482</v>
      </c>
      <c r="H12" s="971"/>
      <c r="I12" s="971"/>
      <c r="J12" s="971"/>
      <c r="K12" s="972"/>
    </row>
    <row r="13" spans="1:33" s="978" customFormat="1" ht="13.5" customHeight="1">
      <c r="A13" s="974" t="s">
        <v>1335</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1336</v>
      </c>
      <c r="B14" s="975" t="s">
        <v>2485</v>
      </c>
      <c r="C14" s="24">
        <f ca="1">ROUND(D14*E14*F11/10000,0)</f>
        <v>0</v>
      </c>
      <c r="D14" s="1036">
        <f ca="1">IF(C1="",'数据-汇总表'!E3,INDIRECT("'数据-取费表'!K"&amp;$K$1)+INDIRECT("'数据-取费表'!S"&amp;$K$1))</f>
        <v>5121.38</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5121.38</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2492</v>
      </c>
      <c r="C18" s="24">
        <f ca="1">C19+C20-IF(C1="",'数据-取费表'!B29,IF(G18="已全部缴纳",C19+C20,H18))</f>
        <v>0</v>
      </c>
      <c r="D18" s="1036"/>
      <c r="E18" s="24"/>
      <c r="F18" s="979"/>
      <c r="G18" s="2559"/>
      <c r="H18" s="1579"/>
      <c r="I18" s="2560"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2495</v>
      </c>
      <c r="C20" s="24">
        <f ca="1">ROUND(D20*E20/10000,0)</f>
        <v>102</v>
      </c>
      <c r="D20" s="1036">
        <f ca="1">IF(C1="",'数据-汇总表'!E6,IF(INDIRECT("'数据-取费表'!c"&amp;$K$1)="住宅",INDIRECT("'数据-取费表'!s"&amp;$K$1),INDIRECT("'数据-取费表'!k"&amp;$K$1)+INDIRECT("'数据-取费表'!s"&amp;$K$1)))</f>
        <v>5121.38</v>
      </c>
      <c r="E20" s="24">
        <f>'数据-取费表'!B28</f>
        <v>200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2509</v>
      </c>
      <c r="B28" s="2562" t="s">
        <v>2510</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3" t="s">
        <v>2514</v>
      </c>
      <c r="B31" s="1008" t="s">
        <v>2515</v>
      </c>
      <c r="C31" s="1009">
        <f>ROUND(C4*F31/(1+'数据-取费表'!C42),0)</f>
        <v>0</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3201</v>
      </c>
      <c r="D1" s="1822" t="s">
        <v>70</v>
      </c>
      <c r="E1" s="1823" t="s">
        <v>1386</v>
      </c>
      <c r="F1" s="1286">
        <f ca="1">J53</f>
        <v>38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5352</v>
      </c>
      <c r="C2" s="1847" t="s">
        <v>1515</v>
      </c>
      <c r="D2" s="1847"/>
      <c r="E2" s="1848"/>
      <c r="F2" s="1849"/>
      <c r="G2" s="1850"/>
      <c r="H2" s="1842"/>
      <c r="I2" s="1842"/>
      <c r="J2" s="1842"/>
      <c r="K2" s="1843"/>
      <c r="L2" s="1842"/>
      <c r="M2" s="1842"/>
    </row>
    <row r="3" spans="1:37" ht="18" customHeight="1" thickBot="1">
      <c r="A3" s="1851" t="s">
        <v>1516</v>
      </c>
      <c r="B3" s="1852">
        <f ca="1">IF(ISERROR(B2*10000/F43),0,ROUND(B2*10000/F43,0))</f>
        <v>10450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f ca="1">C6+C10+C12</f>
        <v>393</v>
      </c>
      <c r="D5" s="1824" t="s">
        <v>1401</v>
      </c>
      <c r="E5" s="1296"/>
      <c r="F5" s="1297"/>
      <c r="G5" s="1853"/>
      <c r="H5" s="344">
        <v>1</v>
      </c>
      <c r="I5" s="345" t="s">
        <v>1400</v>
      </c>
      <c r="J5" s="1295">
        <f ca="1">J6+J10+J12</f>
        <v>411</v>
      </c>
      <c r="K5" s="1824" t="s">
        <v>1401</v>
      </c>
      <c r="L5" s="1296"/>
      <c r="M5" s="1297"/>
    </row>
    <row r="6" spans="1:37" ht="18" customHeight="1">
      <c r="A6" s="1294" t="s">
        <v>1035</v>
      </c>
      <c r="B6" s="3249" t="s">
        <v>1402</v>
      </c>
      <c r="C6" s="1299">
        <f ca="1">ROUND(F6*F8*F7*(1-F9)/10000,0)</f>
        <v>393</v>
      </c>
      <c r="D6" s="164" t="s">
        <v>3032</v>
      </c>
      <c r="E6" s="347" t="s">
        <v>1404</v>
      </c>
      <c r="F6" s="348">
        <f ca="1">INDIRECT("'数据-取费表'!u"&amp;$G$1)</f>
        <v>2.1</v>
      </c>
      <c r="G6" s="1853"/>
      <c r="H6" s="1294" t="s">
        <v>1035</v>
      </c>
      <c r="I6" s="3249" t="s">
        <v>1402</v>
      </c>
      <c r="J6" s="346">
        <f ca="1">ROUND(M6*M8*M7*(1-M9)/10000,0)</f>
        <v>410</v>
      </c>
      <c r="K6" s="164" t="s">
        <v>3031</v>
      </c>
      <c r="L6" s="347" t="s">
        <v>1404</v>
      </c>
      <c r="M6" s="348">
        <f ca="1">INDIRECT("'数据-取费表'!z"&amp;$G$1)</f>
        <v>2.4344755560299998</v>
      </c>
    </row>
    <row r="7" spans="1:37" ht="18" customHeight="1">
      <c r="A7" s="1298"/>
      <c r="B7" s="3250"/>
      <c r="C7" s="1300"/>
      <c r="D7" s="352"/>
      <c r="E7" s="1301" t="s">
        <v>1405</v>
      </c>
      <c r="F7" s="348">
        <f ca="1">IF(INDIRECT("'数据-取费表'!ah"&amp;$G$1)="",INDIRECT("'数据-取费表'!k"&amp;$G$1),INDIRECT("'数据-取费表'!ah"&amp;$G$1))</f>
        <v>5121.38</v>
      </c>
      <c r="G7" s="1853"/>
      <c r="H7" s="349"/>
      <c r="I7" s="3250"/>
      <c r="J7" s="351"/>
      <c r="K7" s="352"/>
      <c r="L7" s="347" t="s">
        <v>1405</v>
      </c>
      <c r="M7" s="348">
        <f ca="1">F7</f>
        <v>5121.38</v>
      </c>
    </row>
    <row r="8" spans="1:37" ht="18" customHeight="1">
      <c r="A8" s="349"/>
      <c r="B8" s="3250"/>
      <c r="C8" s="351"/>
      <c r="D8" s="352"/>
      <c r="E8" s="347" t="s">
        <v>1406</v>
      </c>
      <c r="F8" s="348">
        <f ca="1">INDIRECT("'数据-取费表'!ai"&amp;$G$1)</f>
        <v>365</v>
      </c>
      <c r="G8" s="1853"/>
      <c r="H8" s="349"/>
      <c r="I8" s="3250"/>
      <c r="J8" s="351"/>
      <c r="K8" s="352"/>
      <c r="L8" s="347" t="s">
        <v>1406</v>
      </c>
      <c r="M8" s="348">
        <f ca="1">INDIRECT("'数据-取费表'!ai"&amp;$G$1)</f>
        <v>365</v>
      </c>
    </row>
    <row r="9" spans="1:37" ht="18" customHeight="1">
      <c r="A9" s="349"/>
      <c r="B9" s="3251"/>
      <c r="C9" s="351"/>
      <c r="D9" s="352"/>
      <c r="E9" s="347" t="s">
        <v>1407</v>
      </c>
      <c r="F9" s="357">
        <f ca="1">INDIRECT("'数据-取费表'!w"&amp;$G$1)</f>
        <v>0</v>
      </c>
      <c r="G9" s="1853"/>
      <c r="H9" s="349"/>
      <c r="I9" s="3251"/>
      <c r="J9" s="351"/>
      <c r="K9" s="352"/>
      <c r="L9" s="358" t="s">
        <v>1407</v>
      </c>
      <c r="M9" s="359">
        <f ca="1">INDIRECT("'数据-取费表'!ab"&amp;$G$1)</f>
        <v>0.1</v>
      </c>
    </row>
    <row r="10" spans="1:37" ht="18" customHeight="1">
      <c r="A10" s="1294" t="s">
        <v>1039</v>
      </c>
      <c r="B10" s="1825" t="s">
        <v>1408</v>
      </c>
      <c r="C10" s="361">
        <f ca="1">ROUND(IF(F10="押一",C6/12*F11,IF(F10="押二",C6/12*2*F11,IF(F10="押三",C6/12*3*F11,C11*F11))),0)</f>
        <v>0</v>
      </c>
      <c r="D10" s="1826" t="s">
        <v>3041</v>
      </c>
      <c r="E10" s="358" t="s">
        <v>1409</v>
      </c>
      <c r="F10" s="1369" t="s">
        <v>3094</v>
      </c>
      <c r="G10" s="1853"/>
      <c r="H10" s="1294" t="s">
        <v>1039</v>
      </c>
      <c r="I10" s="1825" t="s">
        <v>1408</v>
      </c>
      <c r="J10" s="346">
        <f ca="1">ROUND(IF(M10="押一",J6/12*M11,IF(M10="押二",J6/12*2*M11,IF(M10="押三",J6/12*3*M11,J11*M11))),0)</f>
        <v>1</v>
      </c>
      <c r="K10" s="1826" t="s">
        <v>3040</v>
      </c>
      <c r="L10" s="358" t="s">
        <v>1409</v>
      </c>
      <c r="M10" s="1369" t="s">
        <v>3094</v>
      </c>
    </row>
    <row r="11" spans="1:37" ht="18" customHeight="1">
      <c r="A11" s="353"/>
      <c r="B11" s="1827" t="s">
        <v>1387</v>
      </c>
      <c r="C11" s="1181"/>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2163</v>
      </c>
      <c r="D13" s="1334" t="s">
        <v>1414</v>
      </c>
      <c r="E13" s="1334" t="s">
        <v>1415</v>
      </c>
      <c r="F13" s="1335">
        <f ca="1">INDIRECT("'数据-取费表'!y"&amp;$G$1)</f>
        <v>1</v>
      </c>
      <c r="G13" s="1853"/>
      <c r="H13" s="1332">
        <v>2</v>
      </c>
      <c r="I13" s="1333" t="s">
        <v>1413</v>
      </c>
      <c r="J13" s="1293">
        <f ca="1">ROUND(J14*J15,0)</f>
        <v>1947</v>
      </c>
      <c r="K13" s="1340" t="s">
        <v>1414</v>
      </c>
      <c r="L13" s="1854"/>
      <c r="M13" s="1855"/>
    </row>
    <row r="14" spans="1:37" ht="18" customHeight="1">
      <c r="A14" s="1204" t="s">
        <v>1034</v>
      </c>
      <c r="B14" s="347" t="s">
        <v>1416</v>
      </c>
      <c r="C14" s="363">
        <f ca="1">INDIRECT("'数据-取费表'!m"&amp;$G$1)+INDIRECT("'数据-取费表'!t"&amp;$G$1)</f>
        <v>1536</v>
      </c>
      <c r="D14" s="1802" t="s">
        <v>1417</v>
      </c>
      <c r="E14" s="1796"/>
      <c r="F14" s="364"/>
      <c r="G14" s="1853"/>
      <c r="H14" s="1204" t="s">
        <v>1035</v>
      </c>
      <c r="I14" s="347" t="s">
        <v>1418</v>
      </c>
      <c r="J14" s="24">
        <f ca="1">C29</f>
        <v>2163</v>
      </c>
      <c r="K14" s="15"/>
      <c r="L14" s="982"/>
      <c r="M14" s="983"/>
    </row>
    <row r="15" spans="1:37" s="1860" customFormat="1" ht="18" customHeight="1" thickBot="1">
      <c r="A15" s="1204" t="s">
        <v>1036</v>
      </c>
      <c r="B15" s="347" t="s">
        <v>1419</v>
      </c>
      <c r="C15" s="24">
        <f ca="1">ROUND(C14*F15,0)</f>
        <v>46</v>
      </c>
      <c r="D15" s="365" t="s">
        <v>1420</v>
      </c>
      <c r="E15" s="365" t="s">
        <v>1421</v>
      </c>
      <c r="F15" s="366">
        <f>'数据-取费表'!B33</f>
        <v>0.03</v>
      </c>
      <c r="G15" s="1856"/>
      <c r="H15" s="1342" t="s">
        <v>1039</v>
      </c>
      <c r="I15" s="1343" t="s">
        <v>1415</v>
      </c>
      <c r="J15" s="1352">
        <f ca="1">INDIRECT("'数据-取费表'!ad"&amp;$G$1)</f>
        <v>0.9</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115</v>
      </c>
      <c r="K16" s="1340" t="s">
        <v>1424</v>
      </c>
      <c r="L16" s="1341"/>
      <c r="M16" s="1297"/>
    </row>
    <row r="17" spans="1:37" s="1860" customFormat="1" ht="18" customHeight="1">
      <c r="A17" s="1204" t="s">
        <v>1389</v>
      </c>
      <c r="B17" s="347" t="s">
        <v>1425</v>
      </c>
      <c r="C17" s="24">
        <f ca="1">ROUND(F17*(F43+INDIRECT("'数据-取费表'!S"&amp;$G$1))/10000,0)</f>
        <v>102</v>
      </c>
      <c r="D17" s="347" t="s">
        <v>1426</v>
      </c>
      <c r="E17" s="347" t="s">
        <v>1427</v>
      </c>
      <c r="F17" s="26">
        <f>'数据-取费表'!B35</f>
        <v>200</v>
      </c>
      <c r="G17" s="1856"/>
      <c r="H17" s="1204" t="s">
        <v>1035</v>
      </c>
      <c r="I17" s="347" t="s">
        <v>1428</v>
      </c>
      <c r="J17" s="24">
        <f ca="1">ROUND(IF(项目基本情况!B11="自然人",J5*M17,J18+J19+J20),1)</f>
        <v>71.2</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23</v>
      </c>
      <c r="D18" s="347" t="s">
        <v>1420</v>
      </c>
      <c r="E18" s="347" t="s">
        <v>1421</v>
      </c>
      <c r="F18" s="367">
        <f>'数据-取费表'!B36</f>
        <v>1.4999999999999999E-2</v>
      </c>
      <c r="G18" s="1856"/>
      <c r="H18" s="1204" t="s">
        <v>1034</v>
      </c>
      <c r="I18" s="347" t="s">
        <v>1432</v>
      </c>
      <c r="J18" s="24">
        <f ca="1">ROUND(J5*M18/(1+'数据-取费表'!C42),2)</f>
        <v>21.92</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1707</v>
      </c>
      <c r="D19" s="140" t="s">
        <v>1435</v>
      </c>
      <c r="E19" s="1820"/>
      <c r="F19" s="26"/>
      <c r="G19" s="1853"/>
      <c r="H19" s="1204" t="s">
        <v>1036</v>
      </c>
      <c r="I19" s="347" t="s">
        <v>1436</v>
      </c>
      <c r="J19" s="24">
        <f ca="1">IF(K19="按租金收入计税",ROUND(J5*M19,2),ROUND(C29*M19*0.7,2))</f>
        <v>49.32</v>
      </c>
      <c r="K19" s="1830" t="s">
        <v>3203</v>
      </c>
      <c r="L19" s="347" t="s">
        <v>1421</v>
      </c>
      <c r="M19" s="367">
        <f>IF(K19="按租金收入计税",'数据-取费表'!B51,'数据-取费表'!B50)</f>
        <v>0.12</v>
      </c>
    </row>
    <row r="20" spans="1:37" s="1860" customFormat="1" ht="18" customHeight="1">
      <c r="A20" s="1204" t="s">
        <v>1039</v>
      </c>
      <c r="B20" s="347" t="s">
        <v>1438</v>
      </c>
      <c r="C20" s="24">
        <f ca="1">ROUND(C19*F20,0)</f>
        <v>34</v>
      </c>
      <c r="D20" s="369" t="s">
        <v>1439</v>
      </c>
      <c r="E20" s="347" t="s">
        <v>1421</v>
      </c>
      <c r="F20" s="367">
        <f>'数据-取费表'!B37</f>
        <v>0.02</v>
      </c>
      <c r="G20" s="1856"/>
      <c r="H20" s="1204" t="s">
        <v>1388</v>
      </c>
      <c r="I20" s="164" t="s">
        <v>1440</v>
      </c>
      <c r="J20" s="25">
        <f ca="1">ROUND(M20*M21/10000,2)</f>
        <v>0</v>
      </c>
      <c r="K20" s="370" t="s">
        <v>1441</v>
      </c>
      <c r="L20" s="347" t="s">
        <v>1442</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ROUND(J14*M22,1)</f>
        <v>32.4</v>
      </c>
      <c r="K22" s="1800" t="s">
        <v>1449</v>
      </c>
      <c r="L22" s="347" t="s">
        <v>1421</v>
      </c>
      <c r="M22" s="374">
        <f ca="1">INDIRECT("'数据-取费表'!Ak"&amp;$G$1)</f>
        <v>1.4999999999999999E-2</v>
      </c>
    </row>
    <row r="23" spans="1:37" s="1860" customFormat="1" ht="18" customHeight="1">
      <c r="A23" s="1204" t="s">
        <v>1034</v>
      </c>
      <c r="B23" s="347" t="s">
        <v>1450</v>
      </c>
      <c r="C23" s="24">
        <f ca="1">IF('数据-取费表'!B22&lt;=1,ROUND(C19*F24*F23/2,0)+ROUND(C20*F24*F23/2,0),ROUND(C19*(POWER((1+F24),F23/2)-1),0)+ROUND(C20*(POWER((1+F24),F23/2)-1),0))</f>
        <v>83</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2.9</v>
      </c>
      <c r="K23" s="1800" t="s">
        <v>1453</v>
      </c>
      <c r="L23" s="347" t="s">
        <v>1454</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ROUND(J5*M24,1)</f>
        <v>8.1999999999999993</v>
      </c>
      <c r="K24" s="1345" t="s">
        <v>1458</v>
      </c>
      <c r="L24" s="1343" t="s">
        <v>1454</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f ca="1">J5-J16</f>
        <v>296</v>
      </c>
      <c r="K25" s="1348" t="s">
        <v>1463</v>
      </c>
      <c r="L25" s="1349"/>
      <c r="M25" s="1350"/>
    </row>
    <row r="26" spans="1:37">
      <c r="A26" s="1204" t="s">
        <v>1034</v>
      </c>
      <c r="B26" s="347" t="s">
        <v>1464</v>
      </c>
      <c r="C26" s="24">
        <f ca="1">ROUND((C19+C20)*F26,0)</f>
        <v>174</v>
      </c>
      <c r="D26" s="369" t="s">
        <v>1465</v>
      </c>
      <c r="E26" s="358" t="s">
        <v>1466</v>
      </c>
      <c r="F26" s="357">
        <f ca="1">INDIRECT("'数据-取费表'!q"&amp;$G$1)</f>
        <v>0.1</v>
      </c>
      <c r="G26" s="1853"/>
      <c r="H26" s="344" t="s">
        <v>1032</v>
      </c>
      <c r="I26" s="345" t="s">
        <v>1467</v>
      </c>
      <c r="J26" s="346">
        <f ca="1">IF(J5&lt;&gt;0,ROUND(J25*(1-((1+M28)/(1+M26))^M27)/(M26-M28),0),0)</f>
        <v>1325</v>
      </c>
      <c r="K26" s="370" t="s">
        <v>1468</v>
      </c>
      <c r="L26" s="347" t="s">
        <v>1469</v>
      </c>
      <c r="M26" s="357">
        <f ca="1">INDIRECT("'数据-取费表'!I"&amp;$G$1)</f>
        <v>5.5E-2</v>
      </c>
    </row>
    <row r="27" spans="1:37" ht="18" customHeight="1">
      <c r="A27" s="1204" t="s">
        <v>1036</v>
      </c>
      <c r="B27" s="347" t="s">
        <v>1470</v>
      </c>
      <c r="C27" s="24">
        <f ca="1">ROUND(F21*F26,4)</f>
        <v>2E-3</v>
      </c>
      <c r="D27" s="369" t="s">
        <v>1471</v>
      </c>
      <c r="E27" s="365"/>
      <c r="F27" s="366"/>
      <c r="G27" s="1853"/>
      <c r="H27" s="349"/>
      <c r="I27" s="350"/>
      <c r="J27" s="351"/>
      <c r="K27" s="378" t="s">
        <v>1472</v>
      </c>
      <c r="L27" s="347" t="s">
        <v>1473</v>
      </c>
      <c r="M27" s="379">
        <f ca="1">INDIRECT("'数据-取费表'!ag"&amp;$G$1)</f>
        <v>5</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2.5000000000000001E-2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2163</v>
      </c>
      <c r="D29" s="1345"/>
      <c r="E29" s="1343"/>
      <c r="F29" s="1346"/>
      <c r="G29" s="1856"/>
      <c r="H29" s="380" t="s">
        <v>1033</v>
      </c>
      <c r="I29" s="381" t="s">
        <v>1478</v>
      </c>
      <c r="J29" s="382">
        <f ca="1">ROUND(J26/(1+F40)^F41,0)</f>
        <v>226</v>
      </c>
      <c r="K29" s="383" t="s">
        <v>1479</v>
      </c>
      <c r="L29" s="384"/>
      <c r="M29" s="385">
        <f ca="1">INDIRECT("'数据-取费表'!k"&amp;$G$1)</f>
        <v>5121.38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112</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ROUND(IF(项目基本情况!B11="自然人",C5*F31,C32+C33+C34),1)</f>
        <v>68.099999999999994</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IF(项目基本情况!B11="自然人","——",ROUND(C5*F32/(1+'数据-取费表'!C42),2))</f>
        <v>20.96</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47.16</v>
      </c>
      <c r="D33" s="1830" t="s">
        <v>3203</v>
      </c>
      <c r="E33" s="347" t="s">
        <v>1421</v>
      </c>
      <c r="F33" s="367">
        <f>IF(D33="按票据","——",IF(D33="按租金收入计税",'数据-取费表'!B51,'数据-取费表'!B50))</f>
        <v>0.12</v>
      </c>
      <c r="G33" s="1853"/>
      <c r="H33" s="1861"/>
      <c r="I33" s="1862"/>
      <c r="J33" s="1863"/>
      <c r="K33" s="1864"/>
      <c r="L33" s="1861"/>
      <c r="M33" s="1861"/>
    </row>
    <row r="34" spans="1:18" ht="18" customHeight="1">
      <c r="A34" s="1294" t="s">
        <v>1388</v>
      </c>
      <c r="B34" s="164" t="s">
        <v>1440</v>
      </c>
      <c r="C34" s="25">
        <f ca="1">IF(项目基本情况!B11="自然人","——",ROUND(F34*F35/10000,2))</f>
        <v>0</v>
      </c>
      <c r="D34" s="370" t="s">
        <v>1441</v>
      </c>
      <c r="E34" s="347" t="s">
        <v>1442</v>
      </c>
      <c r="F34" s="371">
        <f>'数据-取费表'!B52</f>
        <v>3</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ROUND(C29*F36,1)</f>
        <v>32.4</v>
      </c>
      <c r="D36" s="1800" t="s">
        <v>1481</v>
      </c>
      <c r="E36" s="347" t="s">
        <v>1421</v>
      </c>
      <c r="F36" s="374">
        <f ca="1">INDIRECT("'数据-取费表'!Ak"&amp;$G$1)</f>
        <v>1.4999999999999999E-2</v>
      </c>
      <c r="G36" s="1853"/>
      <c r="H36" s="1861"/>
      <c r="I36" s="1862"/>
      <c r="J36" s="1863"/>
      <c r="K36" s="751"/>
      <c r="L36" s="1861"/>
      <c r="M36" s="1861"/>
    </row>
    <row r="37" spans="1:18" ht="18" customHeight="1">
      <c r="A37" s="1204" t="s">
        <v>1075</v>
      </c>
      <c r="B37" s="347" t="s">
        <v>1452</v>
      </c>
      <c r="C37" s="24">
        <f ca="1">ROUND(C13*F37,1)</f>
        <v>3.2</v>
      </c>
      <c r="D37" s="1800" t="s">
        <v>1453</v>
      </c>
      <c r="E37" s="347" t="s">
        <v>1454</v>
      </c>
      <c r="F37" s="376">
        <f ca="1">INDIRECT("'数据-取费表'!Al"&amp;$G$1)</f>
        <v>1.5E-3</v>
      </c>
      <c r="G37" s="1853"/>
      <c r="H37" s="1861"/>
      <c r="I37" s="1862"/>
      <c r="J37" s="1863"/>
      <c r="K37" s="751"/>
      <c r="L37" s="1861"/>
      <c r="M37" s="1861"/>
    </row>
    <row r="38" spans="1:18" ht="18" customHeight="1" thickBot="1">
      <c r="A38" s="1342" t="s">
        <v>1392</v>
      </c>
      <c r="B38" s="1343" t="s">
        <v>1438</v>
      </c>
      <c r="C38" s="1344">
        <f ca="1">ROUND(C5*F38,1)</f>
        <v>7.9</v>
      </c>
      <c r="D38" s="1345" t="s">
        <v>1458</v>
      </c>
      <c r="E38" s="1343" t="s">
        <v>1454</v>
      </c>
      <c r="F38" s="1339">
        <f ca="1">INDIRECT("'数据-取费表'!Am"&amp;$G$1)</f>
        <v>0.02</v>
      </c>
      <c r="G38" s="1853"/>
      <c r="H38" s="1861"/>
      <c r="I38" s="1862"/>
      <c r="J38" s="1863"/>
      <c r="K38" s="1867"/>
      <c r="L38" s="1861"/>
      <c r="M38" s="1861"/>
    </row>
    <row r="39" spans="1:18" ht="24.6" customHeight="1" thickTop="1">
      <c r="A39" s="1332" t="s">
        <v>1031</v>
      </c>
      <c r="B39" s="1347" t="s">
        <v>1482</v>
      </c>
      <c r="C39" s="355">
        <f ca="1">C5-C30</f>
        <v>281</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5126</v>
      </c>
      <c r="D40" s="370" t="s">
        <v>1468</v>
      </c>
      <c r="E40" s="347" t="s">
        <v>1469</v>
      </c>
      <c r="F40" s="357">
        <f ca="1">INDIRECT("'数据-取费表'!I"&amp;$G$1)</f>
        <v>5.5E-2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33</v>
      </c>
      <c r="G41" s="1853"/>
      <c r="H41" s="732"/>
      <c r="I41" s="1862"/>
      <c r="J41" s="1863"/>
      <c r="K41" s="751"/>
      <c r="L41" s="732"/>
      <c r="M41" s="732"/>
    </row>
    <row r="42" spans="1:18" ht="18" customHeight="1">
      <c r="A42" s="353"/>
      <c r="B42" s="354"/>
      <c r="C42" s="355"/>
      <c r="D42" s="373"/>
      <c r="E42" s="347" t="s">
        <v>1476</v>
      </c>
      <c r="F42" s="357">
        <f ca="1">INDIRECT("'数据-取费表'!v"&amp;$G$1)</f>
        <v>1.6E-2</v>
      </c>
      <c r="G42" s="1853"/>
      <c r="H42" s="732"/>
      <c r="I42" s="1862"/>
      <c r="J42" s="1863"/>
      <c r="K42" s="751"/>
      <c r="L42" s="732"/>
      <c r="M42" s="732"/>
    </row>
    <row r="43" spans="1:18" ht="18" customHeight="1" thickBot="1">
      <c r="A43" s="380" t="s">
        <v>1033</v>
      </c>
      <c r="B43" s="381" t="s">
        <v>1486</v>
      </c>
      <c r="C43" s="382">
        <f ca="1">ROUND(C40*10000/F43,0)</f>
        <v>10009</v>
      </c>
      <c r="D43" s="383" t="s">
        <v>1487</v>
      </c>
      <c r="E43" s="384" t="s">
        <v>1488</v>
      </c>
      <c r="F43" s="385">
        <f ca="1">INDIRECT("'数据-取费表'!k"&amp;$G$1)</f>
        <v>5121.38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-8397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3095</v>
      </c>
      <c r="K47" s="1884" t="s">
        <v>1526</v>
      </c>
      <c r="L47" s="1885">
        <f ca="1">INDIRECT("'数据-取费表'!d"&amp;$G$1)</f>
        <v>40</v>
      </c>
      <c r="M47" s="1840" t="str">
        <f>IF(ISNUMBER(FIND("住宅",C1)),"住宅","非住宅")</f>
        <v>非住宅</v>
      </c>
      <c r="O47" s="1886" t="s">
        <v>1040</v>
      </c>
      <c r="P47" s="1887" t="s">
        <v>1527</v>
      </c>
      <c r="Q47" s="1888">
        <f ca="1">C40+J29</f>
        <v>5352</v>
      </c>
      <c r="R47" s="1888" t="s">
        <v>1528</v>
      </c>
    </row>
    <row r="48" spans="1:18" s="1844" customFormat="1" ht="28.5" thickBot="1">
      <c r="A48" s="1363" t="s">
        <v>1135</v>
      </c>
      <c r="B48" s="345" t="s">
        <v>1400</v>
      </c>
      <c r="C48" s="1819">
        <f ca="1">C49+C53+C55</f>
        <v>0</v>
      </c>
      <c r="D48" s="1365"/>
      <c r="E48" s="1366"/>
      <c r="F48" s="1184"/>
      <c r="G48" s="792"/>
      <c r="H48" s="793"/>
      <c r="I48" s="1889" t="s">
        <v>1529</v>
      </c>
      <c r="J48" s="1890" t="s">
        <v>3096</v>
      </c>
      <c r="K48" s="1891" t="s">
        <v>1530</v>
      </c>
      <c r="L48" s="1892">
        <f ca="1">INDIRECT("'数据-取费表'!f"&amp;$G$1)</f>
        <v>38</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3033</v>
      </c>
      <c r="E49" s="1832" t="s">
        <v>1490</v>
      </c>
      <c r="F49" s="1284"/>
      <c r="G49" s="1893"/>
      <c r="H49" s="793"/>
      <c r="I49" s="1889" t="s">
        <v>1533</v>
      </c>
      <c r="J49" s="1894">
        <v>2018</v>
      </c>
      <c r="K49" s="1891" t="s">
        <v>1534</v>
      </c>
      <c r="L49" s="1895"/>
      <c r="O49" s="1896" t="s">
        <v>1042</v>
      </c>
      <c r="P49" s="1887" t="s">
        <v>1535</v>
      </c>
      <c r="Q49" s="1888">
        <f ca="1">C29</f>
        <v>2163</v>
      </c>
      <c r="R49" s="1888" t="s">
        <v>1528</v>
      </c>
    </row>
    <row r="50" spans="1:18" s="1844" customFormat="1" ht="13.5" thickBot="1">
      <c r="A50" s="1198"/>
      <c r="B50" s="1201"/>
      <c r="C50" s="1371"/>
      <c r="D50" s="1175"/>
      <c r="E50" s="1280" t="s">
        <v>1405</v>
      </c>
      <c r="F50" s="1281">
        <f ca="1">F7</f>
        <v>5121.38</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365</v>
      </c>
      <c r="I51" s="1900" t="s">
        <v>1539</v>
      </c>
      <c r="J51" s="1901">
        <f>IF(J49="",J50,J49+J50-YEAR('数据-取费表'!B2))</f>
        <v>60</v>
      </c>
      <c r="K51" s="1902" t="s">
        <v>1540</v>
      </c>
      <c r="L51" s="1903">
        <f ca="1">ROUND(-PV(INDIRECT("'数据-取费表'!h"&amp;$G$1),L48,(C39-C13*C76),0),0)</f>
        <v>1821</v>
      </c>
      <c r="M51" s="1904"/>
      <c r="O51" s="1896" t="s">
        <v>1044</v>
      </c>
      <c r="P51" s="1887" t="s">
        <v>1541</v>
      </c>
      <c r="Q51" s="1899">
        <f>J52</f>
        <v>0.08</v>
      </c>
      <c r="R51" s="1888"/>
    </row>
    <row r="52" spans="1:18" s="1844" customFormat="1" ht="13.5" thickBot="1">
      <c r="A52" s="1199"/>
      <c r="B52" s="1201"/>
      <c r="C52" s="1202"/>
      <c r="D52" s="1175"/>
      <c r="E52" s="1203" t="s">
        <v>1407</v>
      </c>
      <c r="F52" s="1278"/>
      <c r="I52" s="1905" t="s">
        <v>1542</v>
      </c>
      <c r="J52" s="1906">
        <v>0.08</v>
      </c>
      <c r="K52" s="1905" t="s">
        <v>1543</v>
      </c>
      <c r="L52" s="1906"/>
      <c r="O52" s="1896" t="s">
        <v>1045</v>
      </c>
      <c r="P52" s="1887" t="s">
        <v>1544</v>
      </c>
      <c r="Q52" s="1888">
        <f ca="1">J53</f>
        <v>38</v>
      </c>
      <c r="R52" s="1888" t="s">
        <v>1545</v>
      </c>
    </row>
    <row r="53" spans="1:18" s="1844" customFormat="1" ht="24.75" thickBot="1">
      <c r="A53" s="1408" t="s">
        <v>1137</v>
      </c>
      <c r="B53" s="1833" t="s">
        <v>1408</v>
      </c>
      <c r="C53" s="361">
        <f ca="1">ROUND(IF(F53="押一",C49/12*F11,IF(F53="押二",C49/12*2*F11,IF(F53="押三",C49/12*3*F11,C54*F11))),0)</f>
        <v>0</v>
      </c>
      <c r="D53" s="1826" t="s">
        <v>3040</v>
      </c>
      <c r="E53" s="358" t="s">
        <v>1409</v>
      </c>
      <c r="F53" s="1369"/>
      <c r="I53" s="1907" t="s">
        <v>1546</v>
      </c>
      <c r="J53" s="1908">
        <f ca="1">IF(M47="住宅",J51,IF(D1="——",MIN(J51,L48),IF(D1="在建（套用方法）",MIN(J51,L48-'数据-取费表'!B24),IF(D1="土地（套用方法）",MIN(J51,L48-'数据-取费表'!B20)))))</f>
        <v>38</v>
      </c>
      <c r="K53" s="3247" t="s">
        <v>1547</v>
      </c>
      <c r="L53" s="3248"/>
      <c r="O53" s="1886" t="s">
        <v>1046</v>
      </c>
      <c r="P53" s="1887" t="s">
        <v>1548</v>
      </c>
      <c r="Q53" s="1888">
        <f ca="1">Q47+Q48</f>
        <v>5352</v>
      </c>
      <c r="R53" s="1888" t="s">
        <v>1047</v>
      </c>
    </row>
    <row r="54" spans="1:18" s="1844" customFormat="1" ht="13.5" thickBot="1">
      <c r="A54" s="1409"/>
      <c r="B54" s="1827" t="s">
        <v>1387</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2163</v>
      </c>
      <c r="D56" s="1916"/>
      <c r="E56" s="1917"/>
      <c r="F56" s="1909"/>
      <c r="I56" s="1918" t="s">
        <v>1553</v>
      </c>
      <c r="J56" s="1919" t="s">
        <v>3071</v>
      </c>
      <c r="K56" s="1889" t="s">
        <v>1554</v>
      </c>
      <c r="L56" s="1892" t="str">
        <f ca="1">IF(L48&lt;J51,"——",L48-J53)</f>
        <v>——</v>
      </c>
      <c r="O56" s="1886" t="s">
        <v>1040</v>
      </c>
      <c r="P56" s="1887" t="s">
        <v>1527</v>
      </c>
      <c r="Q56" s="1888">
        <f ca="1">C40+J29</f>
        <v>5352</v>
      </c>
      <c r="R56" s="1888" t="s">
        <v>1528</v>
      </c>
    </row>
    <row r="57" spans="1:18" s="1844" customFormat="1" ht="24.75" thickBot="1">
      <c r="A57" s="1920"/>
      <c r="B57" s="1172" t="s">
        <v>1477</v>
      </c>
      <c r="C57" s="282">
        <f ca="1">C29</f>
        <v>2163</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217</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181.7</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IF(项目基本情况!B11="自然人","——",IF(D61="按租金收入计税",ROUND(C48*F61,2),IF(D61="按房产原值计税",ROUND(C57*F61*0.7,2),INDIRECT("'数据-取费表'!Aj"&amp;$G$1))))</f>
        <v>181.69</v>
      </c>
      <c r="D61" s="1830" t="s">
        <v>1437</v>
      </c>
      <c r="E61" s="1172"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f ca="1">IF(项目基本情况!B11="自然人","——",ROUND(F62*F63/10000,2))</f>
        <v>0</v>
      </c>
      <c r="D62" s="1187" t="s">
        <v>1496</v>
      </c>
      <c r="E62" s="1172" t="s">
        <v>1497</v>
      </c>
      <c r="F62" s="371">
        <f t="shared" si="0"/>
        <v>3</v>
      </c>
      <c r="I62" s="1931" t="s">
        <v>1569</v>
      </c>
      <c r="J62" s="1932" t="s">
        <v>1570</v>
      </c>
      <c r="K62" s="1932" t="s">
        <v>1571</v>
      </c>
      <c r="L62" s="1932" t="s">
        <v>1572</v>
      </c>
      <c r="M62" s="1933" t="s">
        <v>1573</v>
      </c>
      <c r="O62" s="1886" t="s">
        <v>1046</v>
      </c>
      <c r="P62" s="1887" t="s">
        <v>1574</v>
      </c>
      <c r="Q62" s="1888">
        <f ca="1">Q56+Q57</f>
        <v>5352</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ROUND(C57*F64,1)</f>
        <v>32.4</v>
      </c>
      <c r="D64" s="1186" t="s">
        <v>1501</v>
      </c>
      <c r="E64" s="1172"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3.2</v>
      </c>
      <c r="D65" s="1186" t="s">
        <v>1453</v>
      </c>
      <c r="E65" s="1172" t="s">
        <v>1454</v>
      </c>
      <c r="F65" s="376">
        <f t="shared" ca="1" si="0"/>
        <v>1.5E-3</v>
      </c>
      <c r="I65" s="1931" t="s">
        <v>1578</v>
      </c>
      <c r="J65" s="1932">
        <v>40</v>
      </c>
      <c r="K65" s="1932">
        <v>30</v>
      </c>
      <c r="L65" s="1932">
        <v>50</v>
      </c>
      <c r="M65" s="1934">
        <v>0.02</v>
      </c>
      <c r="O65" s="1886" t="s">
        <v>1040</v>
      </c>
      <c r="P65" s="1887" t="s">
        <v>1579</v>
      </c>
      <c r="Q65" s="1888">
        <f ca="1">C40+J29</f>
        <v>5352</v>
      </c>
      <c r="R65" s="1888" t="s">
        <v>1528</v>
      </c>
    </row>
    <row r="66" spans="1:18" s="1844" customFormat="1" ht="16.5" thickBot="1">
      <c r="A66" s="1204" t="s">
        <v>1503</v>
      </c>
      <c r="B66" s="1172" t="s">
        <v>1438</v>
      </c>
      <c r="C66" s="24">
        <f ca="1">ROUND(C48*F66,1)</f>
        <v>0</v>
      </c>
      <c r="D66" s="1186" t="s">
        <v>1504</v>
      </c>
      <c r="E66" s="1172" t="s">
        <v>1421</v>
      </c>
      <c r="F66" s="357">
        <f t="shared" ca="1" si="0"/>
        <v>0.02</v>
      </c>
      <c r="O66" s="1886" t="s">
        <v>1041</v>
      </c>
      <c r="P66" s="1887" t="s">
        <v>1557</v>
      </c>
      <c r="Q66" s="1888">
        <f ca="1">L60</f>
        <v>0</v>
      </c>
      <c r="R66" s="1888" t="s">
        <v>1580</v>
      </c>
    </row>
    <row r="67" spans="1:18" s="1844" customFormat="1" ht="16.5" thickBot="1">
      <c r="A67" s="1179" t="s">
        <v>1031</v>
      </c>
      <c r="B67" s="1189" t="s">
        <v>1462</v>
      </c>
      <c r="C67" s="361">
        <f ca="1">C48-C58</f>
        <v>-217</v>
      </c>
      <c r="D67" s="1185" t="s">
        <v>1463</v>
      </c>
      <c r="E67" s="1190"/>
      <c r="F67" s="1191"/>
      <c r="O67" s="1896" t="s">
        <v>1042</v>
      </c>
      <c r="P67" s="1887" t="s">
        <v>1561</v>
      </c>
      <c r="Q67" s="1935">
        <f ca="1">L51</f>
        <v>1821</v>
      </c>
      <c r="R67" s="1888" t="s">
        <v>1581</v>
      </c>
    </row>
    <row r="68" spans="1:18" s="1844" customFormat="1" ht="16.5" thickBot="1">
      <c r="A68" s="1169" t="s">
        <v>1032</v>
      </c>
      <c r="B68" s="1170" t="s">
        <v>1484</v>
      </c>
      <c r="C68" s="346">
        <f ca="1">ROUND(C67*(1-((1+F70)/(1+F68))^F69)/(F68-F70),0)</f>
        <v>-3271</v>
      </c>
      <c r="D68" s="1187" t="s">
        <v>1468</v>
      </c>
      <c r="E68" s="1172" t="s">
        <v>1469</v>
      </c>
      <c r="F68" s="357">
        <f ca="1">F40</f>
        <v>5.5E-2</v>
      </c>
      <c r="O68" s="1896" t="s">
        <v>1043</v>
      </c>
      <c r="P68" s="1936" t="s">
        <v>1582</v>
      </c>
      <c r="Q68" s="1888">
        <f ca="1">ROUND(Q69-Q70*Q71,0)</f>
        <v>108</v>
      </c>
      <c r="R68" s="1888" t="s">
        <v>1051</v>
      </c>
    </row>
    <row r="69" spans="1:18" s="1844" customFormat="1" ht="13.5" thickBot="1">
      <c r="A69" s="1173"/>
      <c r="B69" s="1174"/>
      <c r="C69" s="351"/>
      <c r="D69" s="1192" t="s">
        <v>1472</v>
      </c>
      <c r="E69" s="1172" t="s">
        <v>1473</v>
      </c>
      <c r="F69" s="379">
        <f ca="1">F41</f>
        <v>33</v>
      </c>
      <c r="O69" s="1896" t="s">
        <v>1048</v>
      </c>
      <c r="P69" s="1936" t="s">
        <v>1583</v>
      </c>
      <c r="Q69" s="1888">
        <f ca="1">C39</f>
        <v>281</v>
      </c>
      <c r="R69" s="1888" t="s">
        <v>1528</v>
      </c>
    </row>
    <row r="70" spans="1:18" s="1844" customFormat="1" ht="13.5" thickBot="1">
      <c r="A70" s="1176"/>
      <c r="B70" s="1177"/>
      <c r="C70" s="355"/>
      <c r="D70" s="1188"/>
      <c r="E70" s="1172" t="s">
        <v>1476</v>
      </c>
      <c r="F70" s="1278"/>
      <c r="O70" s="1896" t="s">
        <v>1049</v>
      </c>
      <c r="P70" s="1936" t="s">
        <v>1584</v>
      </c>
      <c r="Q70" s="1888">
        <f ca="1">C13</f>
        <v>2163</v>
      </c>
      <c r="R70" s="1888" t="s">
        <v>1528</v>
      </c>
    </row>
    <row r="71" spans="1:18" s="1844" customFormat="1" ht="13.5" thickBot="1">
      <c r="A71" s="1193" t="s">
        <v>1033</v>
      </c>
      <c r="B71" s="1194" t="s">
        <v>1486</v>
      </c>
      <c r="C71" s="382">
        <f ca="1">ROUND(C68*10000/F71,0)</f>
        <v>-6387</v>
      </c>
      <c r="D71" s="1195" t="s">
        <v>1487</v>
      </c>
      <c r="E71" s="1196" t="s">
        <v>1488</v>
      </c>
      <c r="F71" s="385">
        <f ca="1">F43</f>
        <v>5121.38</v>
      </c>
      <c r="O71" s="1896" t="s">
        <v>1050</v>
      </c>
      <c r="P71" s="1936" t="s">
        <v>1585</v>
      </c>
      <c r="Q71" s="1899">
        <f ca="1">C76</f>
        <v>0.08</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173</v>
      </c>
      <c r="D75" s="1844"/>
      <c r="E75" s="1844"/>
      <c r="F75" s="1844"/>
      <c r="K75" s="1870"/>
      <c r="L75" s="1844"/>
      <c r="O75" s="1886" t="s">
        <v>1046</v>
      </c>
      <c r="P75" s="1887" t="s">
        <v>1548</v>
      </c>
      <c r="Q75" s="1888">
        <f ca="1">Q65+Q66</f>
        <v>5352</v>
      </c>
      <c r="R75" s="1888" t="s">
        <v>1047</v>
      </c>
    </row>
    <row r="76" spans="1:18">
      <c r="B76" s="388" t="s">
        <v>1506</v>
      </c>
      <c r="C76" s="389">
        <f ca="1">INDIRECT("'数据-取费表'!j"&amp;$G$1)</f>
        <v>0.08</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0.38400000000000001</v>
      </c>
    </row>
    <row r="80" spans="1:18">
      <c r="B80" s="386" t="s">
        <v>1510</v>
      </c>
      <c r="C80" s="318">
        <f ca="1">ROUND(C75/C39,3)</f>
        <v>0.61599999999999999</v>
      </c>
    </row>
    <row r="81" spans="2:3">
      <c r="B81" s="314" t="s">
        <v>1511</v>
      </c>
      <c r="C81" s="282"/>
    </row>
    <row r="82" spans="2:3">
      <c r="B82" s="317" t="s">
        <v>1512</v>
      </c>
      <c r="C82" s="319">
        <f ca="1">1-C83</f>
        <v>0.57800000000000007</v>
      </c>
    </row>
    <row r="83" spans="2:3">
      <c r="B83" s="317" t="s">
        <v>1513</v>
      </c>
      <c r="C83" s="318">
        <f ca="1">ROUND(C13/C40,3)</f>
        <v>0.42199999999999999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32" sqref="F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1386</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0</v>
      </c>
      <c r="D5" s="1824" t="s">
        <v>1600</v>
      </c>
      <c r="E5" s="1296"/>
      <c r="F5" s="1297"/>
      <c r="G5" s="1853"/>
      <c r="H5" s="344">
        <v>1</v>
      </c>
      <c r="I5" s="345" t="s">
        <v>1599</v>
      </c>
      <c r="J5" s="1295">
        <f ca="1">J6+J10+J12</f>
        <v>0</v>
      </c>
      <c r="K5" s="1824" t="s">
        <v>1600</v>
      </c>
      <c r="L5" s="1296"/>
      <c r="M5" s="1297"/>
    </row>
    <row r="6" spans="1:37" ht="18" customHeight="1">
      <c r="A6" s="1294" t="s">
        <v>1035</v>
      </c>
      <c r="B6" s="3249" t="s">
        <v>1402</v>
      </c>
      <c r="C6" s="1299">
        <f ca="1">ROUND(F6*F8*F7*(1-F9),0)</f>
        <v>0</v>
      </c>
      <c r="D6" s="164" t="s">
        <v>3029</v>
      </c>
      <c r="E6" s="347" t="s">
        <v>1404</v>
      </c>
      <c r="F6" s="348">
        <f ca="1">INDIRECT("'数据-取费表'!u"&amp;$G$1)</f>
        <v>0</v>
      </c>
      <c r="G6" s="1853"/>
      <c r="H6" s="1294" t="s">
        <v>1035</v>
      </c>
      <c r="I6" s="3249" t="s">
        <v>1402</v>
      </c>
      <c r="J6" s="346">
        <f ca="1">ROUND(M6*M8*M7*(1-M9),0)</f>
        <v>0</v>
      </c>
      <c r="K6" s="1836" t="s">
        <v>3030</v>
      </c>
      <c r="L6" s="347" t="s">
        <v>1404</v>
      </c>
      <c r="M6" s="348">
        <f ca="1">INDIRECT("'数据-取费表'!z"&amp;$G$1)</f>
        <v>0</v>
      </c>
    </row>
    <row r="7" spans="1:37" ht="18" customHeight="1">
      <c r="A7" s="1298"/>
      <c r="B7" s="3250"/>
      <c r="C7" s="1300"/>
      <c r="D7" s="352"/>
      <c r="E7" s="1301" t="s">
        <v>1405</v>
      </c>
      <c r="F7" s="348">
        <f ca="1">IF(INDIRECT("'数据-取费表'!ah"&amp;$G$1)="",INDIRECT("'数据-取费表'!k"&amp;$G$1),INDIRECT("'数据-取费表'!ah"&amp;$G$1))</f>
        <v>0</v>
      </c>
      <c r="G7" s="1853"/>
      <c r="H7" s="349"/>
      <c r="I7" s="3250"/>
      <c r="J7" s="351"/>
      <c r="K7" s="352"/>
      <c r="L7" s="347" t="s">
        <v>1405</v>
      </c>
      <c r="M7" s="348">
        <f ca="1">F7</f>
        <v>0</v>
      </c>
    </row>
    <row r="8" spans="1:37" ht="18" customHeight="1">
      <c r="A8" s="349"/>
      <c r="B8" s="3250"/>
      <c r="C8" s="351"/>
      <c r="D8" s="352"/>
      <c r="E8" s="347" t="s">
        <v>1406</v>
      </c>
      <c r="F8" s="348">
        <f ca="1">INDIRECT("'数据-取费表'!ai"&amp;$G$1)</f>
        <v>0</v>
      </c>
      <c r="G8" s="1853"/>
      <c r="H8" s="349"/>
      <c r="I8" s="3250"/>
      <c r="J8" s="351"/>
      <c r="K8" s="352"/>
      <c r="L8" s="347" t="s">
        <v>1406</v>
      </c>
      <c r="M8" s="348">
        <f ca="1">INDIRECT("'数据-取费表'!ai"&amp;$G$1)</f>
        <v>0</v>
      </c>
    </row>
    <row r="9" spans="1:37" ht="18" customHeight="1">
      <c r="A9" s="349"/>
      <c r="B9" s="3251"/>
      <c r="C9" s="351"/>
      <c r="D9" s="352"/>
      <c r="E9" s="347" t="s">
        <v>1407</v>
      </c>
      <c r="F9" s="357">
        <f ca="1">INDIRECT("'数据-取费表'!w"&amp;$G$1)</f>
        <v>0</v>
      </c>
      <c r="G9" s="1853"/>
      <c r="H9" s="349"/>
      <c r="I9" s="3251"/>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3040</v>
      </c>
      <c r="E10" s="358" t="s">
        <v>1409</v>
      </c>
      <c r="F10" s="1369"/>
      <c r="G10" s="1853"/>
      <c r="H10" s="1294" t="s">
        <v>1039</v>
      </c>
      <c r="I10" s="1825" t="s">
        <v>1408</v>
      </c>
      <c r="J10" s="346">
        <f ca="1">ROUND(IF(M10="押一",J6/12*M11,IF(M10="押二",J6/12*2*M11,IF(M10="押三",J6/12*3*M11,J11*M11))),0)</f>
        <v>0</v>
      </c>
      <c r="K10" s="1837" t="s">
        <v>3042</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0</v>
      </c>
      <c r="D14" s="1802" t="s">
        <v>1417</v>
      </c>
      <c r="E14" s="1796"/>
      <c r="F14" s="364"/>
      <c r="G14" s="1853"/>
      <c r="H14" s="1204" t="s">
        <v>1035</v>
      </c>
      <c r="I14" s="347" t="s">
        <v>1418</v>
      </c>
      <c r="J14" s="24">
        <f ca="1">C29</f>
        <v>0</v>
      </c>
      <c r="K14" s="15"/>
      <c r="L14" s="982"/>
      <c r="M14" s="983"/>
    </row>
    <row r="15" spans="1:37" s="1860" customFormat="1" ht="18" customHeight="1" thickBot="1">
      <c r="A15" s="1204" t="s">
        <v>1036</v>
      </c>
      <c r="B15" s="347" t="s">
        <v>1419</v>
      </c>
      <c r="C15" s="24">
        <f ca="1">ROUND(C14*F15,0)</f>
        <v>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1389</v>
      </c>
      <c r="B17" s="347" t="s">
        <v>1425</v>
      </c>
      <c r="C17" s="24">
        <f ca="1">ROUND(F17*(F43+INDIRECT("'数据-取费表'!S"&amp;$G$1)),0)</f>
        <v>0</v>
      </c>
      <c r="D17" s="347" t="s">
        <v>1426</v>
      </c>
      <c r="E17" s="347" t="s">
        <v>1427</v>
      </c>
      <c r="F17" s="26">
        <f>'数据-取费表'!B35</f>
        <v>200</v>
      </c>
      <c r="G17" s="1856"/>
      <c r="H17" s="1204"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0</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0</v>
      </c>
      <c r="D19" s="140" t="s">
        <v>1435</v>
      </c>
      <c r="E19" s="1820"/>
      <c r="F19" s="26"/>
      <c r="G19" s="1853"/>
      <c r="H19" s="1204"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1388</v>
      </c>
      <c r="I20" s="164" t="s">
        <v>1440</v>
      </c>
      <c r="J20" s="25">
        <f ca="1">ROUND(M20*M21,0)</f>
        <v>0</v>
      </c>
      <c r="K20" s="370" t="s">
        <v>1441</v>
      </c>
      <c r="L20" s="347" t="s">
        <v>1442</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0</v>
      </c>
      <c r="K22" s="1800" t="s">
        <v>1449</v>
      </c>
      <c r="L22" s="347" t="s">
        <v>1421</v>
      </c>
      <c r="M22" s="374">
        <f ca="1">INDIRECT("'数据-取费表'!Ak"&amp;$G$1)</f>
        <v>0</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ROUND(J5*M24,0)</f>
        <v>0</v>
      </c>
      <c r="K24" s="1345" t="s">
        <v>1458</v>
      </c>
      <c r="L24" s="1343" t="s">
        <v>1454</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0</v>
      </c>
      <c r="D29" s="1345"/>
      <c r="E29" s="1343"/>
      <c r="F29" s="1346"/>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0</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3</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4"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2" t="s">
        <v>1392</v>
      </c>
      <c r="B38" s="1343" t="s">
        <v>1438</v>
      </c>
      <c r="C38" s="1344">
        <f ca="1">ROUND(C5*F38,1)</f>
        <v>0</v>
      </c>
      <c r="D38" s="1345" t="s">
        <v>1458</v>
      </c>
      <c r="E38" s="1343" t="s">
        <v>1454</v>
      </c>
      <c r="F38" s="1339">
        <f ca="1">INDIRECT("'数据-取费表'!Am"&amp;$G$1)</f>
        <v>0</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3" t="s">
        <v>1135</v>
      </c>
      <c r="B48" s="345" t="s">
        <v>1400</v>
      </c>
      <c r="C48" s="1819">
        <f ca="1">C49+C53+C55</f>
        <v>0</v>
      </c>
      <c r="D48" s="1365"/>
      <c r="E48" s="1366"/>
      <c r="F48" s="1184"/>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0</v>
      </c>
      <c r="R49" s="1888" t="s">
        <v>1528</v>
      </c>
    </row>
    <row r="50" spans="1:18" s="1844" customFormat="1" ht="13.5" thickBot="1">
      <c r="A50" s="1198"/>
      <c r="B50" s="1201"/>
      <c r="C50" s="1202"/>
      <c r="D50" s="1175"/>
      <c r="E50" s="1280" t="s">
        <v>1405</v>
      </c>
      <c r="F50" s="1281">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9"/>
      <c r="B51" s="1201"/>
      <c r="C51" s="1202"/>
      <c r="D51" s="1175"/>
      <c r="E51" s="1203" t="s">
        <v>1406</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b">
        <f>J53</f>
        <v>0</v>
      </c>
      <c r="R52" s="1888" t="s">
        <v>1545</v>
      </c>
    </row>
    <row r="53" spans="1:18" s="1844" customFormat="1" ht="30.75" customHeight="1" thickBot="1">
      <c r="A53" s="1364" t="s">
        <v>1137</v>
      </c>
      <c r="B53" s="369" t="s">
        <v>1408</v>
      </c>
      <c r="C53" s="361">
        <f ca="1">ROUND(IF(F53="押一",C49/12*F11,IF(F53="押二",C49/12*2*F11,IF(F53="押三",C49/12*3*F11,C54*F11))),0)</f>
        <v>0</v>
      </c>
      <c r="D53" s="1826" t="s">
        <v>3043</v>
      </c>
      <c r="E53" s="358" t="s">
        <v>1409</v>
      </c>
      <c r="F53" s="1369"/>
      <c r="I53" s="1907" t="s">
        <v>1546</v>
      </c>
      <c r="J53" s="1908" t="b">
        <f>IF(M47="住宅",J51,IF(D1="——",MIN(J51,L48),IF(D1="在建（套用方法）",MIN(J51,L48-'数据-取费表'!B24),IF(D1="土地（套用方法）",MIN(J51,L48-'数据-取费表'!B20)))))</f>
        <v>0</v>
      </c>
      <c r="K53" s="3247" t="s">
        <v>1547</v>
      </c>
      <c r="L53" s="3248"/>
      <c r="O53" s="1886" t="s">
        <v>1046</v>
      </c>
      <c r="P53" s="1887" t="s">
        <v>1548</v>
      </c>
      <c r="Q53" s="1888" t="e">
        <f ca="1">Q47+Q48</f>
        <v>#DIV/0!</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2"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80" t="s">
        <v>1423</v>
      </c>
      <c r="C58" s="361">
        <f ca="1">ROUND(C59+C64+C65+C66,0)</f>
        <v>0</v>
      </c>
      <c r="D58" s="1182" t="s">
        <v>1424</v>
      </c>
      <c r="E58" s="1183"/>
      <c r="F58" s="1184"/>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IF(项目基本情况!B11="自然人","——",IF(D61="按租金收入计税",ROUND(C48*F61,0),IF(D61="按房产原值计税",ROUND(C57*F61*0.7,0),INDIRECT("'数据-取费表'!Aj"&amp;$G$1))))</f>
        <v>0</v>
      </c>
      <c r="D61" s="1830" t="s">
        <v>1437</v>
      </c>
      <c r="E61" s="1172"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4" t="s">
        <v>1494</v>
      </c>
      <c r="B62" s="1171" t="s">
        <v>1495</v>
      </c>
      <c r="C62" s="25">
        <f ca="1">IF(项目基本情况!B11="自然人","——",ROUND(F62*F63,0))</f>
        <v>0</v>
      </c>
      <c r="D62" s="1187" t="s">
        <v>1496</v>
      </c>
      <c r="E62" s="1172" t="s">
        <v>1497</v>
      </c>
      <c r="F62" s="371">
        <f t="shared" si="0"/>
        <v>3</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0</v>
      </c>
      <c r="D64" s="1186" t="s">
        <v>1501</v>
      </c>
      <c r="E64" s="1172"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0</v>
      </c>
      <c r="D65" s="1186" t="s">
        <v>1453</v>
      </c>
      <c r="E65" s="1172"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4" t="s">
        <v>1503</v>
      </c>
      <c r="B66" s="1172" t="s">
        <v>1438</v>
      </c>
      <c r="C66" s="24">
        <f ca="1">ROUND(C48*F66,0)</f>
        <v>0</v>
      </c>
      <c r="D66" s="1186" t="s">
        <v>1504</v>
      </c>
      <c r="E66" s="1172" t="s">
        <v>1421</v>
      </c>
      <c r="F66" s="357">
        <f t="shared" ca="1" si="0"/>
        <v>0</v>
      </c>
      <c r="O66" s="1886" t="s">
        <v>1041</v>
      </c>
      <c r="P66" s="1887" t="s">
        <v>1557</v>
      </c>
      <c r="Q66" s="1888" t="e">
        <f ca="1">L60</f>
        <v>#DIV/0!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0</v>
      </c>
      <c r="R67" s="1888" t="s">
        <v>1581</v>
      </c>
    </row>
    <row r="68" spans="1:18" s="1844" customFormat="1" ht="16.5" thickBot="1">
      <c r="A68" s="1169" t="s">
        <v>1032</v>
      </c>
      <c r="B68" s="1170" t="s">
        <v>1484</v>
      </c>
      <c r="C68" s="346" t="e">
        <f ca="1">ROUND(C67*(1-((1+F70)/(1+F68))^F69)/(F68-F70),0)</f>
        <v>#DIV/0!</v>
      </c>
      <c r="D68" s="1187" t="s">
        <v>1468</v>
      </c>
      <c r="E68" s="1172" t="s">
        <v>1469</v>
      </c>
      <c r="F68" s="357">
        <f ca="1">F40</f>
        <v>0</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0</v>
      </c>
      <c r="O69" s="1896" t="s">
        <v>1048</v>
      </c>
      <c r="P69" s="1936" t="s">
        <v>1583</v>
      </c>
      <c r="Q69" s="1888">
        <f ca="1">C39</f>
        <v>0</v>
      </c>
      <c r="R69" s="1888" t="s">
        <v>1528</v>
      </c>
    </row>
    <row r="70" spans="1:18" s="1844" customFormat="1" ht="13.5" thickBot="1">
      <c r="A70" s="1176"/>
      <c r="B70" s="1177"/>
      <c r="C70" s="355"/>
      <c r="D70" s="1188"/>
      <c r="E70" s="1172" t="s">
        <v>1476</v>
      </c>
      <c r="F70" s="1278">
        <f ca="1">F42</f>
        <v>0</v>
      </c>
      <c r="O70" s="1896" t="s">
        <v>1049</v>
      </c>
      <c r="P70" s="1936" t="s">
        <v>1584</v>
      </c>
      <c r="Q70" s="1888">
        <f ca="1">C13</f>
        <v>0</v>
      </c>
      <c r="R70" s="1888" t="s">
        <v>1528</v>
      </c>
    </row>
    <row r="71" spans="1:18" s="1844" customFormat="1" ht="13.5" thickBot="1">
      <c r="A71" s="1193" t="s">
        <v>1033</v>
      </c>
      <c r="B71" s="1194" t="s">
        <v>1486</v>
      </c>
      <c r="C71" s="382" t="e">
        <f ca="1">ROUND(C68/F71,0)</f>
        <v>#DIV/0!</v>
      </c>
      <c r="D71" s="1195" t="s">
        <v>1487</v>
      </c>
      <c r="E71" s="1196"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2" sqref="C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3072</v>
      </c>
      <c r="D1" s="1822" t="s">
        <v>70</v>
      </c>
      <c r="E1" s="1823" t="s">
        <v>1386</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t="e">
        <f ca="1">C6+C10+C12</f>
        <v>#N/A</v>
      </c>
      <c r="D5" s="1824" t="s">
        <v>1401</v>
      </c>
      <c r="E5" s="1296"/>
      <c r="F5" s="1297"/>
      <c r="G5" s="1853"/>
      <c r="H5" s="344">
        <v>1</v>
      </c>
      <c r="I5" s="345" t="s">
        <v>1400</v>
      </c>
      <c r="J5" s="1295" t="e">
        <f ca="1">J6+J10+J12</f>
        <v>#N/A</v>
      </c>
      <c r="K5" s="1824" t="s">
        <v>1401</v>
      </c>
      <c r="L5" s="1296"/>
      <c r="M5" s="1297"/>
    </row>
    <row r="6" spans="1:37" ht="18" customHeight="1">
      <c r="A6" s="1294" t="s">
        <v>1035</v>
      </c>
      <c r="B6" s="3249" t="s">
        <v>1402</v>
      </c>
      <c r="C6" s="1299" t="e">
        <f ca="1">ROUND(F6*F8*F7*(1-F9)/10000,0)</f>
        <v>#N/A</v>
      </c>
      <c r="D6" s="164" t="s">
        <v>3032</v>
      </c>
      <c r="E6" s="347" t="s">
        <v>1404</v>
      </c>
      <c r="F6" s="348" t="e">
        <f ca="1">INDIRECT("'数据-取费表'!u"&amp;$G$1)</f>
        <v>#N/A</v>
      </c>
      <c r="G6" s="1853"/>
      <c r="H6" s="1294" t="s">
        <v>1035</v>
      </c>
      <c r="I6" s="3249" t="s">
        <v>1402</v>
      </c>
      <c r="J6" s="346" t="e">
        <f ca="1">ROUND(M6*M8*M7*(1-M9)/10000,0)</f>
        <v>#N/A</v>
      </c>
      <c r="K6" s="164" t="s">
        <v>3031</v>
      </c>
      <c r="L6" s="347" t="s">
        <v>1404</v>
      </c>
      <c r="M6" s="348" t="e">
        <f ca="1">INDIRECT("'数据-取费表'!z"&amp;$G$1)</f>
        <v>#N/A</v>
      </c>
    </row>
    <row r="7" spans="1:37" ht="18" customHeight="1">
      <c r="A7" s="1298"/>
      <c r="B7" s="3250"/>
      <c r="C7" s="1300"/>
      <c r="D7" s="352"/>
      <c r="E7" s="2947" t="s">
        <v>1405</v>
      </c>
      <c r="F7" s="348" t="e">
        <f ca="1">IF(INDIRECT("'数据-取费表'!ah"&amp;$G$1)="",INDIRECT("'数据-取费表'!k"&amp;$G$1),INDIRECT("'数据-取费表'!ah"&amp;$G$1))</f>
        <v>#N/A</v>
      </c>
      <c r="G7" s="1853"/>
      <c r="H7" s="349"/>
      <c r="I7" s="3250"/>
      <c r="J7" s="351"/>
      <c r="K7" s="352"/>
      <c r="L7" s="347" t="s">
        <v>1405</v>
      </c>
      <c r="M7" s="348" t="e">
        <f ca="1">F7</f>
        <v>#N/A</v>
      </c>
    </row>
    <row r="8" spans="1:37" ht="18" customHeight="1">
      <c r="A8" s="349"/>
      <c r="B8" s="3250"/>
      <c r="C8" s="351"/>
      <c r="D8" s="352"/>
      <c r="E8" s="347" t="s">
        <v>1406</v>
      </c>
      <c r="F8" s="348" t="e">
        <f ca="1">INDIRECT("'数据-取费表'!ai"&amp;$G$1)</f>
        <v>#N/A</v>
      </c>
      <c r="G8" s="1853"/>
      <c r="H8" s="349"/>
      <c r="I8" s="3250"/>
      <c r="J8" s="351"/>
      <c r="K8" s="352"/>
      <c r="L8" s="347" t="s">
        <v>1406</v>
      </c>
      <c r="M8" s="348" t="e">
        <f ca="1">INDIRECT("'数据-取费表'!ai"&amp;$G$1)</f>
        <v>#N/A</v>
      </c>
    </row>
    <row r="9" spans="1:37" ht="18" customHeight="1">
      <c r="A9" s="349"/>
      <c r="B9" s="3251"/>
      <c r="C9" s="351"/>
      <c r="D9" s="352"/>
      <c r="E9" s="347" t="s">
        <v>1407</v>
      </c>
      <c r="F9" s="357" t="e">
        <f ca="1">INDIRECT("'数据-取费表'!w"&amp;$G$1)</f>
        <v>#N/A</v>
      </c>
      <c r="G9" s="1853"/>
      <c r="H9" s="349"/>
      <c r="I9" s="3251"/>
      <c r="J9" s="351"/>
      <c r="K9" s="352"/>
      <c r="L9" s="358" t="s">
        <v>1407</v>
      </c>
      <c r="M9" s="359" t="e">
        <f ca="1">INDIRECT("'数据-取费表'!ab"&amp;$G$1)</f>
        <v>#N/A</v>
      </c>
    </row>
    <row r="10" spans="1:37" ht="18" customHeight="1">
      <c r="A10" s="1294" t="s">
        <v>1039</v>
      </c>
      <c r="B10" s="1825" t="s">
        <v>1408</v>
      </c>
      <c r="C10" s="361">
        <f ca="1">ROUND(IF(F10="押一",C6/12*F11,IF(F10="押二",C6/12*2*F11,IF(F10="押三",C6/12*3*F11,C11*F11))),0)</f>
        <v>0</v>
      </c>
      <c r="D10" s="1826" t="s">
        <v>3040</v>
      </c>
      <c r="E10" s="358" t="s">
        <v>1409</v>
      </c>
      <c r="F10" s="1369" t="s">
        <v>3160</v>
      </c>
      <c r="G10" s="1853"/>
      <c r="H10" s="1294" t="s">
        <v>1039</v>
      </c>
      <c r="I10" s="1825" t="s">
        <v>1408</v>
      </c>
      <c r="J10" s="346" t="e">
        <f ca="1">ROUND(IF(M10="押一",J6/12*M11,IF(M10="押二",J6/12*2*M11,IF(M10="押三",J6/12*3*M11,J11*M11))),0)</f>
        <v>#N/A</v>
      </c>
      <c r="K10" s="1826" t="s">
        <v>3040</v>
      </c>
      <c r="L10" s="358" t="s">
        <v>1409</v>
      </c>
      <c r="M10" s="1369" t="s">
        <v>1410</v>
      </c>
    </row>
    <row r="11" spans="1:37" ht="18" customHeight="1">
      <c r="A11" s="353"/>
      <c r="B11" s="1827" t="s">
        <v>1387</v>
      </c>
      <c r="C11" s="1181">
        <v>20</v>
      </c>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t="e">
        <f ca="1">ROUND(C29*F13,0)</f>
        <v>#N/A</v>
      </c>
      <c r="D13" s="1334" t="s">
        <v>1414</v>
      </c>
      <c r="E13" s="1334" t="s">
        <v>1415</v>
      </c>
      <c r="F13" s="1335" t="e">
        <f ca="1">INDIRECT("'数据-取费表'!y"&amp;$G$1)</f>
        <v>#N/A</v>
      </c>
      <c r="G13" s="1853"/>
      <c r="H13" s="1332">
        <v>2</v>
      </c>
      <c r="I13" s="1333" t="s">
        <v>1413</v>
      </c>
      <c r="J13" s="1293" t="e">
        <f ca="1">ROUND(J14*J15,0)</f>
        <v>#N/A</v>
      </c>
      <c r="K13" s="1340" t="s">
        <v>1414</v>
      </c>
      <c r="L13" s="1854"/>
      <c r="M13" s="1855"/>
    </row>
    <row r="14" spans="1:37" ht="18" customHeight="1">
      <c r="A14" s="1204" t="s">
        <v>1034</v>
      </c>
      <c r="B14" s="347" t="s">
        <v>1416</v>
      </c>
      <c r="C14" s="363" t="e">
        <f ca="1">INDIRECT("'数据-取费表'!m"&amp;$G$1)+INDIRECT("'数据-取费表'!t"&amp;$G$1)</f>
        <v>#N/A</v>
      </c>
      <c r="D14" s="2950" t="s">
        <v>1417</v>
      </c>
      <c r="E14" s="2949"/>
      <c r="F14" s="364"/>
      <c r="G14" s="1853"/>
      <c r="H14" s="1204" t="s">
        <v>1035</v>
      </c>
      <c r="I14" s="347" t="s">
        <v>1418</v>
      </c>
      <c r="J14" s="24" t="e">
        <f ca="1">C29</f>
        <v>#N/A</v>
      </c>
      <c r="K14" s="2946"/>
      <c r="L14" s="982"/>
      <c r="M14" s="983"/>
    </row>
    <row r="15" spans="1:37" s="1860" customFormat="1" ht="18" customHeight="1" thickBot="1">
      <c r="A15" s="1204" t="s">
        <v>1036</v>
      </c>
      <c r="B15" s="347" t="s">
        <v>1419</v>
      </c>
      <c r="C15" s="24" t="e">
        <f ca="1">ROUND(C14*F15,0)</f>
        <v>#N/A</v>
      </c>
      <c r="D15" s="365" t="s">
        <v>1420</v>
      </c>
      <c r="E15" s="365" t="s">
        <v>1421</v>
      </c>
      <c r="F15" s="366">
        <f>'数据-取费表'!B33</f>
        <v>0.03</v>
      </c>
      <c r="G15" s="1856"/>
      <c r="H15" s="1342" t="s">
        <v>1039</v>
      </c>
      <c r="I15" s="1343" t="s">
        <v>1415</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t="e">
        <f ca="1">ROUND(INDIRECT("'数据-取费表'!m"&amp;$G$1)*F16,0)</f>
        <v>#N/A</v>
      </c>
      <c r="D16" s="347" t="s">
        <v>1420</v>
      </c>
      <c r="E16" s="347" t="s">
        <v>1421</v>
      </c>
      <c r="F16" s="367" t="e">
        <f ca="1">IF(INDIRECT("'数据-取费表'!c"&amp;$G$1)="住宅",'数据-取费表'!B34,0)</f>
        <v>#N/A</v>
      </c>
      <c r="G16" s="1853"/>
      <c r="H16" s="1332" t="s">
        <v>1030</v>
      </c>
      <c r="I16" s="1333" t="s">
        <v>1423</v>
      </c>
      <c r="J16" s="355" t="e">
        <f ca="1">ROUND(J17+J22+J23+J24,0)</f>
        <v>#N/A</v>
      </c>
      <c r="K16" s="1340" t="s">
        <v>1424</v>
      </c>
      <c r="L16" s="2952"/>
      <c r="M16" s="1297"/>
    </row>
    <row r="17" spans="1:37" s="1860" customFormat="1" ht="18" customHeight="1">
      <c r="A17" s="1204" t="s">
        <v>1389</v>
      </c>
      <c r="B17" s="347" t="s">
        <v>1425</v>
      </c>
      <c r="C17" s="24" t="e">
        <f ca="1">ROUND(F17*(F43+INDIRECT("'数据-取费表'!S"&amp;$G$1))/10000,0)</f>
        <v>#N/A</v>
      </c>
      <c r="D17" s="347" t="s">
        <v>1426</v>
      </c>
      <c r="E17" s="347" t="s">
        <v>1427</v>
      </c>
      <c r="F17" s="26">
        <f>'数据-取费表'!B35</f>
        <v>200</v>
      </c>
      <c r="G17" s="1856"/>
      <c r="H17" s="1204" t="s">
        <v>1035</v>
      </c>
      <c r="I17" s="347" t="s">
        <v>1428</v>
      </c>
      <c r="J17" s="24" t="e">
        <f ca="1">ROUND(IF(项目基本情况!B11="自然人",J5*M17,J18+J19+J20),1)</f>
        <v>#N/A</v>
      </c>
      <c r="K17" s="2950" t="s">
        <v>1429</v>
      </c>
      <c r="L17" s="2951"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t="e">
        <f ca="1">ROUND(C14*F18,0)</f>
        <v>#N/A</v>
      </c>
      <c r="D18" s="347" t="s">
        <v>1420</v>
      </c>
      <c r="E18" s="347" t="s">
        <v>1421</v>
      </c>
      <c r="F18" s="367">
        <f>'数据-取费表'!B36</f>
        <v>1.4999999999999999E-2</v>
      </c>
      <c r="G18" s="1856"/>
      <c r="H18" s="1204" t="s">
        <v>1034</v>
      </c>
      <c r="I18" s="347" t="s">
        <v>1432</v>
      </c>
      <c r="J18" s="24" t="e">
        <f ca="1">ROUND(J5*M18/(1+'数据-取费表'!C42),2)</f>
        <v>#N/A</v>
      </c>
      <c r="K18" s="2951"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t="e">
        <f ca="1">SUM(C14:C18)</f>
        <v>#N/A</v>
      </c>
      <c r="D19" s="140" t="s">
        <v>1435</v>
      </c>
      <c r="E19" s="2945"/>
      <c r="F19" s="26"/>
      <c r="G19" s="1853"/>
      <c r="H19" s="1204" t="s">
        <v>1036</v>
      </c>
      <c r="I19" s="347" t="s">
        <v>1436</v>
      </c>
      <c r="J19" s="24" t="e">
        <f ca="1">IF(K19="按租金收入计税",ROUND(J5*M19,2),ROUND(C29*M19*0.7,2))</f>
        <v>#N/A</v>
      </c>
      <c r="K19" s="1830" t="s">
        <v>1437</v>
      </c>
      <c r="L19" s="347" t="s">
        <v>1421</v>
      </c>
      <c r="M19" s="367">
        <f>IF(K19="按租金收入计税",'数据-取费表'!B51,'数据-取费表'!B50)</f>
        <v>1.2E-2</v>
      </c>
    </row>
    <row r="20" spans="1:37" s="1860" customFormat="1" ht="18" customHeight="1">
      <c r="A20" s="1204" t="s">
        <v>1039</v>
      </c>
      <c r="B20" s="347" t="s">
        <v>1438</v>
      </c>
      <c r="C20" s="24" t="e">
        <f ca="1">ROUND(C19*F20,0)</f>
        <v>#N/A</v>
      </c>
      <c r="D20" s="369" t="s">
        <v>1439</v>
      </c>
      <c r="E20" s="347" t="s">
        <v>1421</v>
      </c>
      <c r="F20" s="367">
        <f>'数据-取费表'!B37</f>
        <v>0.02</v>
      </c>
      <c r="G20" s="1856"/>
      <c r="H20" s="1204" t="s">
        <v>1388</v>
      </c>
      <c r="I20" s="164" t="s">
        <v>1440</v>
      </c>
      <c r="J20" s="25" t="e">
        <f ca="1">ROUND(M20*M21/10000,2)</f>
        <v>#N/A</v>
      </c>
      <c r="K20" s="370" t="s">
        <v>1441</v>
      </c>
      <c r="L20" s="347" t="s">
        <v>1442</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2945"/>
      <c r="F22" s="26"/>
      <c r="G22" s="1853"/>
      <c r="H22" s="1204" t="s">
        <v>1039</v>
      </c>
      <c r="I22" s="347" t="s">
        <v>1448</v>
      </c>
      <c r="J22" s="24" t="e">
        <f ca="1">ROUND(J14*M22,1)</f>
        <v>#N/A</v>
      </c>
      <c r="K22" s="2951" t="s">
        <v>1449</v>
      </c>
      <c r="L22" s="347" t="s">
        <v>1421</v>
      </c>
      <c r="M22" s="374" t="e">
        <f ca="1">INDIRECT("'数据-取费表'!Ak"&amp;$G$1)</f>
        <v>#N/A</v>
      </c>
    </row>
    <row r="23" spans="1:37" s="1860" customFormat="1" ht="18" customHeight="1">
      <c r="A23" s="1204"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t="e">
        <f ca="1">ROUND(J13*M23,1)</f>
        <v>#N/A</v>
      </c>
      <c r="K23" s="2951" t="s">
        <v>1453</v>
      </c>
      <c r="L23" s="347" t="s">
        <v>1421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t="e">
        <f ca="1">ROUND(J5*M24,1)</f>
        <v>#N/A</v>
      </c>
      <c r="K24" s="1345" t="s">
        <v>1458</v>
      </c>
      <c r="L24" s="1343" t="s">
        <v>1421</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45"/>
      <c r="F25" s="26"/>
      <c r="G25" s="1853"/>
      <c r="H25" s="1332" t="s">
        <v>1031</v>
      </c>
      <c r="I25" s="1347" t="s">
        <v>1462</v>
      </c>
      <c r="J25" s="355" t="e">
        <f ca="1">J5-J16</f>
        <v>#N/A</v>
      </c>
      <c r="K25" s="1348" t="s">
        <v>1463</v>
      </c>
      <c r="L25" s="1349"/>
      <c r="M25" s="1350"/>
    </row>
    <row r="26" spans="1:37">
      <c r="A26" s="1204"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4"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t="e">
        <f ca="1">ROUND((C19+C20+C23+C26)/(1-F21-C24-C27-C28),0)</f>
        <v>#N/A</v>
      </c>
      <c r="D29" s="1345"/>
      <c r="E29" s="1343"/>
      <c r="F29" s="1346"/>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t="e">
        <f ca="1">ROUND(C31+C36+C37+C38,0)</f>
        <v>#N/A</v>
      </c>
      <c r="D30" s="1340" t="s">
        <v>1424</v>
      </c>
      <c r="E30" s="2952"/>
      <c r="F30" s="1297"/>
      <c r="G30" s="1853"/>
      <c r="H30" s="745"/>
      <c r="I30" s="746"/>
      <c r="J30" s="747"/>
      <c r="K30" s="748"/>
      <c r="L30" s="749"/>
      <c r="M30" s="750"/>
    </row>
    <row r="31" spans="1:37" ht="18" customHeight="1">
      <c r="A31" s="1204" t="s">
        <v>1035</v>
      </c>
      <c r="B31" s="347" t="s">
        <v>1428</v>
      </c>
      <c r="C31" s="24" t="e">
        <f ca="1">ROUND(IF(项目基本情况!B11="自然人",C5*F31,C32+C33+C34),1)</f>
        <v>#N/A</v>
      </c>
      <c r="D31" s="2950" t="s">
        <v>1429</v>
      </c>
      <c r="E31" s="2951"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t="e">
        <f ca="1">IF(项目基本情况!B11="自然人","——",ROUND(C5*F32/(1+'数据-取费表'!C42),2))</f>
        <v>#N/A</v>
      </c>
      <c r="D32" s="2951"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e">
        <f ca="1">IF(项目基本情况!B11="自然人","——",IF(D33="按租金收入计税",ROUND(C5*F33,2),IF(D33="按房产原值计税",ROUND(C29*F33*0.7,2),INDIRECT("'数据-取费表'!Aj"&amp;$G$1))))</f>
        <v>#N/A</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t="e">
        <f ca="1">IF(项目基本情况!B11="自然人","——",ROUND(F34*F35/10000,2))</f>
        <v>#N/A</v>
      </c>
      <c r="D34" s="370" t="s">
        <v>1441</v>
      </c>
      <c r="E34" s="347" t="s">
        <v>1442</v>
      </c>
      <c r="F34" s="371">
        <f>'数据-取费表'!B52</f>
        <v>3</v>
      </c>
      <c r="G34" s="1853"/>
      <c r="H34" s="745"/>
      <c r="I34" s="1862"/>
      <c r="J34" s="1863"/>
      <c r="K34" s="1865"/>
      <c r="L34" s="1866"/>
      <c r="M34" s="1866"/>
    </row>
    <row r="35" spans="1:18" ht="18" customHeight="1">
      <c r="A35" s="1356"/>
      <c r="B35" s="1354"/>
      <c r="C35" s="29"/>
      <c r="D35" s="373"/>
      <c r="E35" s="347" t="s">
        <v>1446</v>
      </c>
      <c r="F35" s="348" t="e">
        <f ca="1">INDIRECT("'数据-取费表'!r"&amp;$G$1)</f>
        <v>#N/A</v>
      </c>
      <c r="G35" s="1853"/>
      <c r="H35" s="745"/>
      <c r="I35" s="1862"/>
      <c r="J35" s="1863"/>
      <c r="K35" s="1864"/>
      <c r="L35" s="1861"/>
      <c r="M35" s="1861"/>
    </row>
    <row r="36" spans="1:18" ht="18" customHeight="1">
      <c r="A36" s="1355" t="s">
        <v>1039</v>
      </c>
      <c r="B36" s="347" t="s">
        <v>1448</v>
      </c>
      <c r="C36" s="24" t="e">
        <f ca="1">ROUND(C29*F36,1)</f>
        <v>#N/A</v>
      </c>
      <c r="D36" s="2951" t="s">
        <v>1481</v>
      </c>
      <c r="E36" s="347" t="s">
        <v>1421</v>
      </c>
      <c r="F36" s="374" t="e">
        <f ca="1">INDIRECT("'数据-取费表'!Ak"&amp;$G$1)</f>
        <v>#N/A</v>
      </c>
      <c r="G36" s="1853"/>
      <c r="H36" s="1861"/>
      <c r="I36" s="1862"/>
      <c r="J36" s="1863"/>
      <c r="K36" s="751"/>
      <c r="L36" s="1861"/>
      <c r="M36" s="1861"/>
    </row>
    <row r="37" spans="1:18" ht="18" customHeight="1">
      <c r="A37" s="1204" t="s">
        <v>1075</v>
      </c>
      <c r="B37" s="347" t="s">
        <v>1452</v>
      </c>
      <c r="C37" s="24" t="e">
        <f ca="1">ROUND(C13*F37,1)</f>
        <v>#N/A</v>
      </c>
      <c r="D37" s="2951" t="s">
        <v>1453</v>
      </c>
      <c r="E37" s="347" t="s">
        <v>1421</v>
      </c>
      <c r="F37" s="376" t="e">
        <f ca="1">INDIRECT("'数据-取费表'!Al"&amp;$G$1)</f>
        <v>#N/A</v>
      </c>
      <c r="G37" s="1853"/>
      <c r="H37" s="1861"/>
      <c r="I37" s="1862"/>
      <c r="J37" s="1863"/>
      <c r="K37" s="751"/>
      <c r="L37" s="1861"/>
      <c r="M37" s="1861"/>
    </row>
    <row r="38" spans="1:18" ht="18" customHeight="1" thickBot="1">
      <c r="A38" s="1342" t="s">
        <v>1391</v>
      </c>
      <c r="B38" s="1343" t="s">
        <v>1438</v>
      </c>
      <c r="C38" s="1344" t="e">
        <f ca="1">ROUND(C5*F38,1)</f>
        <v>#N/A</v>
      </c>
      <c r="D38" s="1345" t="s">
        <v>1458</v>
      </c>
      <c r="E38" s="1343" t="s">
        <v>1421</v>
      </c>
      <c r="F38" s="1339" t="e">
        <f ca="1">INDIRECT("'数据-取费表'!Am"&amp;$G$1)</f>
        <v>#N/A</v>
      </c>
      <c r="G38" s="1853"/>
      <c r="H38" s="1861"/>
      <c r="I38" s="1862"/>
      <c r="J38" s="1863"/>
      <c r="K38" s="1867"/>
      <c r="L38" s="1861"/>
      <c r="M38" s="1861"/>
    </row>
    <row r="39" spans="1:18" ht="24.6" customHeight="1" thickTop="1">
      <c r="A39" s="1332" t="s">
        <v>1031</v>
      </c>
      <c r="B39" s="1347" t="s">
        <v>1462</v>
      </c>
      <c r="C39" s="355" t="e">
        <f ca="1">C5-C30</f>
        <v>#N/A</v>
      </c>
      <c r="D39" s="1348" t="s">
        <v>1463</v>
      </c>
      <c r="E39" s="1349"/>
      <c r="F39" s="1350"/>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3095</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3" t="s">
        <v>1135</v>
      </c>
      <c r="B48" s="345" t="s">
        <v>1400</v>
      </c>
      <c r="C48" s="2944" t="e">
        <f ca="1">C49+C53+C55</f>
        <v>#N/A</v>
      </c>
      <c r="D48" s="1365"/>
      <c r="E48" s="1366"/>
      <c r="F48" s="1184"/>
      <c r="G48" s="792"/>
      <c r="H48" s="793"/>
      <c r="I48" s="1889" t="s">
        <v>1529</v>
      </c>
      <c r="J48" s="1890" t="s">
        <v>3096</v>
      </c>
      <c r="K48" s="1891" t="s">
        <v>1530</v>
      </c>
      <c r="L48" s="1892" t="e">
        <f ca="1">INDIRECT("'数据-取费表'!f"&amp;$G$1)</f>
        <v>#N/A</v>
      </c>
      <c r="O48" s="1886" t="s">
        <v>1041</v>
      </c>
      <c r="P48" s="1887" t="s">
        <v>1531</v>
      </c>
      <c r="Q48" s="1888" t="e">
        <f ca="1">J60</f>
        <v>#N/A</v>
      </c>
      <c r="R48" s="1888" t="s">
        <v>1532</v>
      </c>
    </row>
    <row r="49" spans="1:18" s="1844" customFormat="1" ht="13.5" thickBot="1">
      <c r="A49" s="1197" t="s">
        <v>1136</v>
      </c>
      <c r="B49" s="1831" t="s">
        <v>1489</v>
      </c>
      <c r="C49" s="1367" t="e">
        <f ca="1">ROUND(F49*F51*F50*(1-F52)/10000,0)</f>
        <v>#N/A</v>
      </c>
      <c r="D49" s="1279" t="s">
        <v>3031</v>
      </c>
      <c r="E49" s="1832" t="s">
        <v>1490</v>
      </c>
      <c r="F49" s="1284"/>
      <c r="G49" s="1893"/>
      <c r="H49" s="793"/>
      <c r="I49" s="1889" t="s">
        <v>1533</v>
      </c>
      <c r="J49" s="1894">
        <v>2004</v>
      </c>
      <c r="K49" s="1891" t="s">
        <v>1534</v>
      </c>
      <c r="L49" s="1895"/>
      <c r="O49" s="1896" t="s">
        <v>1042</v>
      </c>
      <c r="P49" s="1887" t="s">
        <v>1535</v>
      </c>
      <c r="Q49" s="1888" t="e">
        <f ca="1">C29</f>
        <v>#N/A</v>
      </c>
      <c r="R49" s="1888" t="s">
        <v>1528</v>
      </c>
    </row>
    <row r="50" spans="1:18" s="1844" customFormat="1" ht="13.5" thickBot="1">
      <c r="A50" s="1198"/>
      <c r="B50" s="1201"/>
      <c r="C50" s="1371"/>
      <c r="D50" s="1175"/>
      <c r="E50" s="1280" t="s">
        <v>1405</v>
      </c>
      <c r="F50" s="1281"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9"/>
      <c r="B51" s="1201"/>
      <c r="C51" s="1202"/>
      <c r="D51" s="1175"/>
      <c r="E51" s="1203" t="s">
        <v>1406</v>
      </c>
      <c r="F51" s="348" t="e">
        <f ca="1">F8</f>
        <v>#N/A</v>
      </c>
      <c r="I51" s="1900" t="s">
        <v>1539</v>
      </c>
      <c r="J51" s="1901">
        <f>IF(J49="",J50,J49+J50-YEAR('数据-取费表'!B2))</f>
        <v>46</v>
      </c>
      <c r="K51" s="1902" t="s">
        <v>1540</v>
      </c>
      <c r="L51" s="1903" t="e">
        <f ca="1">ROUND(-PV(INDIRECT("'数据-取费表'!h"&amp;$G$1),L48,(C39-C13*C76),0),0)</f>
        <v>#N/A</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e">
        <f ca="1">J53</f>
        <v>#N/A</v>
      </c>
      <c r="R52" s="1888" t="s">
        <v>1545</v>
      </c>
    </row>
    <row r="53" spans="1:18" s="1844" customFormat="1" ht="24.75" thickBot="1">
      <c r="A53" s="1408" t="s">
        <v>1137</v>
      </c>
      <c r="B53" s="1833" t="s">
        <v>1408</v>
      </c>
      <c r="C53" s="361">
        <f ca="1">ROUND(IF(F53="押一",C49/12*F11,IF(F53="押二",C49/12*2*F11,IF(F53="押三",C49/12*3*F11,C54*F11))),0)</f>
        <v>0</v>
      </c>
      <c r="D53" s="1826" t="s">
        <v>3040</v>
      </c>
      <c r="E53" s="358" t="s">
        <v>1409</v>
      </c>
      <c r="F53" s="1369"/>
      <c r="I53" s="1907" t="s">
        <v>1546</v>
      </c>
      <c r="J53" s="1908" t="e">
        <f ca="1">IF(M47="住宅",J51,IF(D1="——",MIN(J51,L48),IF(D1="在建（套用方法）",MIN(J51,L48-'数据-取费表'!B24),IF(D1="土地（套用方法）",MIN(J51,L48-'数据-取费表'!B20)))))</f>
        <v>#N/A</v>
      </c>
      <c r="K53" s="3247" t="s">
        <v>1547</v>
      </c>
      <c r="L53" s="3248"/>
      <c r="O53" s="1886" t="s">
        <v>1046</v>
      </c>
      <c r="P53" s="1887" t="s">
        <v>1548</v>
      </c>
      <c r="Q53" s="1888" t="e">
        <f ca="1">Q47+Q48</f>
        <v>#N/A</v>
      </c>
      <c r="R53" s="1888" t="s">
        <v>1047</v>
      </c>
    </row>
    <row r="54" spans="1:18" s="1844" customFormat="1" ht="13.5" thickBot="1">
      <c r="A54" s="1409"/>
      <c r="B54" s="1827" t="s">
        <v>1387</v>
      </c>
      <c r="C54" s="1181"/>
      <c r="D54" s="1826"/>
      <c r="E54" s="2948"/>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6" t="s">
        <v>1075</v>
      </c>
      <c r="B55" s="1829" t="s">
        <v>1412</v>
      </c>
      <c r="C55" s="1337"/>
      <c r="D55" s="1826"/>
      <c r="E55" s="2948"/>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9">
        <v>2</v>
      </c>
      <c r="B56" s="1180" t="s">
        <v>1413</v>
      </c>
      <c r="C56" s="276" t="e">
        <f ca="1">C13</f>
        <v>#N/A</v>
      </c>
      <c r="D56" s="1916"/>
      <c r="E56" s="1917"/>
      <c r="F56" s="1909"/>
      <c r="I56" s="1918" t="s">
        <v>1553</v>
      </c>
      <c r="J56" s="1919" t="s">
        <v>3071</v>
      </c>
      <c r="K56" s="1889" t="s">
        <v>1554</v>
      </c>
      <c r="L56" s="1892" t="e">
        <f ca="1">IF(L48&lt;J51,"——",L48-J53)</f>
        <v>#N/A</v>
      </c>
      <c r="O56" s="1886" t="s">
        <v>1040</v>
      </c>
      <c r="P56" s="1887" t="s">
        <v>1527</v>
      </c>
      <c r="Q56" s="1888" t="e">
        <f ca="1">C40+J29</f>
        <v>#N/A</v>
      </c>
      <c r="R56" s="1888" t="s">
        <v>1528</v>
      </c>
    </row>
    <row r="57" spans="1:18" s="1844" customFormat="1" ht="24.75" thickBot="1">
      <c r="A57" s="1920"/>
      <c r="B57" s="1172"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80" t="s">
        <v>1423</v>
      </c>
      <c r="C58" s="361" t="e">
        <f ca="1">ROUND(C59+C64+C65+C66,0)</f>
        <v>#N/A</v>
      </c>
      <c r="D58" s="1182" t="s">
        <v>1424</v>
      </c>
      <c r="E58" s="1183"/>
      <c r="F58" s="1184"/>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4" t="s">
        <v>1035</v>
      </c>
      <c r="B59" s="1172" t="s">
        <v>1428</v>
      </c>
      <c r="C59" s="24" t="e">
        <f ca="1">ROUND(IF(项目基本情况!B11="自然人",C48*F59,C60+C61+C62),1)</f>
        <v>#N/A</v>
      </c>
      <c r="D59" s="1185" t="s">
        <v>1429</v>
      </c>
      <c r="E59" s="1186"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4" t="s">
        <v>1034</v>
      </c>
      <c r="B60" s="1172" t="s">
        <v>1432</v>
      </c>
      <c r="C60" s="24" t="e">
        <f ca="1">IF(项目基本情况!B11="自然人","——",ROUND(C48*F60/(1+'数据-取费表'!C42),2))</f>
        <v>#N/A</v>
      </c>
      <c r="D60" s="1186" t="s">
        <v>1433</v>
      </c>
      <c r="E60" s="1172" t="s">
        <v>1421</v>
      </c>
      <c r="F60" s="377">
        <f t="shared" ref="F60:F66" si="0">F32</f>
        <v>5.6000000000000001E-2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4" t="s">
        <v>1491</v>
      </c>
      <c r="B61" s="1172" t="s">
        <v>1436</v>
      </c>
      <c r="C61" s="24" t="e">
        <f ca="1">IF(项目基本情况!B11="自然人","——",IF(D61="按租金收入计税",ROUND(C48*F61,2),IF(D61="按房产原值计税",ROUND(C57*F61*0.7,2),INDIRECT("'数据-取费表'!Aj"&amp;$G$1))))</f>
        <v>#N/A</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4" t="s">
        <v>1494</v>
      </c>
      <c r="B62" s="1171" t="s">
        <v>1440</v>
      </c>
      <c r="C62" s="25" t="e">
        <f ca="1">IF(项目基本情况!B11="自然人","——",ROUND(F62*F63/10000,2))</f>
        <v>#N/A</v>
      </c>
      <c r="D62" s="1187" t="s">
        <v>1441</v>
      </c>
      <c r="E62" s="1172" t="s">
        <v>1442</v>
      </c>
      <c r="F62" s="371">
        <f t="shared" si="0"/>
        <v>3</v>
      </c>
      <c r="I62" s="1931" t="s">
        <v>1569</v>
      </c>
      <c r="J62" s="1932" t="s">
        <v>1570</v>
      </c>
      <c r="K62" s="1932" t="s">
        <v>1571</v>
      </c>
      <c r="L62" s="1932" t="s">
        <v>1572</v>
      </c>
      <c r="M62" s="1933" t="s">
        <v>1573</v>
      </c>
      <c r="O62" s="1886" t="s">
        <v>1046</v>
      </c>
      <c r="P62" s="1887" t="s">
        <v>1548</v>
      </c>
      <c r="Q62" s="1888" t="e">
        <f ca="1">Q56+Q57</f>
        <v>#N/A</v>
      </c>
      <c r="R62" s="1888" t="s">
        <v>1047</v>
      </c>
    </row>
    <row r="63" spans="1:18" s="1844" customFormat="1" ht="13.5" thickBot="1">
      <c r="A63" s="372"/>
      <c r="B63" s="1178"/>
      <c r="C63" s="29"/>
      <c r="D63" s="1188"/>
      <c r="E63" s="1172" t="s">
        <v>1446</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t="e">
        <f ca="1">ROUND(C57*F64,1)</f>
        <v>#N/A</v>
      </c>
      <c r="D64" s="1186" t="s">
        <v>1481</v>
      </c>
      <c r="E64" s="1172" t="s">
        <v>1421</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t="e">
        <f ca="1">ROUND(C56*F65,1)</f>
        <v>#N/A</v>
      </c>
      <c r="D65" s="1186" t="s">
        <v>1453</v>
      </c>
      <c r="E65" s="1172" t="s">
        <v>1421</v>
      </c>
      <c r="F65" s="376" t="e">
        <f t="shared" ca="1" si="0"/>
        <v>#N/A</v>
      </c>
      <c r="I65" s="1931" t="s">
        <v>1578</v>
      </c>
      <c r="J65" s="1932">
        <v>40</v>
      </c>
      <c r="K65" s="1932">
        <v>30</v>
      </c>
      <c r="L65" s="1932">
        <v>50</v>
      </c>
      <c r="M65" s="1934">
        <v>0.02</v>
      </c>
      <c r="O65" s="1886" t="s">
        <v>1040</v>
      </c>
      <c r="P65" s="1887" t="s">
        <v>1527</v>
      </c>
      <c r="Q65" s="1888" t="e">
        <f ca="1">C40+J29</f>
        <v>#N/A</v>
      </c>
      <c r="R65" s="1888" t="s">
        <v>1528</v>
      </c>
    </row>
    <row r="66" spans="1:18" s="1844" customFormat="1" ht="16.5" thickBot="1">
      <c r="A66" s="1204" t="s">
        <v>1503</v>
      </c>
      <c r="B66" s="1172" t="s">
        <v>1438</v>
      </c>
      <c r="C66" s="24" t="e">
        <f ca="1">ROUND(C48*F66,1)</f>
        <v>#N/A</v>
      </c>
      <c r="D66" s="1186" t="s">
        <v>1458</v>
      </c>
      <c r="E66" s="1172" t="s">
        <v>1421</v>
      </c>
      <c r="F66" s="357" t="e">
        <f t="shared" ca="1" si="0"/>
        <v>#N/A</v>
      </c>
      <c r="O66" s="1886" t="s">
        <v>1041</v>
      </c>
      <c r="P66" s="1887" t="s">
        <v>1557</v>
      </c>
      <c r="Q66" s="1888" t="e">
        <f ca="1">L60</f>
        <v>#N/A</v>
      </c>
      <c r="R66" s="1888" t="s">
        <v>1580</v>
      </c>
    </row>
    <row r="67" spans="1:18" s="1844" customFormat="1" ht="16.5" thickBot="1">
      <c r="A67" s="1179" t="s">
        <v>1031</v>
      </c>
      <c r="B67" s="1189" t="s">
        <v>1462</v>
      </c>
      <c r="C67" s="361" t="e">
        <f ca="1">C48-C58</f>
        <v>#N/A</v>
      </c>
      <c r="D67" s="1185" t="s">
        <v>1463</v>
      </c>
      <c r="E67" s="1190"/>
      <c r="F67" s="1191"/>
      <c r="O67" s="1896" t="s">
        <v>1042</v>
      </c>
      <c r="P67" s="1887" t="s">
        <v>1561</v>
      </c>
      <c r="Q67" s="1935" t="e">
        <f ca="1">L51</f>
        <v>#N/A</v>
      </c>
      <c r="R67" s="1888" t="s">
        <v>1581</v>
      </c>
    </row>
    <row r="68" spans="1:18" s="1844" customFormat="1" ht="16.5" thickBot="1">
      <c r="A68" s="1169" t="s">
        <v>1032</v>
      </c>
      <c r="B68" s="1170" t="s">
        <v>1484</v>
      </c>
      <c r="C68" s="346" t="e">
        <f ca="1">ROUND(C67*(1-((1+F70)/(1+F68))^F69)/(F68-F70),0)</f>
        <v>#N/A</v>
      </c>
      <c r="D68" s="1187" t="s">
        <v>1468</v>
      </c>
      <c r="E68" s="1172" t="s">
        <v>1469</v>
      </c>
      <c r="F68" s="357" t="e">
        <f ca="1">F40</f>
        <v>#N/A</v>
      </c>
      <c r="O68" s="1896" t="s">
        <v>1043</v>
      </c>
      <c r="P68" s="1936" t="s">
        <v>1582</v>
      </c>
      <c r="Q68" s="1888" t="e">
        <f ca="1">ROUND(Q69-Q70*Q71,0)</f>
        <v>#N/A</v>
      </c>
      <c r="R68" s="1888" t="s">
        <v>1051</v>
      </c>
    </row>
    <row r="69" spans="1:18" s="1844" customFormat="1" ht="13.5" thickBot="1">
      <c r="A69" s="1173"/>
      <c r="B69" s="1174"/>
      <c r="C69" s="351"/>
      <c r="D69" s="1192" t="s">
        <v>1472</v>
      </c>
      <c r="E69" s="1172" t="s">
        <v>1473</v>
      </c>
      <c r="F69" s="379" t="e">
        <f ca="1">F41</f>
        <v>#N/A</v>
      </c>
      <c r="O69" s="1896" t="s">
        <v>1048</v>
      </c>
      <c r="P69" s="1936" t="s">
        <v>1583</v>
      </c>
      <c r="Q69" s="1888" t="e">
        <f ca="1">C39</f>
        <v>#N/A</v>
      </c>
      <c r="R69" s="1888" t="s">
        <v>1528</v>
      </c>
    </row>
    <row r="70" spans="1:18" s="1844" customFormat="1" ht="13.5" thickBot="1">
      <c r="A70" s="1176"/>
      <c r="B70" s="1177"/>
      <c r="C70" s="355"/>
      <c r="D70" s="1188"/>
      <c r="E70" s="1172" t="s">
        <v>1476</v>
      </c>
      <c r="F70" s="1278"/>
      <c r="O70" s="1896" t="s">
        <v>1049</v>
      </c>
      <c r="P70" s="1936" t="s">
        <v>1584</v>
      </c>
      <c r="Q70" s="1888" t="e">
        <f ca="1">C13</f>
        <v>#N/A</v>
      </c>
      <c r="R70" s="1888" t="s">
        <v>1528</v>
      </c>
    </row>
    <row r="71" spans="1:18" s="1844" customFormat="1" ht="13.5" thickBot="1">
      <c r="A71" s="1193" t="s">
        <v>1033</v>
      </c>
      <c r="B71" s="1194" t="s">
        <v>1486</v>
      </c>
      <c r="C71" s="382" t="e">
        <f ca="1">ROUND(C68*10000/F71,0)</f>
        <v>#N/A</v>
      </c>
      <c r="D71" s="1195" t="s">
        <v>1487</v>
      </c>
      <c r="E71" s="1196"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2" sqref="C1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2526</v>
      </c>
      <c r="B1" s="2565"/>
      <c r="C1" s="2565"/>
      <c r="D1" s="2565"/>
      <c r="E1" s="2566"/>
    </row>
    <row r="2" spans="1:6" ht="15.75">
      <c r="A2" s="2567" t="s">
        <v>2327</v>
      </c>
      <c r="B2" s="2568">
        <f ca="1">SUMIF(B6:B13,"&lt;&gt;#ref!",B6:B13)</f>
        <v>5352</v>
      </c>
      <c r="C2" s="2569" t="s">
        <v>2519</v>
      </c>
      <c r="D2" s="2570" t="s">
        <v>2520</v>
      </c>
      <c r="E2" s="2571">
        <f>SUM(E6:E13)</f>
        <v>5121.38</v>
      </c>
    </row>
    <row r="3" spans="1:6" ht="15.75">
      <c r="A3" s="2567" t="s">
        <v>1394</v>
      </c>
      <c r="B3" s="2568">
        <f ca="1">ROUND(B2*10000/E2,0)</f>
        <v>10450</v>
      </c>
      <c r="C3" s="2569" t="s">
        <v>2527</v>
      </c>
      <c r="D3" s="2572"/>
      <c r="E3" s="2573"/>
    </row>
    <row r="4" spans="1:6" ht="15.75">
      <c r="A4" s="2574"/>
      <c r="B4" s="2572"/>
      <c r="C4" s="2572"/>
      <c r="D4" s="2572"/>
      <c r="E4" s="2573"/>
    </row>
    <row r="5" spans="1:6" ht="15">
      <c r="A5" s="2575" t="s">
        <v>2521</v>
      </c>
      <c r="B5" s="3252" t="s">
        <v>2522</v>
      </c>
      <c r="C5" s="3252"/>
      <c r="D5" s="2576"/>
      <c r="E5" s="2577" t="s">
        <v>2523</v>
      </c>
      <c r="F5" s="2578" t="s">
        <v>2524</v>
      </c>
    </row>
    <row r="6" spans="1:6">
      <c r="A6" s="2579" t="str">
        <f>'数据-取费表'!AN6</f>
        <v>收益法</v>
      </c>
      <c r="B6" s="2578">
        <f ca="1">IF(F6="是",'数据-取费表'!AO6,0)</f>
        <v>5352</v>
      </c>
      <c r="C6" s="2569" t="s">
        <v>2519</v>
      </c>
      <c r="D6" s="2572"/>
      <c r="E6" s="2580">
        <f>IF(OR(A6=0,F6="否"),0,'数据-取费表'!K6+'数据-取费表'!S6)</f>
        <v>5121.38</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f>IF(F8="是",'数据-取费表'!AO8,0)</f>
        <v>0</v>
      </c>
      <c r="C8" s="2569" t="s">
        <v>2519</v>
      </c>
      <c r="D8" s="2572"/>
      <c r="E8" s="2580">
        <f>IF(OR(A8=0,F8="否"),0,'数据-取费表'!K8+'数据-取费表'!S8)</f>
        <v>0</v>
      </c>
      <c r="F8" s="2581" t="s">
        <v>3055</v>
      </c>
    </row>
    <row r="9" spans="1:6">
      <c r="A9" s="2579">
        <f>'数据-取费表'!AN9</f>
        <v>0</v>
      </c>
      <c r="B9" s="2578">
        <f>IF(F9="是",'数据-取费表'!AO9,0)</f>
        <v>0</v>
      </c>
      <c r="C9" s="2569" t="s">
        <v>2519</v>
      </c>
      <c r="D9" s="2572"/>
      <c r="E9" s="2580">
        <f>IF(OR(A9=0,F9="否"),0,'数据-取费表'!K9+'数据-取费表'!S9)</f>
        <v>0</v>
      </c>
      <c r="F9" s="2581" t="s">
        <v>3055</v>
      </c>
    </row>
    <row r="10" spans="1:6">
      <c r="A10" s="2579">
        <f>'数据-取费表'!AN10</f>
        <v>0</v>
      </c>
      <c r="B10" s="2578">
        <f>IF(F10="是",'数据-取费表'!AO10,0)</f>
        <v>0</v>
      </c>
      <c r="C10" s="2569" t="s">
        <v>2519</v>
      </c>
      <c r="D10" s="2572"/>
      <c r="E10" s="2580">
        <f>IF(OR(A10=0,F10="否"),0,'数据-取费表'!K10+'数据-取费表'!S10)</f>
        <v>0</v>
      </c>
      <c r="F10" s="2581" t="s">
        <v>3055</v>
      </c>
    </row>
    <row r="11" spans="1:6">
      <c r="A11" s="2579">
        <f>'数据-取费表'!AN11</f>
        <v>0</v>
      </c>
      <c r="B11" s="2578">
        <f>IF(F11="是",'数据-取费表'!AO11,0)</f>
        <v>0</v>
      </c>
      <c r="C11" s="2569" t="s">
        <v>2519</v>
      </c>
      <c r="D11" s="2572"/>
      <c r="E11" s="2580">
        <f>IF(OR(A11=0,F11="否"),0,'数据-取费表'!K11+'数据-取费表'!S11)</f>
        <v>0</v>
      </c>
      <c r="F11" s="2581" t="s">
        <v>3055</v>
      </c>
    </row>
    <row r="12" spans="1:6">
      <c r="A12" s="2579">
        <f>'数据-取费表'!AN12</f>
        <v>0</v>
      </c>
      <c r="B12" s="2578">
        <f>IF(F12="是",'数据-取费表'!AO12,0)</f>
        <v>0</v>
      </c>
      <c r="C12" s="2569" t="s">
        <v>2519</v>
      </c>
      <c r="D12" s="2572"/>
      <c r="E12" s="2580">
        <f>IF(OR(A12=0,F12="否"),0,'数据-取费表'!K12+'数据-取费表'!S12)</f>
        <v>0</v>
      </c>
      <c r="F12" s="2581" t="s">
        <v>3055</v>
      </c>
    </row>
    <row r="13" spans="1:6" ht="15" thickBot="1">
      <c r="A13" s="2582">
        <f>'数据-取费表'!AN13</f>
        <v>0</v>
      </c>
      <c r="B13" s="2578">
        <f>IF(F13="是",'数据-取费表'!AO13,0)</f>
        <v>0</v>
      </c>
      <c r="C13" s="2583" t="s">
        <v>2519</v>
      </c>
      <c r="D13" s="2584"/>
      <c r="E13" s="2580">
        <f>IF(OR(A13=0,F13="否"),0,'数据-取费表'!K13+'数据-取费表'!S13)</f>
        <v>0</v>
      </c>
      <c r="F13" s="2581" t="s">
        <v>3055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269" t="s">
        <v>1076</v>
      </c>
      <c r="B1" s="3270"/>
      <c r="C1" s="3271"/>
      <c r="D1" s="3272">
        <f>SUM(I10,I15,I20,I21,I23)</f>
        <v>0</v>
      </c>
      <c r="E1" s="3272"/>
      <c r="F1" s="3272"/>
      <c r="G1" s="3272"/>
      <c r="H1" s="3272"/>
      <c r="I1" s="3273"/>
    </row>
    <row r="2" spans="1:9">
      <c r="A2" s="3259" t="s">
        <v>1077</v>
      </c>
      <c r="B2" s="3260" t="s">
        <v>1078</v>
      </c>
      <c r="C2" s="3260"/>
      <c r="D2" s="1304" t="s">
        <v>1079</v>
      </c>
      <c r="E2" s="1304" t="s">
        <v>1080</v>
      </c>
      <c r="F2" s="1304" t="s">
        <v>1081</v>
      </c>
      <c r="G2" s="1304" t="s">
        <v>1082</v>
      </c>
      <c r="H2" s="1304" t="s">
        <v>1083</v>
      </c>
      <c r="I2" s="1305" t="s">
        <v>1084</v>
      </c>
    </row>
    <row r="3" spans="1:9">
      <c r="A3" s="3259"/>
      <c r="B3" s="3260" t="s">
        <v>1085</v>
      </c>
      <c r="C3" s="3260"/>
      <c r="D3" s="1306"/>
      <c r="E3" s="1304"/>
      <c r="F3" s="1307"/>
      <c r="G3" s="1307"/>
      <c r="H3" s="1308"/>
      <c r="I3" s="1309">
        <f>ROUND(D3*E3*F3*G3*H3/10000,0)</f>
        <v>0</v>
      </c>
    </row>
    <row r="4" spans="1:9">
      <c r="A4" s="3259"/>
      <c r="B4" s="3260" t="s">
        <v>1086</v>
      </c>
      <c r="C4" s="3260"/>
      <c r="D4" s="1306"/>
      <c r="E4" s="1304"/>
      <c r="F4" s="1307"/>
      <c r="G4" s="1307"/>
      <c r="H4" s="1308"/>
      <c r="I4" s="1309">
        <f t="shared" ref="I4:I9" si="0">ROUND(D4*E4*F4*G4*H4/10000,0)</f>
        <v>0</v>
      </c>
    </row>
    <row r="5" spans="1:9">
      <c r="A5" s="3259"/>
      <c r="B5" s="3260" t="s">
        <v>1087</v>
      </c>
      <c r="C5" s="3260"/>
      <c r="D5" s="1306"/>
      <c r="E5" s="1304"/>
      <c r="F5" s="1307"/>
      <c r="G5" s="1307"/>
      <c r="H5" s="1308"/>
      <c r="I5" s="1309">
        <f t="shared" si="0"/>
        <v>0</v>
      </c>
    </row>
    <row r="6" spans="1:9">
      <c r="A6" s="3259"/>
      <c r="B6" s="3260" t="s">
        <v>1088</v>
      </c>
      <c r="C6" s="3260"/>
      <c r="D6" s="1306"/>
      <c r="E6" s="1304"/>
      <c r="F6" s="1307"/>
      <c r="G6" s="1307"/>
      <c r="H6" s="1308"/>
      <c r="I6" s="1309">
        <f t="shared" si="0"/>
        <v>0</v>
      </c>
    </row>
    <row r="7" spans="1:9">
      <c r="A7" s="3259"/>
      <c r="B7" s="3260" t="s">
        <v>1089</v>
      </c>
      <c r="C7" s="3260"/>
      <c r="D7" s="1306"/>
      <c r="E7" s="1304"/>
      <c r="F7" s="1307"/>
      <c r="G7" s="1307"/>
      <c r="H7" s="1308"/>
      <c r="I7" s="1309">
        <f t="shared" si="0"/>
        <v>0</v>
      </c>
    </row>
    <row r="8" spans="1:9">
      <c r="A8" s="3259"/>
      <c r="B8" s="3260" t="s">
        <v>1090</v>
      </c>
      <c r="C8" s="3260"/>
      <c r="D8" s="1306"/>
      <c r="E8" s="1304"/>
      <c r="F8" s="1307"/>
      <c r="G8" s="1307"/>
      <c r="H8" s="1308"/>
      <c r="I8" s="1309">
        <f t="shared" si="0"/>
        <v>0</v>
      </c>
    </row>
    <row r="9" spans="1:9">
      <c r="A9" s="3259"/>
      <c r="B9" s="3260" t="s">
        <v>1091</v>
      </c>
      <c r="C9" s="3260"/>
      <c r="D9" s="1306"/>
      <c r="E9" s="1304"/>
      <c r="F9" s="1307"/>
      <c r="G9" s="1307"/>
      <c r="H9" s="1308"/>
      <c r="I9" s="1309">
        <f t="shared" si="0"/>
        <v>0</v>
      </c>
    </row>
    <row r="10" spans="1:9">
      <c r="A10" s="3259"/>
      <c r="B10" s="3261" t="s">
        <v>1092</v>
      </c>
      <c r="C10" s="3261"/>
      <c r="D10" s="1310"/>
      <c r="E10" s="1310" t="e">
        <f>ROUND(D1*10000/D10/H9,0)</f>
        <v>#DIV/0!</v>
      </c>
      <c r="F10" s="1311"/>
      <c r="G10" s="1311"/>
      <c r="H10" s="1312"/>
      <c r="I10" s="1313">
        <f>SUM(I3:I9)</f>
        <v>0</v>
      </c>
    </row>
    <row r="11" spans="1:9" ht="14.25">
      <c r="A11" s="3259" t="s">
        <v>1093</v>
      </c>
      <c r="B11" s="3260" t="s">
        <v>1094</v>
      </c>
      <c r="C11" s="3260"/>
      <c r="D11" s="1306" t="s">
        <v>1095</v>
      </c>
      <c r="E11" s="1306" t="s">
        <v>1096</v>
      </c>
      <c r="F11" s="1307" t="s">
        <v>1097</v>
      </c>
      <c r="G11" s="1307" t="s">
        <v>1083</v>
      </c>
      <c r="H11" s="1314" t="s">
        <v>1098</v>
      </c>
      <c r="I11" s="1305" t="s">
        <v>1084</v>
      </c>
    </row>
    <row r="12" spans="1:9">
      <c r="A12" s="3259"/>
      <c r="B12" s="3260" t="s">
        <v>1099</v>
      </c>
      <c r="C12" s="3260"/>
      <c r="D12" s="1306"/>
      <c r="E12" s="1306"/>
      <c r="F12" s="1307"/>
      <c r="G12" s="1308"/>
      <c r="H12" s="1315"/>
      <c r="I12" s="1305">
        <f>ROUND(D12*E12*F12*G12/10000,0)</f>
        <v>0</v>
      </c>
    </row>
    <row r="13" spans="1:9">
      <c r="A13" s="3259"/>
      <c r="B13" s="3260" t="s">
        <v>1100</v>
      </c>
      <c r="C13" s="3260"/>
      <c r="D13" s="1306"/>
      <c r="E13" s="1306"/>
      <c r="F13" s="1307"/>
      <c r="G13" s="1308"/>
      <c r="H13" s="1315"/>
      <c r="I13" s="1305">
        <f>ROUND(D13*E13*F13*G13/10000,0)</f>
        <v>0</v>
      </c>
    </row>
    <row r="14" spans="1:9">
      <c r="A14" s="3259"/>
      <c r="B14" s="3260" t="s">
        <v>1101</v>
      </c>
      <c r="C14" s="3260"/>
      <c r="D14" s="1306"/>
      <c r="E14" s="1306"/>
      <c r="F14" s="1307"/>
      <c r="G14" s="1308"/>
      <c r="H14" s="1315"/>
      <c r="I14" s="1305">
        <f>ROUND(D14*E14*F14*G14/10000,0)</f>
        <v>0</v>
      </c>
    </row>
    <row r="15" spans="1:9">
      <c r="A15" s="3259"/>
      <c r="B15" s="3261" t="s">
        <v>1092</v>
      </c>
      <c r="C15" s="3261"/>
      <c r="D15" s="1310"/>
      <c r="E15" s="1310">
        <f>SUM(E12:E14)</f>
        <v>0</v>
      </c>
      <c r="F15" s="1311"/>
      <c r="G15" s="1308"/>
      <c r="H15" s="1315"/>
      <c r="I15" s="1316">
        <f>SUM(I12:I14)</f>
        <v>0</v>
      </c>
    </row>
    <row r="16" spans="1:9" ht="24">
      <c r="A16" s="3259" t="s">
        <v>1102</v>
      </c>
      <c r="B16" s="3260" t="s">
        <v>1103</v>
      </c>
      <c r="C16" s="3260"/>
      <c r="D16" s="1306" t="s">
        <v>1079</v>
      </c>
      <c r="E16" s="1317" t="s">
        <v>1104</v>
      </c>
      <c r="F16" s="1307" t="s">
        <v>1105</v>
      </c>
      <c r="G16" s="1308" t="s">
        <v>1083</v>
      </c>
      <c r="H16" s="1314" t="s">
        <v>1098</v>
      </c>
      <c r="I16" s="1305" t="s">
        <v>1084</v>
      </c>
    </row>
    <row r="17" spans="1:9" ht="14.25">
      <c r="A17" s="3259"/>
      <c r="B17" s="3260" t="s">
        <v>1106</v>
      </c>
      <c r="C17" s="3260"/>
      <c r="D17" s="1306"/>
      <c r="E17" s="1306"/>
      <c r="F17" s="1307"/>
      <c r="G17" s="1308"/>
      <c r="H17" s="1318"/>
      <c r="I17" s="1319">
        <f>ROUND(D17*E17*F17*G17/10000,0)</f>
        <v>0</v>
      </c>
    </row>
    <row r="18" spans="1:9" ht="14.25">
      <c r="A18" s="3259"/>
      <c r="B18" s="3260" t="s">
        <v>1107</v>
      </c>
      <c r="C18" s="3260"/>
      <c r="D18" s="1306"/>
      <c r="E18" s="1306"/>
      <c r="F18" s="1307"/>
      <c r="G18" s="1308"/>
      <c r="H18" s="1318"/>
      <c r="I18" s="1319">
        <f>ROUND(D18*E18*F18*G18/10000,0)</f>
        <v>0</v>
      </c>
    </row>
    <row r="19" spans="1:9" ht="14.25">
      <c r="A19" s="3259"/>
      <c r="B19" s="3260" t="s">
        <v>1108</v>
      </c>
      <c r="C19" s="3260"/>
      <c r="D19" s="1306"/>
      <c r="E19" s="1306"/>
      <c r="F19" s="1307"/>
      <c r="G19" s="1308"/>
      <c r="H19" s="1318"/>
      <c r="I19" s="1319">
        <f>ROUND(D19*E19*F19*G19/10000,0)</f>
        <v>0</v>
      </c>
    </row>
    <row r="20" spans="1:9">
      <c r="A20" s="3259"/>
      <c r="B20" s="3261" t="s">
        <v>1092</v>
      </c>
      <c r="C20" s="3261"/>
      <c r="D20" s="1310">
        <f>SUM(D17:D19)</f>
        <v>0</v>
      </c>
      <c r="E20" s="1310"/>
      <c r="F20" s="1311"/>
      <c r="G20" s="1308"/>
      <c r="H20" s="1315"/>
      <c r="I20" s="1316">
        <f>SUM(I17:I19)</f>
        <v>0</v>
      </c>
    </row>
    <row r="21" spans="1:9">
      <c r="A21" s="3259" t="s">
        <v>1109</v>
      </c>
      <c r="B21" s="3262"/>
      <c r="C21" s="3262"/>
      <c r="D21" s="3262"/>
      <c r="E21" s="3262"/>
      <c r="F21" s="3262"/>
      <c r="G21" s="3262"/>
      <c r="H21" s="1767">
        <v>0.1</v>
      </c>
      <c r="I21" s="1313">
        <f>ROUND(I10*H21,0)</f>
        <v>0</v>
      </c>
    </row>
    <row r="22" spans="1:9" ht="14.25">
      <c r="A22" s="3263" t="s">
        <v>1110</v>
      </c>
      <c r="B22" s="3264"/>
      <c r="C22" s="3265"/>
      <c r="D22" s="1320" t="s">
        <v>1111</v>
      </c>
      <c r="E22" s="1320" t="s">
        <v>1112</v>
      </c>
      <c r="F22" s="1321" t="s">
        <v>1113</v>
      </c>
      <c r="G22" s="1321" t="s">
        <v>1114</v>
      </c>
      <c r="H22" s="1314" t="s">
        <v>1115</v>
      </c>
      <c r="I22" s="1305" t="s">
        <v>1116</v>
      </c>
    </row>
    <row r="23" spans="1:9" ht="14.25" thickBot="1">
      <c r="A23" s="3266"/>
      <c r="B23" s="3267"/>
      <c r="C23" s="3268"/>
      <c r="D23" s="1322"/>
      <c r="E23" s="1322"/>
      <c r="F23" s="1322"/>
      <c r="G23" s="1323"/>
      <c r="H23" s="1324"/>
      <c r="I23" s="1325">
        <f>ROUND(E23*D23*F23*(1-G23)/10000,0)</f>
        <v>0</v>
      </c>
    </row>
    <row r="26" spans="1:9">
      <c r="A26" s="1326" t="s">
        <v>1117</v>
      </c>
      <c r="B26" s="1326"/>
      <c r="C26" s="1326"/>
      <c r="D26" s="1326"/>
      <c r="E26" s="3256">
        <f>C27-C30-C31-C32</f>
        <v>0</v>
      </c>
      <c r="F26" s="3256"/>
      <c r="G26" s="3256"/>
      <c r="H26" s="1739" t="s">
        <v>1339</v>
      </c>
    </row>
    <row r="27" spans="1:9">
      <c r="A27" s="1327">
        <v>1</v>
      </c>
      <c r="B27" s="1328" t="s">
        <v>1118</v>
      </c>
      <c r="C27" s="1328">
        <f>C28+C29</f>
        <v>0</v>
      </c>
      <c r="D27" s="1328"/>
      <c r="E27" s="3257"/>
      <c r="F27" s="3257"/>
      <c r="G27" s="3257"/>
    </row>
    <row r="28" spans="1:9">
      <c r="A28" s="1329" t="s">
        <v>1119</v>
      </c>
      <c r="B28" s="1328" t="s">
        <v>1120</v>
      </c>
      <c r="C28" s="1328"/>
      <c r="D28" s="1328"/>
      <c r="E28" s="3257"/>
      <c r="F28" s="3257"/>
      <c r="G28" s="32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8"/>
      <c r="F32" s="3258"/>
      <c r="G32" s="3258"/>
    </row>
    <row r="33" spans="1:7" hidden="1">
      <c r="A33" s="3253" t="s">
        <v>1129</v>
      </c>
      <c r="B33" s="3254"/>
      <c r="C33" s="3254"/>
      <c r="D33" s="3255"/>
      <c r="E33" s="3256"/>
      <c r="F33" s="3256"/>
      <c r="G33" s="3256"/>
    </row>
    <row r="34" spans="1:7" hidden="1">
      <c r="A34" s="1331">
        <v>1</v>
      </c>
      <c r="B34" s="1328" t="s">
        <v>1130</v>
      </c>
      <c r="C34" s="1328"/>
      <c r="D34" s="1328"/>
      <c r="E34" s="3257"/>
      <c r="F34" s="3257"/>
      <c r="G34" s="3257"/>
    </row>
    <row r="35" spans="1:7" hidden="1">
      <c r="A35" s="1331">
        <v>2</v>
      </c>
      <c r="B35" s="1328" t="s">
        <v>1131</v>
      </c>
      <c r="C35" s="1328"/>
      <c r="D35" s="1328"/>
      <c r="E35" s="3257"/>
      <c r="F35" s="3257"/>
      <c r="G35" s="3257"/>
    </row>
    <row r="36" spans="1:7" hidden="1">
      <c r="A36" s="1331">
        <v>3</v>
      </c>
      <c r="B36" s="1328" t="s">
        <v>1132</v>
      </c>
      <c r="C36" s="1328"/>
      <c r="D36" s="1328"/>
      <c r="E36" s="3257"/>
      <c r="F36" s="3257"/>
      <c r="G36" s="3257"/>
    </row>
    <row r="37" spans="1:7" hidden="1">
      <c r="A37" s="1331">
        <v>4</v>
      </c>
      <c r="B37" s="1328" t="s">
        <v>1133</v>
      </c>
      <c r="C37" s="1328"/>
      <c r="D37" s="1328"/>
      <c r="E37" s="3257"/>
      <c r="F37" s="3257"/>
      <c r="G37" s="3257"/>
    </row>
    <row r="38" spans="1:7" hidden="1">
      <c r="A38" s="3253" t="s">
        <v>1134</v>
      </c>
      <c r="B38" s="3254"/>
      <c r="C38" s="3254"/>
      <c r="D38" s="3255"/>
      <c r="E38" s="3256"/>
      <c r="F38" s="3256"/>
      <c r="G38" s="32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远邦控股集团有限公司：</v>
      </c>
    </row>
    <row r="4" spans="1:1" ht="36">
      <c r="A4" s="1950" t="str">
        <f>"受贵公司委托，我公司对"&amp;项目基本情况!S1&amp;"进行了预评估。"</f>
        <v>受贵公司委托，我公司对北京市丰台区南顶村58号楼-1至5层配套用房房地产抵押价值进行了预评估。</v>
      </c>
    </row>
    <row r="5" spans="1:1" ht="18.75">
      <c r="A5" s="1951" t="s">
        <v>1611</v>
      </c>
    </row>
    <row r="6" spans="1:1" ht="18.75">
      <c r="A6" s="1952" t="s">
        <v>1612</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顶村58号楼-1至5层配套用房房地产，为所有。根据《国有土地使用证》[京丰国用（2014出）第00178号]，估价对象（分摊）出让国有建设用地使用权面积为0平方米，建筑面积为5121.38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顶村58号楼-1至5层配套用房房地产,为开发建设的商业项目，该项目尚在开发建设中。根据《国有土地使用证》[京丰国用（2014出）第00178号]，估价对象（分摊）出让国有建设用地使用权面积为0平方米，规划建筑面积为5121.38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为估价委托人在向渤海银行北京分行办理贷款手续过程中，确定房地产抵押贷款额度提供参考依据而评估房地产抵押价值。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2018年7月12日（评估专业人员实地查勘之日）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12日，估价对象规划用途为商业、地下商业，土地取得方式为出让，出让国有建设用地使用权剩余土地使用年限为商业、地下商业25.46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实际开发程度为宗地红线外“七通”（即通路、通电、通讯、通上水、通下水、燃气、）、红线内场地平整条件下，剩余土地使用年限为商业、地下商业25.46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2" sqref="F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5" t="s">
        <v>2529</v>
      </c>
      <c r="C1" s="1636" t="s">
        <v>2530</v>
      </c>
      <c r="D1" s="1623"/>
      <c r="E1" s="2586"/>
      <c r="F1" s="2587" t="s">
        <v>2531</v>
      </c>
      <c r="G1" s="1633" t="s">
        <v>2532</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1393</v>
      </c>
      <c r="B2" s="1421" t="e">
        <f ca="1">IF(C2="——",ROUND(C49*D3/10000,0),ROUND(C49*D3/10000,0)-D2)</f>
        <v>#DIV/0!</v>
      </c>
      <c r="C2" s="2589"/>
      <c r="D2" s="1368" t="e">
        <f ca="1">SUMIF(INDIRECT("'"&amp;F2&amp;"'"&amp;"!A:A"),"承租人权益价值",INDIRECT("'"&amp;F2&amp;"'"&amp;"!c:c"))</f>
        <v>#REF!</v>
      </c>
      <c r="E2" s="2590" t="s">
        <v>2533</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2534</v>
      </c>
      <c r="D3" s="399">
        <f>IF(D1="",'数据-汇总表'!E3,SUMIF('数据-汇总表'!$C19:$C33,D1,'数据-汇总表'!$E19:$E33))</f>
        <v>5121.38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2535</v>
      </c>
      <c r="B4" s="402"/>
      <c r="C4" s="3205" t="s">
        <v>2536</v>
      </c>
      <c r="D4" s="3218"/>
      <c r="E4" s="3219" t="s">
        <v>2537</v>
      </c>
      <c r="F4" s="3220"/>
      <c r="G4" s="3205" t="s">
        <v>2538</v>
      </c>
      <c r="H4" s="3218"/>
      <c r="I4" s="3205" t="s">
        <v>2539</v>
      </c>
      <c r="J4" s="3218"/>
      <c r="K4" s="2599" t="s">
        <v>2540</v>
      </c>
      <c r="L4" s="1133"/>
      <c r="M4" s="1134"/>
      <c r="N4" s="1134"/>
      <c r="O4" s="1134"/>
      <c r="P4" s="3221" t="s">
        <v>2541</v>
      </c>
      <c r="Q4" s="3222"/>
      <c r="R4" s="3227" t="s">
        <v>2537</v>
      </c>
      <c r="S4" s="3228"/>
      <c r="T4" s="3227" t="s">
        <v>2538</v>
      </c>
      <c r="U4" s="3228"/>
      <c r="V4" s="3214" t="s">
        <v>2539</v>
      </c>
      <c r="W4" s="3214"/>
      <c r="X4" s="1815"/>
      <c r="Y4" s="3227" t="s">
        <v>2541</v>
      </c>
      <c r="Z4" s="3228"/>
      <c r="AA4" s="3215" t="s">
        <v>2537</v>
      </c>
      <c r="AB4" s="3215" t="s">
        <v>2538</v>
      </c>
      <c r="AC4" s="3215" t="s">
        <v>2539</v>
      </c>
    </row>
    <row r="5" spans="1:29" ht="15">
      <c r="A5" s="404"/>
      <c r="B5" s="405"/>
      <c r="C5" s="3235" t="s">
        <v>2542</v>
      </c>
      <c r="D5" s="3236"/>
      <c r="E5" s="3242" t="s">
        <v>2543</v>
      </c>
      <c r="F5" s="3243"/>
      <c r="G5" s="3235" t="s">
        <v>2544</v>
      </c>
      <c r="H5" s="3236"/>
      <c r="I5" s="3235" t="s">
        <v>2545</v>
      </c>
      <c r="J5" s="3236"/>
      <c r="K5" s="2600"/>
      <c r="L5" s="1133"/>
      <c r="M5" s="1134"/>
      <c r="N5" s="1134"/>
      <c r="O5" s="1134"/>
      <c r="P5" s="3223"/>
      <c r="Q5" s="3224"/>
      <c r="R5" s="3229"/>
      <c r="S5" s="3230"/>
      <c r="T5" s="3229"/>
      <c r="U5" s="3230"/>
      <c r="V5" s="3214"/>
      <c r="W5" s="3214"/>
      <c r="X5" s="1815"/>
      <c r="Y5" s="3229"/>
      <c r="Z5" s="3230"/>
      <c r="AA5" s="3216"/>
      <c r="AB5" s="3216"/>
      <c r="AC5" s="3216"/>
    </row>
    <row r="6" spans="1:29" ht="15.75" thickBot="1">
      <c r="A6" s="406"/>
      <c r="B6" s="407"/>
      <c r="C6" s="3233" t="s">
        <v>2546</v>
      </c>
      <c r="D6" s="3234"/>
      <c r="E6" s="3240" t="s">
        <v>2546</v>
      </c>
      <c r="F6" s="3241"/>
      <c r="G6" s="3233" t="s">
        <v>2546</v>
      </c>
      <c r="H6" s="3234"/>
      <c r="I6" s="3233" t="s">
        <v>2546</v>
      </c>
      <c r="J6" s="3234"/>
      <c r="K6" s="2600" t="s">
        <v>2547</v>
      </c>
      <c r="L6" s="1133"/>
      <c r="M6" s="1134"/>
      <c r="N6" s="1134"/>
      <c r="O6" s="1134"/>
      <c r="P6" s="3225"/>
      <c r="Q6" s="3226"/>
      <c r="R6" s="3229"/>
      <c r="S6" s="3230"/>
      <c r="T6" s="3231"/>
      <c r="U6" s="3232"/>
      <c r="V6" s="3214"/>
      <c r="W6" s="3214"/>
      <c r="X6" s="1815"/>
      <c r="Y6" s="3231"/>
      <c r="Z6" s="3232"/>
      <c r="AA6" s="3217"/>
      <c r="AB6" s="3217"/>
      <c r="AC6" s="3217"/>
    </row>
    <row r="7" spans="1:29" s="117" customFormat="1" ht="15.75" thickBot="1">
      <c r="A7" s="408" t="s">
        <v>2548</v>
      </c>
      <c r="B7" s="409"/>
      <c r="C7" s="410">
        <f>'数据-取费表'!B2</f>
        <v>43293</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7" t="s">
        <v>2549</v>
      </c>
      <c r="Q7" s="3239"/>
      <c r="R7" s="770" t="s">
        <v>23</v>
      </c>
      <c r="S7" s="771">
        <f t="shared" ref="S7:S15" si="0">F7</f>
        <v>0</v>
      </c>
      <c r="T7" s="770" t="s">
        <v>23</v>
      </c>
      <c r="U7" s="771">
        <f t="shared" ref="U7:U15" si="1">H7</f>
        <v>0</v>
      </c>
      <c r="V7" s="770" t="s">
        <v>23</v>
      </c>
      <c r="W7" s="771">
        <f t="shared" ref="W7:W15" si="2">J7</f>
        <v>0</v>
      </c>
      <c r="X7" s="772"/>
      <c r="Y7" s="3237" t="s">
        <v>2549</v>
      </c>
      <c r="Z7" s="3238"/>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7" t="s">
        <v>2552</v>
      </c>
      <c r="Q8" s="3238"/>
      <c r="R8" s="770" t="s">
        <v>23</v>
      </c>
      <c r="S8" s="771">
        <f t="shared" si="0"/>
        <v>0</v>
      </c>
      <c r="T8" s="770" t="s">
        <v>23</v>
      </c>
      <c r="U8" s="771">
        <f t="shared" si="1"/>
        <v>0</v>
      </c>
      <c r="V8" s="770" t="s">
        <v>23</v>
      </c>
      <c r="W8" s="771">
        <f t="shared" si="2"/>
        <v>0</v>
      </c>
      <c r="X8" s="772"/>
      <c r="Y8" s="3237" t="s">
        <v>2552</v>
      </c>
      <c r="Z8" s="3238"/>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7" t="s">
        <v>2555</v>
      </c>
      <c r="Q9" s="179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7"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7"/>
      <c r="Q12" s="1797">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7"/>
      <c r="Q13" s="1797">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7"/>
      <c r="Q14" s="1797">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2559</v>
      </c>
      <c r="B15" s="69" t="s">
        <v>2086</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0" t="s">
        <v>2560</v>
      </c>
      <c r="Q15" s="1812" t="str">
        <f t="shared" si="6"/>
        <v>居住社区成熟度</v>
      </c>
      <c r="R15" s="774" t="s">
        <v>21</v>
      </c>
      <c r="S15" s="775">
        <f t="shared" si="0"/>
        <v>100</v>
      </c>
      <c r="T15" s="774" t="s">
        <v>21</v>
      </c>
      <c r="U15" s="775">
        <f t="shared" si="1"/>
        <v>100</v>
      </c>
      <c r="V15" s="774" t="s">
        <v>21</v>
      </c>
      <c r="W15" s="775">
        <f t="shared" si="2"/>
        <v>100</v>
      </c>
      <c r="X15" s="1815"/>
      <c r="Y15" s="3210" t="s">
        <v>2560</v>
      </c>
      <c r="Z15" s="1816" t="str">
        <f t="shared" si="7"/>
        <v>居住社区成熟度</v>
      </c>
      <c r="AA15" s="1813">
        <f t="shared" si="3"/>
        <v>1</v>
      </c>
      <c r="AB15" s="1813">
        <f t="shared" si="4"/>
        <v>1</v>
      </c>
      <c r="AC15" s="1813">
        <f t="shared" si="5"/>
        <v>1</v>
      </c>
    </row>
    <row r="16" spans="1:29" ht="15">
      <c r="A16" s="428"/>
      <c r="B16" s="446"/>
      <c r="C16" s="447"/>
      <c r="D16" s="448"/>
      <c r="E16" s="2607"/>
      <c r="F16" s="448"/>
      <c r="G16" s="2608"/>
      <c r="H16" s="450"/>
      <c r="I16" s="2608"/>
      <c r="J16" s="448"/>
      <c r="K16" s="2609"/>
      <c r="L16" s="1143"/>
      <c r="M16" s="1134"/>
      <c r="N16" s="1134"/>
      <c r="O16" s="1134"/>
      <c r="P16" s="3281"/>
      <c r="Q16" s="1812"/>
      <c r="R16" s="774"/>
      <c r="S16" s="775"/>
      <c r="T16" s="774"/>
      <c r="U16" s="775"/>
      <c r="V16" s="774"/>
      <c r="W16" s="775"/>
      <c r="X16" s="1815"/>
      <c r="Y16" s="3211"/>
      <c r="Z16" s="1816"/>
      <c r="AA16" s="1813">
        <v>1</v>
      </c>
      <c r="AB16" s="1813">
        <v>1</v>
      </c>
      <c r="AC16" s="1813">
        <v>1</v>
      </c>
    </row>
    <row r="17" spans="1:29" ht="114">
      <c r="A17" s="428"/>
      <c r="B17" s="451" t="s">
        <v>2097</v>
      </c>
      <c r="C17" s="2610" t="str">
        <f>估价对象房地状况!C6</f>
        <v>估价对象周边道路状况、公共交通通达情况：地铁10号线及71、511路等公交车、停车便捷程度，综合评价交通便捷度较好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1"/>
      <c r="Q17" s="1812" t="str">
        <f>B17</f>
        <v>交通便捷度</v>
      </c>
      <c r="R17" s="774" t="s">
        <v>21</v>
      </c>
      <c r="S17" s="775">
        <f>F17</f>
        <v>100</v>
      </c>
      <c r="T17" s="774" t="s">
        <v>21</v>
      </c>
      <c r="U17" s="775">
        <f>H17</f>
        <v>100</v>
      </c>
      <c r="V17" s="774" t="s">
        <v>21</v>
      </c>
      <c r="W17" s="775">
        <f>J17</f>
        <v>100</v>
      </c>
      <c r="X17" s="1815"/>
      <c r="Y17" s="3211"/>
      <c r="Z17" s="1816" t="str">
        <f>Q17</f>
        <v>交通便捷度</v>
      </c>
      <c r="AA17" s="1813">
        <f t="shared" si="3"/>
        <v>1</v>
      </c>
      <c r="AB17" s="1813">
        <f t="shared" si="4"/>
        <v>1</v>
      </c>
      <c r="AC17" s="1813">
        <f t="shared" si="5"/>
        <v>1</v>
      </c>
    </row>
    <row r="18" spans="1:29" ht="15">
      <c r="A18" s="428"/>
      <c r="B18" s="456"/>
      <c r="C18" s="2611"/>
      <c r="D18" s="450"/>
      <c r="E18" s="2612"/>
      <c r="F18" s="450"/>
      <c r="G18" s="2613"/>
      <c r="H18" s="448"/>
      <c r="I18" s="2613"/>
      <c r="J18" s="448"/>
      <c r="K18" s="2609"/>
      <c r="L18" s="1143"/>
      <c r="M18" s="1134"/>
      <c r="N18" s="1134"/>
      <c r="O18" s="1134"/>
      <c r="P18" s="3281"/>
      <c r="Q18" s="1812"/>
      <c r="R18" s="774"/>
      <c r="S18" s="775"/>
      <c r="T18" s="774"/>
      <c r="U18" s="775"/>
      <c r="V18" s="774"/>
      <c r="W18" s="775"/>
      <c r="X18" s="1815"/>
      <c r="Y18" s="3211"/>
      <c r="Z18" s="1816"/>
      <c r="AA18" s="1813">
        <v>1</v>
      </c>
      <c r="AB18" s="1813">
        <v>1</v>
      </c>
      <c r="AC18" s="1813">
        <v>1</v>
      </c>
    </row>
    <row r="19" spans="1:29" ht="42.75">
      <c r="A19" s="428"/>
      <c r="B19" s="451" t="s">
        <v>2095</v>
      </c>
      <c r="C19" s="2610"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1"/>
      <c r="Q19" s="1812" t="str">
        <f>B19</f>
        <v>公共配套设施</v>
      </c>
      <c r="R19" s="774" t="s">
        <v>21</v>
      </c>
      <c r="S19" s="775">
        <f>F19</f>
        <v>100</v>
      </c>
      <c r="T19" s="774" t="s">
        <v>21</v>
      </c>
      <c r="U19" s="775">
        <f>H19</f>
        <v>100</v>
      </c>
      <c r="V19" s="774" t="s">
        <v>21</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7"/>
      <c r="F20" s="448"/>
      <c r="G20" s="2608"/>
      <c r="H20" s="448"/>
      <c r="I20" s="2608"/>
      <c r="J20" s="448"/>
      <c r="K20" s="2609"/>
      <c r="L20" s="1143"/>
      <c r="M20" s="1134"/>
      <c r="N20" s="1134"/>
      <c r="O20" s="1134"/>
      <c r="P20" s="3281"/>
      <c r="Q20" s="1812"/>
      <c r="R20" s="774"/>
      <c r="S20" s="775"/>
      <c r="T20" s="774"/>
      <c r="U20" s="775"/>
      <c r="V20" s="774"/>
      <c r="W20" s="775"/>
      <c r="X20" s="1815"/>
      <c r="Y20" s="3211"/>
      <c r="Z20" s="1816"/>
      <c r="AA20" s="1813">
        <v>1</v>
      </c>
      <c r="AB20" s="1813">
        <v>1</v>
      </c>
      <c r="AC20" s="1813">
        <v>1</v>
      </c>
    </row>
    <row r="21" spans="1:29" ht="42.75">
      <c r="A21" s="428"/>
      <c r="B21" s="1387" t="s">
        <v>2098</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1"/>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8"/>
      <c r="G22" s="2614"/>
      <c r="H22" s="448"/>
      <c r="I22" s="447"/>
      <c r="J22" s="448"/>
      <c r="K22" s="2615"/>
      <c r="L22" s="1143"/>
      <c r="M22" s="1134"/>
      <c r="N22" s="1134"/>
      <c r="O22" s="1134"/>
      <c r="P22" s="3281"/>
      <c r="Q22" s="1812"/>
      <c r="R22" s="774"/>
      <c r="S22" s="775"/>
      <c r="T22" s="774"/>
      <c r="U22" s="775"/>
      <c r="V22" s="774"/>
      <c r="W22" s="775"/>
      <c r="X22" s="1815"/>
      <c r="Y22" s="3211"/>
      <c r="Z22" s="1816"/>
      <c r="AA22" s="1813">
        <v>1</v>
      </c>
      <c r="AB22" s="1813">
        <v>1</v>
      </c>
      <c r="AC22" s="1813">
        <v>1</v>
      </c>
    </row>
    <row r="23" spans="1:29" ht="57">
      <c r="A23" s="428"/>
      <c r="B23" s="451" t="s">
        <v>2102</v>
      </c>
      <c r="C23" s="2610" t="str">
        <f>估价对象房地状况!C9</f>
        <v>区域自然环境：福海公园；人文环境；综合评价环境状况一般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1"/>
      <c r="Q23" s="1812" t="str">
        <f>B23</f>
        <v>自然及人文环境</v>
      </c>
      <c r="R23" s="774" t="s">
        <v>21</v>
      </c>
      <c r="S23" s="775">
        <f>F23</f>
        <v>100</v>
      </c>
      <c r="T23" s="774" t="s">
        <v>21</v>
      </c>
      <c r="U23" s="775">
        <f>H23</f>
        <v>100</v>
      </c>
      <c r="V23" s="774" t="s">
        <v>21</v>
      </c>
      <c r="W23" s="775">
        <f>J23</f>
        <v>100</v>
      </c>
      <c r="X23" s="1815"/>
      <c r="Y23" s="3211"/>
      <c r="Z23" s="1816" t="str">
        <f>Q23</f>
        <v>自然及人文环境</v>
      </c>
      <c r="AA23" s="1813">
        <f>D23/F23</f>
        <v>1</v>
      </c>
      <c r="AB23" s="1813">
        <f>D23/H23</f>
        <v>1</v>
      </c>
      <c r="AC23" s="1813">
        <f>D23/J23</f>
        <v>1</v>
      </c>
    </row>
    <row r="24" spans="1:29" ht="15">
      <c r="A24" s="428"/>
      <c r="B24" s="456"/>
      <c r="C24" s="447"/>
      <c r="D24" s="448"/>
      <c r="E24" s="2607"/>
      <c r="F24" s="448"/>
      <c r="G24" s="2608"/>
      <c r="H24" s="448"/>
      <c r="I24" s="2608"/>
      <c r="J24" s="448"/>
      <c r="K24" s="2609"/>
      <c r="L24" s="1143"/>
      <c r="M24" s="1134"/>
      <c r="N24" s="1134"/>
      <c r="O24" s="1134"/>
      <c r="P24" s="3281"/>
      <c r="Q24" s="1812"/>
      <c r="R24" s="774"/>
      <c r="S24" s="775"/>
      <c r="T24" s="774"/>
      <c r="U24" s="775"/>
      <c r="V24" s="774"/>
      <c r="W24" s="775"/>
      <c r="X24" s="1815"/>
      <c r="Y24" s="3211"/>
      <c r="Z24" s="1816"/>
      <c r="AA24" s="1813">
        <v>1</v>
      </c>
      <c r="AB24" s="1813">
        <v>1</v>
      </c>
      <c r="AC24" s="1813">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8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1"/>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81"/>
      <c r="Q26" s="1812" t="str">
        <f t="shared" si="11"/>
        <v>朝向</v>
      </c>
      <c r="R26" s="774" t="s">
        <v>21</v>
      </c>
      <c r="S26" s="775">
        <f t="shared" si="12"/>
        <v>100</v>
      </c>
      <c r="T26" s="774" t="s">
        <v>21</v>
      </c>
      <c r="U26" s="775">
        <f t="shared" si="13"/>
        <v>100</v>
      </c>
      <c r="V26" s="774" t="s">
        <v>21</v>
      </c>
      <c r="W26" s="775">
        <f t="shared" si="14"/>
        <v>100</v>
      </c>
      <c r="X26" s="1815"/>
      <c r="Y26" s="321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81"/>
      <c r="Q27" s="1797">
        <f t="shared" si="11"/>
        <v>111</v>
      </c>
      <c r="R27" s="770" t="s">
        <v>21</v>
      </c>
      <c r="S27" s="771">
        <f t="shared" si="12"/>
        <v>100</v>
      </c>
      <c r="T27" s="770" t="s">
        <v>21</v>
      </c>
      <c r="U27" s="771">
        <f t="shared" si="13"/>
        <v>100</v>
      </c>
      <c r="V27" s="770" t="s">
        <v>21</v>
      </c>
      <c r="W27" s="771">
        <f t="shared" si="14"/>
        <v>100</v>
      </c>
      <c r="X27" s="772"/>
      <c r="Y27" s="321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81"/>
      <c r="Q28" s="1812">
        <f t="shared" si="11"/>
        <v>111</v>
      </c>
      <c r="R28" s="774" t="s">
        <v>21</v>
      </c>
      <c r="S28" s="775">
        <f t="shared" si="12"/>
        <v>100</v>
      </c>
      <c r="T28" s="774" t="s">
        <v>21</v>
      </c>
      <c r="U28" s="775">
        <f t="shared" si="13"/>
        <v>100</v>
      </c>
      <c r="V28" s="774" t="s">
        <v>21</v>
      </c>
      <c r="W28" s="775">
        <f t="shared" si="14"/>
        <v>100</v>
      </c>
      <c r="X28" s="1815"/>
      <c r="Y28" s="321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81"/>
      <c r="Q29" s="1812">
        <f t="shared" si="11"/>
        <v>111</v>
      </c>
      <c r="R29" s="774" t="s">
        <v>21</v>
      </c>
      <c r="S29" s="775">
        <f t="shared" si="12"/>
        <v>100</v>
      </c>
      <c r="T29" s="774" t="s">
        <v>21</v>
      </c>
      <c r="U29" s="775">
        <f t="shared" si="13"/>
        <v>100</v>
      </c>
      <c r="V29" s="774" t="s">
        <v>21</v>
      </c>
      <c r="W29" s="775">
        <f t="shared" si="14"/>
        <v>100</v>
      </c>
      <c r="X29" s="1815"/>
      <c r="Y29" s="321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81"/>
      <c r="Q30" s="1812">
        <f t="shared" si="11"/>
        <v>111</v>
      </c>
      <c r="R30" s="774" t="s">
        <v>21</v>
      </c>
      <c r="S30" s="775">
        <f t="shared" si="12"/>
        <v>100</v>
      </c>
      <c r="T30" s="774" t="s">
        <v>21</v>
      </c>
      <c r="U30" s="775">
        <f t="shared" si="13"/>
        <v>100</v>
      </c>
      <c r="V30" s="774" t="s">
        <v>21</v>
      </c>
      <c r="W30" s="775">
        <f t="shared" si="14"/>
        <v>100</v>
      </c>
      <c r="X30" s="1815"/>
      <c r="Y30" s="3211"/>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81"/>
      <c r="Q31" s="1812">
        <f t="shared" si="11"/>
        <v>111</v>
      </c>
      <c r="R31" s="774" t="s">
        <v>21</v>
      </c>
      <c r="S31" s="775">
        <f t="shared" si="12"/>
        <v>100</v>
      </c>
      <c r="T31" s="774" t="s">
        <v>21</v>
      </c>
      <c r="U31" s="775">
        <f t="shared" si="13"/>
        <v>100</v>
      </c>
      <c r="V31" s="774" t="s">
        <v>21</v>
      </c>
      <c r="W31" s="775">
        <f t="shared" si="14"/>
        <v>100</v>
      </c>
      <c r="X31" s="1815"/>
      <c r="Y31" s="3211"/>
      <c r="Z31" s="1816">
        <f t="shared" si="18"/>
        <v>111</v>
      </c>
      <c r="AA31" s="1813">
        <f t="shared" si="15"/>
        <v>1</v>
      </c>
      <c r="AB31" s="1813">
        <f t="shared" si="16"/>
        <v>1</v>
      </c>
      <c r="AC31" s="1813">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76" t="s">
        <v>2565</v>
      </c>
      <c r="Q32" s="1812" t="str">
        <f t="shared" si="11"/>
        <v>建筑类型</v>
      </c>
      <c r="R32" s="774" t="s">
        <v>21</v>
      </c>
      <c r="S32" s="775">
        <f t="shared" si="12"/>
        <v>100</v>
      </c>
      <c r="T32" s="774" t="s">
        <v>21</v>
      </c>
      <c r="U32" s="775">
        <f t="shared" si="13"/>
        <v>100</v>
      </c>
      <c r="V32" s="774" t="s">
        <v>21</v>
      </c>
      <c r="W32" s="775">
        <f t="shared" si="14"/>
        <v>100</v>
      </c>
      <c r="X32" s="1815"/>
      <c r="Y32" s="3213" t="s">
        <v>2565</v>
      </c>
      <c r="Z32" s="1816" t="str">
        <f t="shared" si="18"/>
        <v>建筑类型</v>
      </c>
      <c r="AA32" s="1813">
        <f t="shared" si="15"/>
        <v>1</v>
      </c>
      <c r="AB32" s="1813">
        <f t="shared" si="16"/>
        <v>1</v>
      </c>
      <c r="AC32" s="1813">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77"/>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3" t="e">
        <f t="shared" si="15"/>
        <v>#N/A</v>
      </c>
      <c r="AB33" s="1813" t="e">
        <f t="shared" si="16"/>
        <v>#N/A</v>
      </c>
      <c r="AC33" s="1813"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77"/>
      <c r="Q34" s="1812" t="str">
        <f t="shared" si="11"/>
        <v>建筑结构</v>
      </c>
      <c r="R34" s="774" t="s">
        <v>21</v>
      </c>
      <c r="S34" s="775">
        <f t="shared" si="12"/>
        <v>100</v>
      </c>
      <c r="T34" s="774" t="s">
        <v>21</v>
      </c>
      <c r="U34" s="775">
        <f t="shared" si="13"/>
        <v>100</v>
      </c>
      <c r="V34" s="774" t="s">
        <v>21</v>
      </c>
      <c r="W34" s="775">
        <f t="shared" si="14"/>
        <v>100</v>
      </c>
      <c r="X34" s="1815"/>
      <c r="Y34" s="3213"/>
      <c r="Z34" s="1816" t="str">
        <f t="shared" si="18"/>
        <v>建筑结构</v>
      </c>
      <c r="AA34" s="1813">
        <f t="shared" si="15"/>
        <v>1</v>
      </c>
      <c r="AB34" s="1813">
        <f t="shared" si="16"/>
        <v>1</v>
      </c>
      <c r="AC34" s="1813">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77"/>
      <c r="Q35" s="1812" t="str">
        <f t="shared" si="11"/>
        <v>建筑品质</v>
      </c>
      <c r="R35" s="774" t="s">
        <v>21</v>
      </c>
      <c r="S35" s="775">
        <f t="shared" si="12"/>
        <v>100</v>
      </c>
      <c r="T35" s="774" t="s">
        <v>21</v>
      </c>
      <c r="U35" s="775">
        <f t="shared" si="13"/>
        <v>100</v>
      </c>
      <c r="V35" s="774" t="s">
        <v>21</v>
      </c>
      <c r="W35" s="775">
        <f t="shared" si="14"/>
        <v>100</v>
      </c>
      <c r="X35" s="1815"/>
      <c r="Y35" s="3213"/>
      <c r="Z35" s="1816" t="str">
        <f t="shared" si="18"/>
        <v>建筑品质</v>
      </c>
      <c r="AA35" s="1813">
        <f t="shared" si="15"/>
        <v>1</v>
      </c>
      <c r="AB35" s="1813">
        <f t="shared" si="16"/>
        <v>1</v>
      </c>
      <c r="AC35" s="1813">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77"/>
      <c r="Q36" s="1812" t="str">
        <f t="shared" si="11"/>
        <v>公共部分装修</v>
      </c>
      <c r="R36" s="774" t="s">
        <v>21</v>
      </c>
      <c r="S36" s="775">
        <f t="shared" si="12"/>
        <v>100</v>
      </c>
      <c r="T36" s="774" t="s">
        <v>21</v>
      </c>
      <c r="U36" s="775">
        <f t="shared" si="13"/>
        <v>100</v>
      </c>
      <c r="V36" s="774" t="s">
        <v>21</v>
      </c>
      <c r="W36" s="775">
        <f t="shared" si="14"/>
        <v>100</v>
      </c>
      <c r="X36" s="1815"/>
      <c r="Y36" s="3213"/>
      <c r="Z36" s="1816" t="str">
        <f t="shared" si="18"/>
        <v>公共部分装修</v>
      </c>
      <c r="AA36" s="1813">
        <f t="shared" si="15"/>
        <v>1</v>
      </c>
      <c r="AB36" s="1813">
        <f t="shared" si="16"/>
        <v>1</v>
      </c>
      <c r="AC36" s="1813">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7"/>
      <c r="Q37" s="1797"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77" t="s">
        <v>2565</v>
      </c>
      <c r="Q38" s="1812" t="str">
        <f t="shared" si="11"/>
        <v>物业管理</v>
      </c>
      <c r="R38" s="774" t="s">
        <v>21</v>
      </c>
      <c r="S38" s="775">
        <f t="shared" si="12"/>
        <v>100</v>
      </c>
      <c r="T38" s="774" t="s">
        <v>21</v>
      </c>
      <c r="U38" s="775">
        <f t="shared" si="13"/>
        <v>100</v>
      </c>
      <c r="V38" s="774" t="s">
        <v>21</v>
      </c>
      <c r="W38" s="775">
        <f t="shared" si="14"/>
        <v>100</v>
      </c>
      <c r="X38" s="1815"/>
      <c r="Y38" s="3213" t="s">
        <v>2565</v>
      </c>
      <c r="Z38" s="1816" t="str">
        <f t="shared" si="18"/>
        <v>物业管理</v>
      </c>
      <c r="AA38" s="1813">
        <f t="shared" si="15"/>
        <v>1</v>
      </c>
      <c r="AB38" s="1813">
        <f t="shared" si="16"/>
        <v>1</v>
      </c>
      <c r="AC38" s="1813">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77"/>
      <c r="Q39" s="1812" t="str">
        <f t="shared" si="11"/>
        <v>市政基础设施</v>
      </c>
      <c r="R39" s="774" t="s">
        <v>21</v>
      </c>
      <c r="S39" s="775">
        <f t="shared" si="12"/>
        <v>100</v>
      </c>
      <c r="T39" s="774" t="s">
        <v>21</v>
      </c>
      <c r="U39" s="775">
        <f t="shared" si="13"/>
        <v>100</v>
      </c>
      <c r="V39" s="774" t="s">
        <v>21</v>
      </c>
      <c r="W39" s="775">
        <f t="shared" si="14"/>
        <v>100</v>
      </c>
      <c r="X39" s="1815"/>
      <c r="Y39" s="3213"/>
      <c r="Z39" s="1816" t="str">
        <f t="shared" si="18"/>
        <v>市政基础设施</v>
      </c>
      <c r="AA39" s="1813">
        <f t="shared" si="15"/>
        <v>1</v>
      </c>
      <c r="AB39" s="1813">
        <f t="shared" si="16"/>
        <v>1</v>
      </c>
      <c r="AC39" s="1813">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77"/>
      <c r="Q40" s="1812" t="str">
        <f t="shared" si="11"/>
        <v>房型</v>
      </c>
      <c r="R40" s="774" t="s">
        <v>21</v>
      </c>
      <c r="S40" s="775">
        <f t="shared" si="12"/>
        <v>100</v>
      </c>
      <c r="T40" s="774" t="s">
        <v>21</v>
      </c>
      <c r="U40" s="775">
        <f t="shared" si="13"/>
        <v>100</v>
      </c>
      <c r="V40" s="774" t="s">
        <v>21</v>
      </c>
      <c r="W40" s="775">
        <f t="shared" si="14"/>
        <v>100</v>
      </c>
      <c r="X40" s="1815"/>
      <c r="Y40" s="3213"/>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77"/>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3">
        <f t="shared" si="15"/>
        <v>1</v>
      </c>
      <c r="AB41" s="1813">
        <f t="shared" si="16"/>
        <v>1</v>
      </c>
      <c r="AC41" s="1813">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77"/>
      <c r="Q42" s="1812" t="str">
        <f t="shared" si="11"/>
        <v>内部装修</v>
      </c>
      <c r="R42" s="774" t="s">
        <v>21</v>
      </c>
      <c r="S42" s="775">
        <f t="shared" si="12"/>
        <v>100</v>
      </c>
      <c r="T42" s="774" t="s">
        <v>21</v>
      </c>
      <c r="U42" s="775">
        <f t="shared" si="13"/>
        <v>100</v>
      </c>
      <c r="V42" s="774" t="s">
        <v>21</v>
      </c>
      <c r="W42" s="775">
        <f t="shared" si="14"/>
        <v>100</v>
      </c>
      <c r="X42" s="1815"/>
      <c r="Y42" s="3213"/>
      <c r="Z42" s="1816" t="str">
        <f t="shared" si="18"/>
        <v>内部装修</v>
      </c>
      <c r="AA42" s="1813">
        <f t="shared" si="15"/>
        <v>1</v>
      </c>
      <c r="AB42" s="1813">
        <f t="shared" si="16"/>
        <v>1</v>
      </c>
      <c r="AC42" s="1813">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77"/>
      <c r="Q43" s="1812" t="str">
        <f t="shared" si="11"/>
        <v>内部装修维护情况</v>
      </c>
      <c r="R43" s="774" t="s">
        <v>21</v>
      </c>
      <c r="S43" s="775">
        <f t="shared" si="12"/>
        <v>100</v>
      </c>
      <c r="T43" s="774" t="s">
        <v>21</v>
      </c>
      <c r="U43" s="775">
        <f t="shared" si="13"/>
        <v>100</v>
      </c>
      <c r="V43" s="774" t="s">
        <v>21</v>
      </c>
      <c r="W43" s="775">
        <f t="shared" si="14"/>
        <v>100</v>
      </c>
      <c r="X43" s="1815"/>
      <c r="Y43" s="3213"/>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77"/>
      <c r="Q44" s="1797">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77"/>
      <c r="Q45" s="1812">
        <f t="shared" si="11"/>
        <v>111</v>
      </c>
      <c r="R45" s="774" t="s">
        <v>21</v>
      </c>
      <c r="S45" s="775">
        <f t="shared" si="12"/>
        <v>100</v>
      </c>
      <c r="T45" s="774" t="s">
        <v>21</v>
      </c>
      <c r="U45" s="775">
        <f t="shared" si="13"/>
        <v>100</v>
      </c>
      <c r="V45" s="774" t="s">
        <v>21</v>
      </c>
      <c r="W45" s="775">
        <f t="shared" si="14"/>
        <v>100</v>
      </c>
      <c r="X45" s="1815"/>
      <c r="Y45" s="3213"/>
      <c r="Z45" s="1816">
        <f t="shared" si="18"/>
        <v>111</v>
      </c>
      <c r="AA45" s="1813">
        <f t="shared" si="15"/>
        <v>1</v>
      </c>
      <c r="AB45" s="1813">
        <f t="shared" si="16"/>
        <v>1</v>
      </c>
      <c r="AC45" s="1813">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78"/>
      <c r="Q46" s="1812">
        <f t="shared" si="11"/>
        <v>111</v>
      </c>
      <c r="R46" s="774" t="s">
        <v>20</v>
      </c>
      <c r="S46" s="775">
        <f t="shared" si="12"/>
        <v>100</v>
      </c>
      <c r="T46" s="774" t="s">
        <v>20</v>
      </c>
      <c r="U46" s="775">
        <f t="shared" si="13"/>
        <v>100</v>
      </c>
      <c r="V46" s="774" t="s">
        <v>20</v>
      </c>
      <c r="W46" s="775">
        <f t="shared" si="14"/>
        <v>100</v>
      </c>
      <c r="X46" s="1815"/>
      <c r="Y46" s="3279"/>
      <c r="Z46" s="1816">
        <f t="shared" si="18"/>
        <v>111</v>
      </c>
      <c r="AA46" s="1813">
        <f t="shared" si="15"/>
        <v>1</v>
      </c>
      <c r="AB46" s="1813">
        <f t="shared" si="16"/>
        <v>1</v>
      </c>
      <c r="AC46" s="1813">
        <f t="shared" si="17"/>
        <v>1</v>
      </c>
    </row>
    <row r="47" spans="1:29" ht="15">
      <c r="A47" s="479" t="s">
        <v>2577</v>
      </c>
      <c r="B47" s="480"/>
      <c r="C47" s="1410" t="s">
        <v>19</v>
      </c>
      <c r="D47" s="1411"/>
      <c r="E47" s="1412"/>
      <c r="F47" s="1413"/>
      <c r="G47" s="1414"/>
      <c r="H47" s="1415"/>
      <c r="I47" s="1412"/>
      <c r="J47" s="1415"/>
      <c r="K47" s="2624"/>
      <c r="L47" s="1146"/>
      <c r="M47" s="1147"/>
      <c r="N47" s="1134"/>
      <c r="O47" s="1147"/>
      <c r="P47" s="3208" t="str">
        <f>A47</f>
        <v>成交单价（元/平方米）</v>
      </c>
      <c r="Q47" s="3208"/>
      <c r="R47" s="3275">
        <f>E47</f>
        <v>0</v>
      </c>
      <c r="S47" s="3275"/>
      <c r="T47" s="3275">
        <f>G47</f>
        <v>0</v>
      </c>
      <c r="U47" s="3275"/>
      <c r="V47" s="3275">
        <f>I47</f>
        <v>0</v>
      </c>
      <c r="W47" s="3275"/>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5"/>
      <c r="L48" s="1146"/>
      <c r="M48" s="1147"/>
      <c r="N48" s="1147"/>
      <c r="O48" s="1147"/>
      <c r="P48" s="3208" t="str">
        <f>A48</f>
        <v>比较价值（元/平方米）</v>
      </c>
      <c r="Q48" s="3208"/>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26"/>
      <c r="L49" s="1146"/>
      <c r="M49" s="1147"/>
      <c r="N49" s="1147"/>
      <c r="O49" s="1147"/>
      <c r="P49" s="3202" t="str">
        <f>A49</f>
        <v>估价对象XX用房的比较价值（楼面单价，元/平方米）</v>
      </c>
      <c r="Q49" s="320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29"/>
      <c r="Q57" s="504"/>
    </row>
    <row r="58" spans="1:29" s="508" customFormat="1" ht="15">
      <c r="A58" s="505" t="s">
        <v>2584</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30"/>
      <c r="C59" s="1575">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2588</v>
      </c>
      <c r="B63" s="528" t="s">
        <v>2554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2604</v>
      </c>
      <c r="D82" s="539" t="s">
        <v>2605</v>
      </c>
      <c r="E82" s="539" t="s">
        <v>2606</v>
      </c>
      <c r="F82" s="539" t="s">
        <v>2607</v>
      </c>
      <c r="G82" s="539" t="s">
        <v>2608</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2611</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2563</v>
      </c>
      <c r="B100" s="528" t="s">
        <v>2612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2615</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2616</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2619</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7">
        <v>6</v>
      </c>
      <c r="C139" s="1088">
        <v>96</v>
      </c>
      <c r="D139" s="2651" t="s">
        <v>2631</v>
      </c>
      <c r="E139" s="1089">
        <v>100</v>
      </c>
      <c r="F139" s="1090">
        <v>102.5</v>
      </c>
      <c r="G139" s="2651" t="s">
        <v>2631</v>
      </c>
      <c r="H139" s="1091">
        <v>105</v>
      </c>
      <c r="I139" s="2652" t="s">
        <v>2632</v>
      </c>
      <c r="J139" s="1088">
        <v>20</v>
      </c>
      <c r="K139" s="1092">
        <f>C145/(J139-2)</f>
        <v>4.0555555555555553E-3</v>
      </c>
    </row>
    <row r="140" spans="1:17" ht="15">
      <c r="B140" s="1093">
        <v>5</v>
      </c>
      <c r="C140" s="1094">
        <v>100</v>
      </c>
      <c r="D140" s="1094"/>
      <c r="E140" s="1095"/>
      <c r="F140" s="1096">
        <v>102</v>
      </c>
      <c r="G140" s="1094"/>
      <c r="H140" s="1097"/>
      <c r="I140" s="2653" t="s">
        <v>2633</v>
      </c>
      <c r="J140" s="315">
        <f>ROUNDUP((J139-1)/2,0)</f>
        <v>10</v>
      </c>
      <c r="K140" s="1098">
        <v>100</v>
      </c>
    </row>
    <row r="141" spans="1:17" ht="15">
      <c r="B141" s="1093">
        <v>4</v>
      </c>
      <c r="C141" s="1094">
        <v>102</v>
      </c>
      <c r="D141" s="1094"/>
      <c r="E141" s="1095"/>
      <c r="F141" s="1096">
        <v>101.5</v>
      </c>
      <c r="G141" s="1094"/>
      <c r="H141" s="1097"/>
      <c r="I141" s="2653" t="s">
        <v>2634</v>
      </c>
      <c r="J141" s="315">
        <v>1</v>
      </c>
      <c r="K141" s="1099">
        <f>ROUND(100+(J141-J140)*K139*100,1)</f>
        <v>96.4</v>
      </c>
    </row>
    <row r="142" spans="1:17" ht="15">
      <c r="B142" s="1093">
        <v>3</v>
      </c>
      <c r="C142" s="1094">
        <v>103</v>
      </c>
      <c r="D142" s="1094"/>
      <c r="E142" s="1095"/>
      <c r="F142" s="1096">
        <v>101</v>
      </c>
      <c r="G142" s="1094"/>
      <c r="H142" s="1097"/>
      <c r="I142" s="2653" t="s">
        <v>2635</v>
      </c>
      <c r="J142" s="315">
        <f>J139</f>
        <v>20</v>
      </c>
      <c r="K142" s="1100">
        <v>95</v>
      </c>
    </row>
    <row r="143" spans="1:17" ht="15">
      <c r="B143" s="1093">
        <v>2</v>
      </c>
      <c r="C143" s="1094">
        <v>100</v>
      </c>
      <c r="D143" s="1094"/>
      <c r="E143" s="1095"/>
      <c r="F143" s="1096">
        <v>100.5</v>
      </c>
      <c r="G143" s="1094"/>
      <c r="H143" s="1097"/>
      <c r="I143" s="2653" t="s">
        <v>2636</v>
      </c>
      <c r="J143" s="1094">
        <v>15</v>
      </c>
      <c r="K143" s="1099">
        <f>ROUND(100+(J143-J140)*K139*100,1)</f>
        <v>102</v>
      </c>
    </row>
    <row r="144" spans="1:17" ht="15">
      <c r="B144" s="1093">
        <v>1</v>
      </c>
      <c r="C144" s="1094">
        <v>98</v>
      </c>
      <c r="D144" s="2654" t="s">
        <v>2637</v>
      </c>
      <c r="E144" s="1095">
        <v>102</v>
      </c>
      <c r="F144" s="1101">
        <v>100</v>
      </c>
      <c r="G144" s="2654" t="s">
        <v>2637</v>
      </c>
      <c r="H144" s="1097">
        <v>105</v>
      </c>
      <c r="I144" s="2653" t="s">
        <v>2636</v>
      </c>
      <c r="J144" s="1094">
        <v>18</v>
      </c>
      <c r="K144" s="1099">
        <f>ROUND(100+(J144-J140)*K139*100,1)</f>
        <v>103.2</v>
      </c>
    </row>
    <row r="145" spans="2:11" ht="15.75" thickBot="1">
      <c r="B145" s="2655" t="s">
        <v>2638</v>
      </c>
      <c r="C145" s="1102">
        <f>ROUND(MAX(C139:C144)/MIN(C139:C144)-1,3)</f>
        <v>7.2999999999999995E-2</v>
      </c>
      <c r="D145" s="1103"/>
      <c r="E145" s="1103"/>
      <c r="F145" s="2656" t="s">
        <v>2639</v>
      </c>
      <c r="G145" s="2657"/>
      <c r="H145" s="2658"/>
      <c r="I145" s="2659" t="s">
        <v>2636</v>
      </c>
      <c r="J145" s="1104">
        <v>8</v>
      </c>
      <c r="K145" s="1105">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2" sqref="F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5" t="s">
        <v>2642</v>
      </c>
      <c r="C1" s="1636" t="s">
        <v>2530</v>
      </c>
      <c r="D1" s="1623"/>
      <c r="E1" s="2660"/>
      <c r="F1" s="2587"/>
      <c r="G1" s="1633" t="s">
        <v>2643</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8" customFormat="1" ht="28.5" customHeight="1" thickTop="1">
      <c r="A2" s="1619" t="s">
        <v>2327</v>
      </c>
      <c r="B2" s="1421" t="e">
        <f ca="1">IF(C2="——",ROUND(C49*D3/10000,0),ROUND(C49*D3/10000,0)-D2)</f>
        <v>#DIV/0!</v>
      </c>
      <c r="C2" s="2589"/>
      <c r="D2" s="1368" t="e">
        <f ca="1">SUMIF(INDIRECT("'"&amp;F2&amp;"'"&amp;"!A:A"),"承租人权益价值",INDIRECT("'"&amp;F2&amp;"'"&amp;"!c:c"))</f>
        <v>#REF!</v>
      </c>
      <c r="E2" s="2590" t="s">
        <v>2328</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2329</v>
      </c>
      <c r="B3" s="609" t="e">
        <f ca="1">IF(C2="——",C49,ROUND(B2*10000/D3,0))</f>
        <v>#DIV/0!</v>
      </c>
      <c r="C3" s="400" t="s">
        <v>2644</v>
      </c>
      <c r="D3" s="399">
        <f>IF(D1="",'数据-汇总表'!E3,SUMIF('数据-汇总表'!$C19:$C33,D1,'数据-汇总表'!$E19:$E33))</f>
        <v>5121.38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2645</v>
      </c>
      <c r="B4" s="402"/>
      <c r="C4" s="3205" t="s">
        <v>2646</v>
      </c>
      <c r="D4" s="3218"/>
      <c r="E4" s="3219" t="s">
        <v>2647</v>
      </c>
      <c r="F4" s="3220"/>
      <c r="G4" s="3205" t="s">
        <v>2648</v>
      </c>
      <c r="H4" s="3218"/>
      <c r="I4" s="3205" t="s">
        <v>2649</v>
      </c>
      <c r="J4" s="3218"/>
      <c r="K4" s="610" t="s">
        <v>2650</v>
      </c>
      <c r="L4" s="1133"/>
      <c r="M4" s="1134"/>
      <c r="N4" s="1134"/>
      <c r="O4" s="1134"/>
      <c r="P4" s="3221" t="s">
        <v>2651</v>
      </c>
      <c r="Q4" s="3222"/>
      <c r="R4" s="3227" t="s">
        <v>2647</v>
      </c>
      <c r="S4" s="3228"/>
      <c r="T4" s="3227" t="s">
        <v>2648</v>
      </c>
      <c r="U4" s="3228"/>
      <c r="V4" s="3214" t="s">
        <v>2649</v>
      </c>
      <c r="W4" s="3214"/>
      <c r="X4" s="1815"/>
      <c r="Y4" s="3227" t="s">
        <v>2651</v>
      </c>
      <c r="Z4" s="3228"/>
      <c r="AA4" s="3215" t="s">
        <v>2647</v>
      </c>
      <c r="AB4" s="3214" t="s">
        <v>2648</v>
      </c>
      <c r="AC4" s="3215" t="s">
        <v>2649</v>
      </c>
    </row>
    <row r="5" spans="1:29" ht="15">
      <c r="A5" s="404"/>
      <c r="B5" s="405"/>
      <c r="C5" s="3235" t="s">
        <v>2542</v>
      </c>
      <c r="D5" s="3236"/>
      <c r="E5" s="3242" t="s">
        <v>2543</v>
      </c>
      <c r="F5" s="3243"/>
      <c r="G5" s="3235" t="s">
        <v>2544</v>
      </c>
      <c r="H5" s="3236"/>
      <c r="I5" s="3235" t="s">
        <v>2545</v>
      </c>
      <c r="J5" s="3236"/>
      <c r="K5" s="610"/>
      <c r="L5" s="1133"/>
      <c r="M5" s="1134"/>
      <c r="N5" s="1134"/>
      <c r="O5" s="1134"/>
      <c r="P5" s="3223"/>
      <c r="Q5" s="3224"/>
      <c r="R5" s="3229"/>
      <c r="S5" s="3230"/>
      <c r="T5" s="3229"/>
      <c r="U5" s="3230"/>
      <c r="V5" s="3214"/>
      <c r="W5" s="3214"/>
      <c r="X5" s="1815"/>
      <c r="Y5" s="3229"/>
      <c r="Z5" s="3230"/>
      <c r="AA5" s="3216"/>
      <c r="AB5" s="3214"/>
      <c r="AC5" s="3216"/>
    </row>
    <row r="6" spans="1:29" ht="15.75" thickBot="1">
      <c r="A6" s="406"/>
      <c r="B6" s="407"/>
      <c r="C6" s="3233" t="s">
        <v>2546</v>
      </c>
      <c r="D6" s="3234"/>
      <c r="E6" s="3240" t="s">
        <v>2546</v>
      </c>
      <c r="F6" s="3241"/>
      <c r="G6" s="3233" t="s">
        <v>2546</v>
      </c>
      <c r="H6" s="3234"/>
      <c r="I6" s="3233" t="s">
        <v>2546</v>
      </c>
      <c r="J6" s="3234"/>
      <c r="K6" s="610" t="s">
        <v>2547</v>
      </c>
      <c r="L6" s="1133"/>
      <c r="M6" s="1134"/>
      <c r="N6" s="1134"/>
      <c r="O6" s="1134"/>
      <c r="P6" s="3225"/>
      <c r="Q6" s="3226"/>
      <c r="R6" s="3229"/>
      <c r="S6" s="3230"/>
      <c r="T6" s="3231"/>
      <c r="U6" s="3232"/>
      <c r="V6" s="3214"/>
      <c r="W6" s="3214"/>
      <c r="X6" s="1815"/>
      <c r="Y6" s="3231"/>
      <c r="Z6" s="3232"/>
      <c r="AA6" s="3217"/>
      <c r="AB6" s="3214"/>
      <c r="AC6" s="3217"/>
    </row>
    <row r="7" spans="1:29" s="117" customFormat="1" ht="15.75" thickBot="1">
      <c r="A7" s="408" t="s">
        <v>2548</v>
      </c>
      <c r="B7" s="409"/>
      <c r="C7" s="410">
        <f>'数据-取费表'!B2</f>
        <v>43293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7" t="s">
        <v>2549</v>
      </c>
      <c r="Q7" s="3239"/>
      <c r="R7" s="770" t="s">
        <v>17</v>
      </c>
      <c r="S7" s="771">
        <f t="shared" ref="S7:S15" si="0">F7</f>
        <v>0</v>
      </c>
      <c r="T7" s="770" t="s">
        <v>17</v>
      </c>
      <c r="U7" s="771">
        <f t="shared" ref="U7:U15" si="1">H7</f>
        <v>0</v>
      </c>
      <c r="V7" s="770" t="s">
        <v>17</v>
      </c>
      <c r="W7" s="771">
        <f t="shared" ref="W7:W15" si="2">J7</f>
        <v>0</v>
      </c>
      <c r="X7" s="772"/>
      <c r="Y7" s="3237" t="s">
        <v>2549</v>
      </c>
      <c r="Z7" s="3238"/>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7" t="s">
        <v>2552</v>
      </c>
      <c r="Q8" s="3238"/>
      <c r="R8" s="770" t="s">
        <v>17</v>
      </c>
      <c r="S8" s="771">
        <f t="shared" si="0"/>
        <v>0</v>
      </c>
      <c r="T8" s="770" t="s">
        <v>17</v>
      </c>
      <c r="U8" s="771">
        <f t="shared" si="1"/>
        <v>0</v>
      </c>
      <c r="V8" s="770" t="s">
        <v>17</v>
      </c>
      <c r="W8" s="771">
        <f t="shared" si="2"/>
        <v>0</v>
      </c>
      <c r="X8" s="772"/>
      <c r="Y8" s="3237" t="s">
        <v>2552</v>
      </c>
      <c r="Z8" s="3238"/>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2555</v>
      </c>
      <c r="Q9" s="179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7"/>
      <c r="Q11" s="179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128.25">
      <c r="A15" s="440" t="s">
        <v>2559</v>
      </c>
      <c r="B15" s="69" t="s">
        <v>2653</v>
      </c>
      <c r="C15" s="2606" t="str">
        <f>估价对象房地状况!C4</f>
        <v>估价对象位于大红门商圈，周边商业氛围成熟度一般，人流量一般，周边有京港城生活广场、明珠商贸城等商业项目，商业繁华度一般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0" t="s">
        <v>2560</v>
      </c>
      <c r="Q15" s="1812" t="str">
        <f t="shared" si="6"/>
        <v>商业繁华度</v>
      </c>
      <c r="R15" s="774" t="s">
        <v>17</v>
      </c>
      <c r="S15" s="775">
        <f t="shared" si="0"/>
        <v>100</v>
      </c>
      <c r="T15" s="774" t="s">
        <v>17</v>
      </c>
      <c r="U15" s="775">
        <f t="shared" si="1"/>
        <v>100</v>
      </c>
      <c r="V15" s="774" t="s">
        <v>17</v>
      </c>
      <c r="W15" s="775">
        <f t="shared" si="2"/>
        <v>100</v>
      </c>
      <c r="X15" s="1815"/>
      <c r="Y15" s="3210"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81"/>
      <c r="Q16" s="1812"/>
      <c r="R16" s="774"/>
      <c r="S16" s="775"/>
      <c r="T16" s="774"/>
      <c r="U16" s="775"/>
      <c r="V16" s="774"/>
      <c r="W16" s="775"/>
      <c r="X16" s="1815"/>
      <c r="Y16" s="3211"/>
      <c r="Z16" s="1816"/>
      <c r="AA16" s="1813">
        <v>1</v>
      </c>
      <c r="AB16" s="1813">
        <v>1</v>
      </c>
      <c r="AC16" s="1813">
        <v>1</v>
      </c>
    </row>
    <row r="17" spans="1:29" ht="114">
      <c r="A17" s="428"/>
      <c r="B17" s="451" t="s">
        <v>2097</v>
      </c>
      <c r="C17" s="2610" t="str">
        <f>估价对象房地状况!C6</f>
        <v>估价对象周边道路状况、公共交通通达情况：地铁10号线及71、511路等公交车、停车便捷程度，综合评价交通便捷度较好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34"/>
      <c r="P18" s="3281"/>
      <c r="Q18" s="1812"/>
      <c r="R18" s="774"/>
      <c r="S18" s="775"/>
      <c r="T18" s="774"/>
      <c r="U18" s="775"/>
      <c r="V18" s="774"/>
      <c r="W18" s="775"/>
      <c r="X18" s="1815"/>
      <c r="Y18" s="3211"/>
      <c r="Z18" s="1816"/>
      <c r="AA18" s="1813">
        <v>1</v>
      </c>
      <c r="AB18" s="1813">
        <v>1</v>
      </c>
      <c r="AC18" s="1813">
        <v>1</v>
      </c>
    </row>
    <row r="19" spans="1:29" ht="42.75">
      <c r="A19" s="428"/>
      <c r="B19" s="451" t="s">
        <v>2654</v>
      </c>
      <c r="C19" s="2610"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1"/>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34"/>
      <c r="P20" s="3281"/>
      <c r="Q20" s="1812"/>
      <c r="R20" s="774"/>
      <c r="S20" s="775"/>
      <c r="T20" s="774"/>
      <c r="U20" s="775"/>
      <c r="V20" s="774"/>
      <c r="W20" s="775"/>
      <c r="X20" s="1815"/>
      <c r="Y20" s="3211"/>
      <c r="Z20" s="1816"/>
      <c r="AA20" s="1813">
        <v>1</v>
      </c>
      <c r="AB20" s="1813">
        <v>1</v>
      </c>
      <c r="AC20" s="1813">
        <v>1</v>
      </c>
    </row>
    <row r="21" spans="1:29" ht="42.75">
      <c r="A21" s="428"/>
      <c r="B21" s="1387" t="s">
        <v>2655</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1"/>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34"/>
      <c r="P22" s="3281"/>
      <c r="Q22" s="1812"/>
      <c r="R22" s="774"/>
      <c r="S22" s="775"/>
      <c r="T22" s="774"/>
      <c r="U22" s="775"/>
      <c r="V22" s="774"/>
      <c r="W22" s="775"/>
      <c r="X22" s="1815"/>
      <c r="Y22" s="3211"/>
      <c r="Z22" s="1816"/>
      <c r="AA22" s="1813">
        <v>1</v>
      </c>
      <c r="AB22" s="1813">
        <v>1</v>
      </c>
      <c r="AC22" s="1813">
        <v>1</v>
      </c>
    </row>
    <row r="23" spans="1:29" ht="57">
      <c r="A23" s="428"/>
      <c r="B23" s="451" t="s">
        <v>2102</v>
      </c>
      <c r="C23" s="2667" t="str">
        <f>估价对象房地状况!C9</f>
        <v>区域自然环境：福海公园；人文环境；综合评价环境状况一般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1"/>
      <c r="Q23" s="1812" t="str">
        <f>B23</f>
        <v>自然及人文环境</v>
      </c>
      <c r="R23" s="774" t="s">
        <v>17</v>
      </c>
      <c r="S23" s="775">
        <f>F23</f>
        <v>100</v>
      </c>
      <c r="T23" s="774" t="s">
        <v>17</v>
      </c>
      <c r="U23" s="775">
        <f>H23</f>
        <v>100</v>
      </c>
      <c r="V23" s="774" t="s">
        <v>17</v>
      </c>
      <c r="W23" s="775">
        <f>J23</f>
        <v>100</v>
      </c>
      <c r="X23" s="1815"/>
      <c r="Y23" s="3211"/>
      <c r="Z23" s="1816" t="str">
        <f>Q23</f>
        <v>自然及人文环境</v>
      </c>
      <c r="AA23" s="1813">
        <f t="shared" si="3"/>
        <v>1</v>
      </c>
      <c r="AB23" s="1813">
        <f t="shared" si="4"/>
        <v>1</v>
      </c>
      <c r="AC23" s="1813">
        <f t="shared" si="5"/>
        <v>1</v>
      </c>
    </row>
    <row r="24" spans="1:29" ht="15">
      <c r="A24" s="428"/>
      <c r="B24" s="456"/>
      <c r="C24" s="447"/>
      <c r="D24" s="448"/>
      <c r="E24" s="2608"/>
      <c r="F24" s="449"/>
      <c r="G24" s="2607"/>
      <c r="H24" s="448"/>
      <c r="I24" s="2608"/>
      <c r="J24" s="448"/>
      <c r="K24" s="615"/>
      <c r="L24" s="1143"/>
      <c r="M24" s="1134"/>
      <c r="N24" s="1134"/>
      <c r="O24" s="1134"/>
      <c r="P24" s="3281"/>
      <c r="Q24" s="1812"/>
      <c r="R24" s="774"/>
      <c r="S24" s="775"/>
      <c r="T24" s="774"/>
      <c r="U24" s="775"/>
      <c r="V24" s="774"/>
      <c r="W24" s="775"/>
      <c r="X24" s="1815"/>
      <c r="Y24" s="3211"/>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1"/>
      <c r="Q25" s="1812" t="str">
        <f t="shared" ref="Q25:Q46" si="11">B25</f>
        <v>临街状况</v>
      </c>
      <c r="R25" s="774" t="s">
        <v>17</v>
      </c>
      <c r="S25" s="775">
        <f>F25</f>
        <v>100</v>
      </c>
      <c r="T25" s="774" t="s">
        <v>17</v>
      </c>
      <c r="U25" s="775">
        <f>H25</f>
        <v>100</v>
      </c>
      <c r="V25" s="774" t="s">
        <v>17</v>
      </c>
      <c r="W25" s="775">
        <f>J25</f>
        <v>100</v>
      </c>
      <c r="X25" s="1815"/>
      <c r="Y25" s="3211"/>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1"/>
      <c r="Q26" s="1812" t="str">
        <f t="shared" si="11"/>
        <v>平面位置/可视性</v>
      </c>
      <c r="R26" s="774" t="s">
        <v>17</v>
      </c>
      <c r="S26" s="775">
        <f>F26</f>
        <v>100</v>
      </c>
      <c r="T26" s="774" t="s">
        <v>17</v>
      </c>
      <c r="U26" s="775">
        <f>H26</f>
        <v>100</v>
      </c>
      <c r="V26" s="774" t="s">
        <v>17</v>
      </c>
      <c r="W26" s="775">
        <f>J26</f>
        <v>100</v>
      </c>
      <c r="X26" s="1815"/>
      <c r="Y26" s="3211"/>
      <c r="Z26" s="1816" t="str">
        <f>Q26</f>
        <v>平面位置/可视性</v>
      </c>
      <c r="AA26" s="1813">
        <f t="shared" si="3"/>
        <v>1</v>
      </c>
      <c r="AB26" s="1813">
        <f t="shared" si="4"/>
        <v>1</v>
      </c>
      <c r="AC26" s="1813">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81"/>
      <c r="Q27" s="1797" t="str">
        <f t="shared" si="11"/>
        <v>人流量</v>
      </c>
      <c r="R27" s="770" t="s">
        <v>17</v>
      </c>
      <c r="S27" s="771">
        <f>F27</f>
        <v>100</v>
      </c>
      <c r="T27" s="770" t="s">
        <v>17</v>
      </c>
      <c r="U27" s="771">
        <f>H27</f>
        <v>100</v>
      </c>
      <c r="V27" s="770" t="s">
        <v>17</v>
      </c>
      <c r="W27" s="771">
        <f>J27</f>
        <v>100</v>
      </c>
      <c r="X27" s="772"/>
      <c r="Y27" s="3211"/>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1"/>
      <c r="Q29" s="1812">
        <f t="shared" si="11"/>
        <v>111</v>
      </c>
      <c r="R29" s="774" t="s">
        <v>17</v>
      </c>
      <c r="S29" s="775">
        <f t="shared" si="12"/>
        <v>100</v>
      </c>
      <c r="T29" s="774" t="s">
        <v>17</v>
      </c>
      <c r="U29" s="775">
        <f t="shared" si="13"/>
        <v>100</v>
      </c>
      <c r="V29" s="774" t="s">
        <v>17</v>
      </c>
      <c r="W29" s="775">
        <f t="shared" si="14"/>
        <v>100</v>
      </c>
      <c r="X29" s="1815"/>
      <c r="Y29" s="321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1"/>
      <c r="Q30" s="1812">
        <f t="shared" si="11"/>
        <v>111</v>
      </c>
      <c r="R30" s="774" t="s">
        <v>17</v>
      </c>
      <c r="S30" s="775">
        <f t="shared" si="12"/>
        <v>100</v>
      </c>
      <c r="T30" s="774" t="s">
        <v>17</v>
      </c>
      <c r="U30" s="775">
        <f t="shared" si="13"/>
        <v>100</v>
      </c>
      <c r="V30" s="774" t="s">
        <v>17</v>
      </c>
      <c r="W30" s="775">
        <f t="shared" si="14"/>
        <v>100</v>
      </c>
      <c r="X30" s="1815"/>
      <c r="Y30" s="321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1"/>
      <c r="Q31" s="1812">
        <f t="shared" si="11"/>
        <v>111</v>
      </c>
      <c r="R31" s="774" t="s">
        <v>17</v>
      </c>
      <c r="S31" s="775">
        <f t="shared" si="12"/>
        <v>100</v>
      </c>
      <c r="T31" s="774" t="s">
        <v>17</v>
      </c>
      <c r="U31" s="775">
        <f t="shared" si="13"/>
        <v>100</v>
      </c>
      <c r="V31" s="774" t="s">
        <v>17</v>
      </c>
      <c r="W31" s="775">
        <f t="shared" si="14"/>
        <v>100</v>
      </c>
      <c r="X31" s="1815"/>
      <c r="Y31" s="3211"/>
      <c r="Z31" s="1816">
        <f t="shared" si="15"/>
        <v>111</v>
      </c>
      <c r="AA31" s="1813">
        <f t="shared" si="3"/>
        <v>1</v>
      </c>
      <c r="AB31" s="1813">
        <f t="shared" si="4"/>
        <v>1</v>
      </c>
      <c r="AC31" s="1813">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76" t="s">
        <v>2565</v>
      </c>
      <c r="Q32" s="1812" t="str">
        <f t="shared" si="11"/>
        <v>商业类型</v>
      </c>
      <c r="R32" s="774" t="s">
        <v>17</v>
      </c>
      <c r="S32" s="775">
        <f t="shared" si="12"/>
        <v>100</v>
      </c>
      <c r="T32" s="774" t="s">
        <v>17</v>
      </c>
      <c r="U32" s="775">
        <f t="shared" si="13"/>
        <v>100</v>
      </c>
      <c r="V32" s="774" t="s">
        <v>17</v>
      </c>
      <c r="W32" s="775">
        <f t="shared" si="14"/>
        <v>100</v>
      </c>
      <c r="X32" s="1815"/>
      <c r="Y32" s="3213"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7"/>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3" t="e">
        <f t="shared" si="3"/>
        <v>#N/A</v>
      </c>
      <c r="AB33" s="1813" t="e">
        <f t="shared" si="4"/>
        <v>#N/A</v>
      </c>
      <c r="AC33" s="1813"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77"/>
      <c r="Q34" s="1812" t="str">
        <f t="shared" si="11"/>
        <v>建筑结构</v>
      </c>
      <c r="R34" s="774" t="s">
        <v>17</v>
      </c>
      <c r="S34" s="775">
        <f t="shared" si="12"/>
        <v>100</v>
      </c>
      <c r="T34" s="774" t="s">
        <v>17</v>
      </c>
      <c r="U34" s="775">
        <f t="shared" si="13"/>
        <v>100</v>
      </c>
      <c r="V34" s="774" t="s">
        <v>17</v>
      </c>
      <c r="W34" s="775">
        <f t="shared" si="14"/>
        <v>100</v>
      </c>
      <c r="X34" s="1815"/>
      <c r="Y34" s="3213"/>
      <c r="Z34" s="1816" t="str">
        <f t="shared" si="15"/>
        <v>建筑结构</v>
      </c>
      <c r="AA34" s="1813">
        <f t="shared" si="3"/>
        <v>1</v>
      </c>
      <c r="AB34" s="1813">
        <f t="shared" si="4"/>
        <v>1</v>
      </c>
      <c r="AC34" s="1813">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77"/>
      <c r="Q35" s="1812" t="str">
        <f t="shared" si="11"/>
        <v>公共部分装修</v>
      </c>
      <c r="R35" s="774" t="s">
        <v>17</v>
      </c>
      <c r="S35" s="775">
        <f t="shared" si="12"/>
        <v>100</v>
      </c>
      <c r="T35" s="774" t="s">
        <v>17</v>
      </c>
      <c r="U35" s="775">
        <f t="shared" si="13"/>
        <v>100</v>
      </c>
      <c r="V35" s="774" t="s">
        <v>17</v>
      </c>
      <c r="W35" s="775">
        <f t="shared" si="14"/>
        <v>100</v>
      </c>
      <c r="X35" s="1815"/>
      <c r="Y35" s="3213"/>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7"/>
      <c r="Q36" s="1812" t="str">
        <f t="shared" si="11"/>
        <v>成新度</v>
      </c>
      <c r="R36" s="774" t="s">
        <v>17</v>
      </c>
      <c r="S36" s="775" t="e">
        <f t="shared" si="12"/>
        <v>#N/A</v>
      </c>
      <c r="T36" s="774" t="s">
        <v>17</v>
      </c>
      <c r="U36" s="775" t="e">
        <f t="shared" si="13"/>
        <v>#N/A</v>
      </c>
      <c r="V36" s="774" t="s">
        <v>17</v>
      </c>
      <c r="W36" s="775" t="e">
        <f t="shared" si="14"/>
        <v>#N/A</v>
      </c>
      <c r="X36" s="1815"/>
      <c r="Y36" s="3213"/>
      <c r="Z36" s="1816" t="str">
        <f t="shared" si="15"/>
        <v>成新度</v>
      </c>
      <c r="AA36" s="1813" t="e">
        <f t="shared" si="3"/>
        <v>#N/A</v>
      </c>
      <c r="AB36" s="1813" t="e">
        <f t="shared" si="4"/>
        <v>#N/A</v>
      </c>
      <c r="AC36" s="1813"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77"/>
      <c r="Q37" s="1797"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77" t="s">
        <v>2565</v>
      </c>
      <c r="Q38" s="1812" t="str">
        <f t="shared" si="11"/>
        <v>业态</v>
      </c>
      <c r="R38" s="774" t="s">
        <v>17</v>
      </c>
      <c r="S38" s="775">
        <f t="shared" si="12"/>
        <v>100</v>
      </c>
      <c r="T38" s="774" t="s">
        <v>17</v>
      </c>
      <c r="U38" s="775">
        <f t="shared" si="13"/>
        <v>100</v>
      </c>
      <c r="V38" s="774" t="s">
        <v>17</v>
      </c>
      <c r="W38" s="775">
        <f t="shared" si="14"/>
        <v>100</v>
      </c>
      <c r="X38" s="1815"/>
      <c r="Y38" s="3213" t="s">
        <v>2565</v>
      </c>
      <c r="Z38" s="1816" t="str">
        <f t="shared" si="15"/>
        <v>业态</v>
      </c>
      <c r="AA38" s="1813">
        <f t="shared" si="3"/>
        <v>1</v>
      </c>
      <c r="AB38" s="1813">
        <f t="shared" si="4"/>
        <v>1</v>
      </c>
      <c r="AC38" s="1813">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77"/>
      <c r="Q39" s="1812" t="str">
        <f t="shared" si="11"/>
        <v>层高</v>
      </c>
      <c r="R39" s="774" t="s">
        <v>17</v>
      </c>
      <c r="S39" s="775">
        <f t="shared" si="12"/>
        <v>100</v>
      </c>
      <c r="T39" s="774" t="s">
        <v>17</v>
      </c>
      <c r="U39" s="775">
        <f t="shared" si="13"/>
        <v>100</v>
      </c>
      <c r="V39" s="774" t="s">
        <v>17</v>
      </c>
      <c r="W39" s="775">
        <f t="shared" si="14"/>
        <v>100</v>
      </c>
      <c r="X39" s="1815"/>
      <c r="Y39" s="3213"/>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7"/>
      <c r="Q40" s="1812" t="str">
        <f t="shared" si="11"/>
        <v>单套建筑面积</v>
      </c>
      <c r="R40" s="774" t="s">
        <v>17</v>
      </c>
      <c r="S40" s="775">
        <f t="shared" si="12"/>
        <v>100</v>
      </c>
      <c r="T40" s="774" t="s">
        <v>17</v>
      </c>
      <c r="U40" s="775">
        <f t="shared" si="13"/>
        <v>100</v>
      </c>
      <c r="V40" s="774" t="s">
        <v>17</v>
      </c>
      <c r="W40" s="775">
        <f t="shared" si="14"/>
        <v>100</v>
      </c>
      <c r="X40" s="1815"/>
      <c r="Y40" s="3213"/>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7"/>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3">
        <f t="shared" si="3"/>
        <v>1</v>
      </c>
      <c r="AB41" s="1813">
        <f t="shared" si="4"/>
        <v>1</v>
      </c>
      <c r="AC41" s="1813">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77"/>
      <c r="Q42" s="1812" t="str">
        <f t="shared" si="11"/>
        <v>内部装修</v>
      </c>
      <c r="R42" s="774" t="s">
        <v>17</v>
      </c>
      <c r="S42" s="775">
        <f t="shared" si="12"/>
        <v>100</v>
      </c>
      <c r="T42" s="774" t="s">
        <v>17</v>
      </c>
      <c r="U42" s="775">
        <f t="shared" si="13"/>
        <v>100</v>
      </c>
      <c r="V42" s="774" t="s">
        <v>17</v>
      </c>
      <c r="W42" s="775">
        <f t="shared" si="14"/>
        <v>100</v>
      </c>
      <c r="X42" s="1815"/>
      <c r="Y42" s="3213"/>
      <c r="Z42" s="1816" t="str">
        <f t="shared" si="15"/>
        <v>内部装修</v>
      </c>
      <c r="AA42" s="1813">
        <f t="shared" si="3"/>
        <v>1</v>
      </c>
      <c r="AB42" s="1813">
        <f t="shared" si="4"/>
        <v>1</v>
      </c>
      <c r="AC42" s="1813">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77"/>
      <c r="Q43" s="1812" t="str">
        <f t="shared" si="11"/>
        <v>内部装修维护情况</v>
      </c>
      <c r="R43" s="774" t="s">
        <v>17</v>
      </c>
      <c r="S43" s="775">
        <f t="shared" si="12"/>
        <v>100</v>
      </c>
      <c r="T43" s="774" t="s">
        <v>17</v>
      </c>
      <c r="U43" s="775">
        <f t="shared" si="13"/>
        <v>100</v>
      </c>
      <c r="V43" s="774" t="s">
        <v>17</v>
      </c>
      <c r="W43" s="775">
        <f t="shared" si="14"/>
        <v>100</v>
      </c>
      <c r="X43" s="1815"/>
      <c r="Y43" s="321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7"/>
      <c r="Q44" s="1797">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7"/>
      <c r="Q45" s="1812">
        <f t="shared" si="11"/>
        <v>111</v>
      </c>
      <c r="R45" s="774" t="s">
        <v>17</v>
      </c>
      <c r="S45" s="775">
        <f t="shared" si="12"/>
        <v>100</v>
      </c>
      <c r="T45" s="774" t="s">
        <v>17</v>
      </c>
      <c r="U45" s="775">
        <f t="shared" si="13"/>
        <v>100</v>
      </c>
      <c r="V45" s="774" t="s">
        <v>17</v>
      </c>
      <c r="W45" s="775">
        <f t="shared" si="14"/>
        <v>100</v>
      </c>
      <c r="X45" s="1815"/>
      <c r="Y45" s="3213"/>
      <c r="Z45" s="1816">
        <f t="shared" si="15"/>
        <v>111</v>
      </c>
      <c r="AA45" s="1813">
        <f t="shared" si="3"/>
        <v>1</v>
      </c>
      <c r="AB45" s="1813">
        <f t="shared" si="4"/>
        <v>1</v>
      </c>
      <c r="AC45" s="1813">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8"/>
      <c r="Q46" s="1812">
        <f t="shared" si="11"/>
        <v>111</v>
      </c>
      <c r="R46" s="774" t="s">
        <v>17</v>
      </c>
      <c r="S46" s="775">
        <f t="shared" si="12"/>
        <v>100</v>
      </c>
      <c r="T46" s="774" t="s">
        <v>17</v>
      </c>
      <c r="U46" s="775">
        <f t="shared" si="13"/>
        <v>100</v>
      </c>
      <c r="V46" s="774" t="s">
        <v>17</v>
      </c>
      <c r="W46" s="775">
        <f t="shared" si="14"/>
        <v>100</v>
      </c>
      <c r="X46" s="1815"/>
      <c r="Y46" s="3279"/>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208" t="str">
        <f>A47</f>
        <v>成交单价（元/平方米）</v>
      </c>
      <c r="Q47" s="3208"/>
      <c r="R47" s="3214">
        <f>E47</f>
        <v>0</v>
      </c>
      <c r="S47" s="3214"/>
      <c r="T47" s="3214">
        <f>G47</f>
        <v>0</v>
      </c>
      <c r="U47" s="3214"/>
      <c r="V47" s="3214">
        <f>I47</f>
        <v>0</v>
      </c>
      <c r="W47" s="3214"/>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08" t="str">
        <f>A48</f>
        <v>比较价值（元/平方米）</v>
      </c>
      <c r="Q48" s="3208"/>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2548</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2588</v>
      </c>
      <c r="B63" s="528" t="s">
        <v>2554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2563</v>
      </c>
      <c r="B100" s="528" t="s">
        <v>2681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2616</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2684</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2" sqref="F3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2" t="s">
        <v>2686</v>
      </c>
      <c r="C1" s="1622" t="s">
        <v>2530</v>
      </c>
      <c r="D1" s="1623"/>
      <c r="E1" s="1632"/>
      <c r="F1" s="2587"/>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IF(C2="——",ROUND(C50*D3/10000,0),ROUND(C50*D3/10000,0)-D2)</f>
        <v>#DIV/0!</v>
      </c>
      <c r="C2" s="2589"/>
      <c r="D2" s="1368" t="e">
        <f ca="1">SUMIF(INDIRECT("'"&amp;F2&amp;"'"&amp;"!A:A"),"承租人权益价值",INDIRECT("'"&amp;F2&amp;"'"&amp;"!c:c"))</f>
        <v>#REF!</v>
      </c>
      <c r="E2" s="2590" t="s">
        <v>2328</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5121.38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205" t="s">
        <v>2646</v>
      </c>
      <c r="D4" s="3218"/>
      <c r="E4" s="3219" t="s">
        <v>2647</v>
      </c>
      <c r="F4" s="3220"/>
      <c r="G4" s="3205" t="s">
        <v>2648</v>
      </c>
      <c r="H4" s="3218"/>
      <c r="I4" s="3205" t="s">
        <v>2649</v>
      </c>
      <c r="J4" s="3218"/>
      <c r="K4" s="610" t="s">
        <v>2650</v>
      </c>
      <c r="L4" s="1133"/>
      <c r="M4" s="1134"/>
      <c r="N4" s="1134"/>
      <c r="O4" s="1134"/>
      <c r="P4" s="3288" t="s">
        <v>2651</v>
      </c>
      <c r="Q4" s="3289"/>
      <c r="R4" s="3292" t="s">
        <v>2647</v>
      </c>
      <c r="S4" s="3293"/>
      <c r="T4" s="3292" t="s">
        <v>2648</v>
      </c>
      <c r="U4" s="3293"/>
      <c r="V4" s="3294" t="s">
        <v>2649</v>
      </c>
      <c r="W4" s="3294"/>
      <c r="X4" s="2673"/>
      <c r="Y4" s="3292" t="s">
        <v>2651</v>
      </c>
      <c r="Z4" s="3293"/>
      <c r="AA4" s="3296" t="s">
        <v>2647</v>
      </c>
      <c r="AB4" s="3296" t="s">
        <v>2648</v>
      </c>
      <c r="AC4" s="3285" t="s">
        <v>2649</v>
      </c>
    </row>
    <row r="5" spans="1:29" ht="15">
      <c r="A5" s="404"/>
      <c r="B5" s="405"/>
      <c r="C5" s="3235" t="s">
        <v>2542</v>
      </c>
      <c r="D5" s="3236"/>
      <c r="E5" s="3242" t="s">
        <v>2543</v>
      </c>
      <c r="F5" s="3243"/>
      <c r="G5" s="3235" t="s">
        <v>2544</v>
      </c>
      <c r="H5" s="3236"/>
      <c r="I5" s="3235" t="s">
        <v>2545</v>
      </c>
      <c r="J5" s="3236"/>
      <c r="K5" s="610"/>
      <c r="L5" s="1133"/>
      <c r="M5" s="1134"/>
      <c r="N5" s="1134"/>
      <c r="O5" s="1134"/>
      <c r="P5" s="3290"/>
      <c r="Q5" s="3224"/>
      <c r="R5" s="3229"/>
      <c r="S5" s="3230"/>
      <c r="T5" s="3229"/>
      <c r="U5" s="3230"/>
      <c r="V5" s="3214"/>
      <c r="W5" s="3214"/>
      <c r="X5" s="1815"/>
      <c r="Y5" s="3229"/>
      <c r="Z5" s="3230"/>
      <c r="AA5" s="3216"/>
      <c r="AB5" s="3216"/>
      <c r="AC5" s="3286"/>
    </row>
    <row r="6" spans="1:29" ht="15.75" thickBot="1">
      <c r="A6" s="406"/>
      <c r="B6" s="407"/>
      <c r="C6" s="3233" t="s">
        <v>2546</v>
      </c>
      <c r="D6" s="3234"/>
      <c r="E6" s="3240" t="s">
        <v>2546</v>
      </c>
      <c r="F6" s="3241"/>
      <c r="G6" s="3233" t="s">
        <v>2546</v>
      </c>
      <c r="H6" s="3234"/>
      <c r="I6" s="3233" t="s">
        <v>2546</v>
      </c>
      <c r="J6" s="3234"/>
      <c r="K6" s="610" t="s">
        <v>2547</v>
      </c>
      <c r="L6" s="1133"/>
      <c r="M6" s="1134"/>
      <c r="N6" s="1134"/>
      <c r="O6" s="1134"/>
      <c r="P6" s="3291"/>
      <c r="Q6" s="3226"/>
      <c r="R6" s="3229"/>
      <c r="S6" s="3230"/>
      <c r="T6" s="3231"/>
      <c r="U6" s="3232"/>
      <c r="V6" s="3214"/>
      <c r="W6" s="3214"/>
      <c r="X6" s="1815"/>
      <c r="Y6" s="3231"/>
      <c r="Z6" s="3232"/>
      <c r="AA6" s="3217"/>
      <c r="AB6" s="3217"/>
      <c r="AC6" s="3287"/>
    </row>
    <row r="7" spans="1:29" s="117" customFormat="1" ht="15.75" thickBot="1">
      <c r="A7" s="408" t="s">
        <v>2548</v>
      </c>
      <c r="B7" s="409"/>
      <c r="C7" s="410">
        <f>'数据-取费表'!B2</f>
        <v>43293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5" t="s">
        <v>2549</v>
      </c>
      <c r="Q7" s="3239"/>
      <c r="R7" s="770" t="s">
        <v>17</v>
      </c>
      <c r="S7" s="771">
        <f t="shared" ref="S7:S15" si="0">F7</f>
        <v>0</v>
      </c>
      <c r="T7" s="770" t="s">
        <v>17</v>
      </c>
      <c r="U7" s="771">
        <f t="shared" ref="U7:U15" si="1">H7</f>
        <v>0</v>
      </c>
      <c r="V7" s="770" t="s">
        <v>17</v>
      </c>
      <c r="W7" s="771">
        <f t="shared" ref="W7:W15" si="2">J7</f>
        <v>0</v>
      </c>
      <c r="X7" s="772"/>
      <c r="Y7" s="3237" t="s">
        <v>2549</v>
      </c>
      <c r="Z7" s="3238"/>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5" t="s">
        <v>2552</v>
      </c>
      <c r="Q8" s="3238"/>
      <c r="R8" s="770" t="s">
        <v>17</v>
      </c>
      <c r="S8" s="771">
        <f t="shared" si="0"/>
        <v>0</v>
      </c>
      <c r="T8" s="770" t="s">
        <v>17</v>
      </c>
      <c r="U8" s="771">
        <f t="shared" si="1"/>
        <v>0</v>
      </c>
      <c r="V8" s="770" t="s">
        <v>17</v>
      </c>
      <c r="W8" s="771">
        <f t="shared" si="2"/>
        <v>0</v>
      </c>
      <c r="X8" s="772"/>
      <c r="Y8" s="3237" t="s">
        <v>2552</v>
      </c>
      <c r="Z8" s="3238"/>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2555</v>
      </c>
      <c r="Q9" s="179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7"/>
      <c r="Q11" s="179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7"/>
      <c r="Q12" s="179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7"/>
      <c r="Q13" s="179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7"/>
      <c r="Q14" s="179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0" t="s">
        <v>2560</v>
      </c>
      <c r="Q15" s="1812" t="str">
        <f t="shared" si="6"/>
        <v>办公集聚程度</v>
      </c>
      <c r="R15" s="774" t="s">
        <v>17</v>
      </c>
      <c r="S15" s="775">
        <f t="shared" si="0"/>
        <v>100</v>
      </c>
      <c r="T15" s="774" t="s">
        <v>17</v>
      </c>
      <c r="U15" s="775">
        <f t="shared" si="1"/>
        <v>100</v>
      </c>
      <c r="V15" s="774" t="s">
        <v>17</v>
      </c>
      <c r="W15" s="775">
        <f t="shared" si="2"/>
        <v>100</v>
      </c>
      <c r="X15" s="1815"/>
      <c r="Y15" s="3210" t="s">
        <v>2560</v>
      </c>
      <c r="Z15" s="1816" t="str">
        <f t="shared" si="7"/>
        <v>办公集聚程度</v>
      </c>
      <c r="AA15" s="1813">
        <f t="shared" si="3"/>
        <v>1</v>
      </c>
      <c r="AB15" s="1813">
        <f t="shared" si="4"/>
        <v>1</v>
      </c>
      <c r="AC15" s="2677">
        <f t="shared" si="5"/>
        <v>1</v>
      </c>
    </row>
    <row r="16" spans="1:29" ht="15">
      <c r="A16" s="428"/>
      <c r="B16" s="630"/>
      <c r="C16" s="2614"/>
      <c r="D16" s="448"/>
      <c r="E16" s="447"/>
      <c r="F16" s="448"/>
      <c r="G16" s="2614"/>
      <c r="H16" s="450"/>
      <c r="I16" s="447"/>
      <c r="J16" s="448"/>
      <c r="K16" s="615"/>
      <c r="L16" s="1143"/>
      <c r="M16" s="1134"/>
      <c r="N16" s="1134"/>
      <c r="O16" s="1134"/>
      <c r="P16" s="3281"/>
      <c r="Q16" s="1812"/>
      <c r="R16" s="774"/>
      <c r="S16" s="775"/>
      <c r="T16" s="774"/>
      <c r="U16" s="775"/>
      <c r="V16" s="774"/>
      <c r="W16" s="775"/>
      <c r="X16" s="1815"/>
      <c r="Y16" s="3211"/>
      <c r="Z16" s="1816"/>
      <c r="AA16" s="1813">
        <v>1</v>
      </c>
      <c r="AB16" s="1813">
        <v>1</v>
      </c>
      <c r="AC16" s="2677">
        <v>1</v>
      </c>
    </row>
    <row r="17" spans="1:29" ht="99.75">
      <c r="A17" s="428"/>
      <c r="B17" s="631" t="s">
        <v>2097</v>
      </c>
      <c r="C17" s="2678" t="str">
        <f>估价对象房地状况!C6</f>
        <v>估价对象周边道路状况、公共交通通达情况：地铁10号线及71、511路等公交车、停车便捷程度，综合评价交通便捷度较好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2677">
        <f t="shared" si="5"/>
        <v>1</v>
      </c>
    </row>
    <row r="18" spans="1:29" ht="15">
      <c r="A18" s="428"/>
      <c r="B18" s="632"/>
      <c r="C18" s="2679"/>
      <c r="D18" s="450"/>
      <c r="E18" s="2612"/>
      <c r="F18" s="450"/>
      <c r="G18" s="2613"/>
      <c r="H18" s="448"/>
      <c r="I18" s="2613"/>
      <c r="J18" s="448"/>
      <c r="K18" s="615"/>
      <c r="L18" s="1143"/>
      <c r="M18" s="1134"/>
      <c r="N18" s="1134"/>
      <c r="O18" s="1134"/>
      <c r="P18" s="3281"/>
      <c r="Q18" s="1812"/>
      <c r="R18" s="774"/>
      <c r="S18" s="775"/>
      <c r="T18" s="774"/>
      <c r="U18" s="775"/>
      <c r="V18" s="774"/>
      <c r="W18" s="775"/>
      <c r="X18" s="1815"/>
      <c r="Y18" s="3211"/>
      <c r="Z18" s="1816"/>
      <c r="AA18" s="1813">
        <v>1</v>
      </c>
      <c r="AB18" s="1813">
        <v>1</v>
      </c>
      <c r="AC18" s="2677">
        <v>1</v>
      </c>
    </row>
    <row r="19" spans="1:29" ht="42.75">
      <c r="A19" s="428"/>
      <c r="B19" s="631" t="s">
        <v>2688</v>
      </c>
      <c r="C19" s="2678"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1"/>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2677">
        <f t="shared" si="5"/>
        <v>1</v>
      </c>
    </row>
    <row r="20" spans="1:29" ht="15">
      <c r="A20" s="428"/>
      <c r="B20" s="632"/>
      <c r="C20" s="2614"/>
      <c r="D20" s="448"/>
      <c r="E20" s="2607"/>
      <c r="F20" s="448"/>
      <c r="G20" s="2608"/>
      <c r="H20" s="448"/>
      <c r="I20" s="2608"/>
      <c r="J20" s="448"/>
      <c r="K20" s="615"/>
      <c r="L20" s="1143"/>
      <c r="M20" s="1134"/>
      <c r="N20" s="1134"/>
      <c r="O20" s="1134"/>
      <c r="P20" s="3281"/>
      <c r="Q20" s="1812"/>
      <c r="R20" s="774"/>
      <c r="S20" s="775"/>
      <c r="T20" s="774"/>
      <c r="U20" s="775"/>
      <c r="V20" s="774"/>
      <c r="W20" s="775"/>
      <c r="X20" s="1815"/>
      <c r="Y20" s="3211"/>
      <c r="Z20" s="1816"/>
      <c r="AA20" s="1813">
        <v>1</v>
      </c>
      <c r="AB20" s="1813">
        <v>1</v>
      </c>
      <c r="AC20" s="2677">
        <v>1</v>
      </c>
    </row>
    <row r="21" spans="1:29" ht="42.75">
      <c r="A21" s="428"/>
      <c r="B21" s="633" t="s">
        <v>2689</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1"/>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81"/>
      <c r="Q22" s="1812"/>
      <c r="R22" s="774"/>
      <c r="S22" s="775"/>
      <c r="T22" s="774"/>
      <c r="U22" s="775"/>
      <c r="V22" s="774"/>
      <c r="W22" s="775"/>
      <c r="X22" s="1815"/>
      <c r="Y22" s="3211"/>
      <c r="Z22" s="1816"/>
      <c r="AA22" s="1813">
        <v>1</v>
      </c>
      <c r="AB22" s="1813">
        <v>1</v>
      </c>
      <c r="AC22" s="2677">
        <v>1</v>
      </c>
    </row>
    <row r="23" spans="1:29" ht="57">
      <c r="A23" s="428"/>
      <c r="B23" s="631" t="s">
        <v>2690</v>
      </c>
      <c r="C23" s="2678" t="str">
        <f>估价对象房地状况!C9</f>
        <v>区域自然环境：福海公园；人文环境；综合评价环境状况一般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1"/>
      <c r="Q23" s="1812" t="str">
        <f>B23</f>
        <v>环境质量</v>
      </c>
      <c r="R23" s="774" t="s">
        <v>17</v>
      </c>
      <c r="S23" s="775">
        <f>F23</f>
        <v>100</v>
      </c>
      <c r="T23" s="774" t="s">
        <v>17</v>
      </c>
      <c r="U23" s="775">
        <f>H23</f>
        <v>100</v>
      </c>
      <c r="V23" s="774" t="s">
        <v>17</v>
      </c>
      <c r="W23" s="775">
        <f>J23</f>
        <v>100</v>
      </c>
      <c r="X23" s="1815"/>
      <c r="Y23" s="3211"/>
      <c r="Z23" s="1816" t="str">
        <f>Q23</f>
        <v>环境质量</v>
      </c>
      <c r="AA23" s="1813">
        <f t="shared" si="3"/>
        <v>1</v>
      </c>
      <c r="AB23" s="1813">
        <f t="shared" si="4"/>
        <v>1</v>
      </c>
      <c r="AC23" s="2677">
        <f t="shared" si="5"/>
        <v>1</v>
      </c>
    </row>
    <row r="24" spans="1:29" ht="15">
      <c r="A24" s="428"/>
      <c r="B24" s="633"/>
      <c r="C24" s="2614"/>
      <c r="D24" s="448"/>
      <c r="E24" s="2607"/>
      <c r="F24" s="448"/>
      <c r="G24" s="2608"/>
      <c r="H24" s="448"/>
      <c r="I24" s="2608"/>
      <c r="J24" s="448"/>
      <c r="K24" s="615"/>
      <c r="L24" s="1143"/>
      <c r="M24" s="1134"/>
      <c r="N24" s="1134"/>
      <c r="O24" s="1134"/>
      <c r="P24" s="3281"/>
      <c r="Q24" s="1812"/>
      <c r="R24" s="774"/>
      <c r="S24" s="775"/>
      <c r="T24" s="774"/>
      <c r="U24" s="775"/>
      <c r="V24" s="774"/>
      <c r="W24" s="775"/>
      <c r="X24" s="1815"/>
      <c r="Y24" s="3211"/>
      <c r="Z24" s="1816"/>
      <c r="AA24" s="1813">
        <v>1</v>
      </c>
      <c r="AB24" s="1813">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81"/>
      <c r="Q25" s="1812" t="str">
        <f>B25</f>
        <v>毗邻道路的类型与等级</v>
      </c>
      <c r="R25" s="774" t="s">
        <v>17</v>
      </c>
      <c r="S25" s="775">
        <f>F25</f>
        <v>100</v>
      </c>
      <c r="T25" s="774" t="s">
        <v>17</v>
      </c>
      <c r="U25" s="775">
        <f>H25</f>
        <v>100</v>
      </c>
      <c r="V25" s="774" t="s">
        <v>17</v>
      </c>
      <c r="W25" s="775">
        <f>J25</f>
        <v>100</v>
      </c>
      <c r="X25" s="1815"/>
      <c r="Y25" s="3211"/>
      <c r="Z25" s="1816" t="str">
        <f>Q25</f>
        <v>毗邻道路的类型与等级</v>
      </c>
      <c r="AA25" s="1813">
        <f t="shared" si="3"/>
        <v>1</v>
      </c>
      <c r="AB25" s="1813">
        <f t="shared" si="4"/>
        <v>1</v>
      </c>
      <c r="AC25" s="2677">
        <f t="shared" si="5"/>
        <v>1</v>
      </c>
    </row>
    <row r="26" spans="1:29" ht="15">
      <c r="A26" s="404"/>
      <c r="B26" s="632"/>
      <c r="C26" s="634"/>
      <c r="D26" s="435"/>
      <c r="E26" s="616"/>
      <c r="F26" s="435"/>
      <c r="G26" s="634"/>
      <c r="H26" s="435"/>
      <c r="I26" s="616"/>
      <c r="J26" s="435"/>
      <c r="K26" s="615"/>
      <c r="L26" s="1143"/>
      <c r="M26" s="1134"/>
      <c r="N26" s="1134"/>
      <c r="O26" s="1134"/>
      <c r="P26" s="3281"/>
      <c r="Q26" s="1812"/>
      <c r="R26" s="774"/>
      <c r="S26" s="775"/>
      <c r="T26" s="774"/>
      <c r="U26" s="775"/>
      <c r="V26" s="774"/>
      <c r="W26" s="775"/>
      <c r="X26" s="1815"/>
      <c r="Y26" s="3211"/>
      <c r="Z26" s="1816"/>
      <c r="AA26" s="1813">
        <v>1</v>
      </c>
      <c r="AB26" s="1813">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1"/>
      <c r="Q27" s="1812" t="str">
        <f t="shared" ref="Q27:Q47" si="11">B27</f>
        <v>楼层</v>
      </c>
      <c r="R27" s="774" t="s">
        <v>17</v>
      </c>
      <c r="S27" s="775">
        <f>F27</f>
        <v>100</v>
      </c>
      <c r="T27" s="774" t="s">
        <v>17</v>
      </c>
      <c r="U27" s="775">
        <f>H27</f>
        <v>100</v>
      </c>
      <c r="V27" s="774" t="s">
        <v>17</v>
      </c>
      <c r="W27" s="775">
        <f>J27</f>
        <v>100</v>
      </c>
      <c r="X27" s="1815"/>
      <c r="Y27" s="3211"/>
      <c r="Z27" s="1816" t="str">
        <f>Q27</f>
        <v>楼层</v>
      </c>
      <c r="AA27" s="1813">
        <f t="shared" si="3"/>
        <v>1</v>
      </c>
      <c r="AB27" s="1813">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81"/>
      <c r="Q28" s="1797" t="str">
        <f t="shared" si="11"/>
        <v>朝向</v>
      </c>
      <c r="R28" s="770" t="s">
        <v>17</v>
      </c>
      <c r="S28" s="771">
        <f>F28</f>
        <v>100</v>
      </c>
      <c r="T28" s="770" t="s">
        <v>17</v>
      </c>
      <c r="U28" s="771">
        <f>H28</f>
        <v>100</v>
      </c>
      <c r="V28" s="770" t="s">
        <v>17</v>
      </c>
      <c r="W28" s="771">
        <f>J28</f>
        <v>100</v>
      </c>
      <c r="X28" s="772"/>
      <c r="Y28" s="3211"/>
      <c r="Z28" s="55" t="str">
        <f>Q28</f>
        <v>朝向</v>
      </c>
      <c r="AA28" s="1813">
        <f>D28/F28</f>
        <v>1</v>
      </c>
      <c r="AB28" s="1813">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81"/>
      <c r="Q29" s="1812">
        <f t="shared" si="11"/>
        <v>111</v>
      </c>
      <c r="R29" s="774" t="s">
        <v>17</v>
      </c>
      <c r="S29" s="775">
        <f t="shared" ref="S29:S47" si="12">F29</f>
        <v>100</v>
      </c>
      <c r="T29" s="774" t="s">
        <v>17</v>
      </c>
      <c r="U29" s="775">
        <f t="shared" ref="U29:U47" si="13">H29</f>
        <v>100</v>
      </c>
      <c r="V29" s="774" t="s">
        <v>17</v>
      </c>
      <c r="W29" s="775">
        <f t="shared" ref="W29:W47" si="14">J29</f>
        <v>100</v>
      </c>
      <c r="X29" s="1815"/>
      <c r="Y29" s="3211"/>
      <c r="Z29" s="1816">
        <f t="shared" ref="Z29:Z47" si="15">Q29</f>
        <v>111</v>
      </c>
      <c r="AA29" s="1813">
        <f t="shared" si="3"/>
        <v>1</v>
      </c>
      <c r="AB29" s="1813">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81"/>
      <c r="Q30" s="1812">
        <f t="shared" si="11"/>
        <v>111</v>
      </c>
      <c r="R30" s="774" t="s">
        <v>17</v>
      </c>
      <c r="S30" s="775">
        <f t="shared" si="12"/>
        <v>100</v>
      </c>
      <c r="T30" s="774" t="s">
        <v>17</v>
      </c>
      <c r="U30" s="775">
        <f t="shared" si="13"/>
        <v>100</v>
      </c>
      <c r="V30" s="774" t="s">
        <v>17</v>
      </c>
      <c r="W30" s="775">
        <f t="shared" si="14"/>
        <v>100</v>
      </c>
      <c r="X30" s="1815"/>
      <c r="Y30" s="3211"/>
      <c r="Z30" s="1816">
        <f t="shared" si="15"/>
        <v>111</v>
      </c>
      <c r="AA30" s="1813">
        <f t="shared" si="3"/>
        <v>1</v>
      </c>
      <c r="AB30" s="1813">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81"/>
      <c r="Q31" s="1812">
        <f t="shared" si="11"/>
        <v>111</v>
      </c>
      <c r="R31" s="774" t="s">
        <v>17</v>
      </c>
      <c r="S31" s="775">
        <f t="shared" si="12"/>
        <v>100</v>
      </c>
      <c r="T31" s="774" t="s">
        <v>17</v>
      </c>
      <c r="U31" s="775">
        <f t="shared" si="13"/>
        <v>100</v>
      </c>
      <c r="V31" s="774" t="s">
        <v>17</v>
      </c>
      <c r="W31" s="775">
        <f t="shared" si="14"/>
        <v>100</v>
      </c>
      <c r="X31" s="1815"/>
      <c r="Y31" s="3211"/>
      <c r="Z31" s="1816">
        <f t="shared" si="15"/>
        <v>111</v>
      </c>
      <c r="AA31" s="1813">
        <f t="shared" si="3"/>
        <v>1</v>
      </c>
      <c r="AB31" s="1813">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81"/>
      <c r="Q32" s="1812">
        <f t="shared" si="11"/>
        <v>111</v>
      </c>
      <c r="R32" s="774" t="s">
        <v>17</v>
      </c>
      <c r="S32" s="775">
        <f t="shared" si="12"/>
        <v>100</v>
      </c>
      <c r="T32" s="774" t="s">
        <v>17</v>
      </c>
      <c r="U32" s="775">
        <f t="shared" si="13"/>
        <v>100</v>
      </c>
      <c r="V32" s="774" t="s">
        <v>17</v>
      </c>
      <c r="W32" s="775">
        <f t="shared" si="14"/>
        <v>100</v>
      </c>
      <c r="X32" s="1815"/>
      <c r="Y32" s="3211"/>
      <c r="Z32" s="1816">
        <f t="shared" si="15"/>
        <v>111</v>
      </c>
      <c r="AA32" s="1813">
        <f t="shared" si="3"/>
        <v>1</v>
      </c>
      <c r="AB32" s="1813">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76" t="s">
        <v>2565</v>
      </c>
      <c r="Q33" s="1812" t="str">
        <f t="shared" si="11"/>
        <v>建筑类型</v>
      </c>
      <c r="R33" s="774" t="s">
        <v>17</v>
      </c>
      <c r="S33" s="775">
        <f t="shared" si="12"/>
        <v>100</v>
      </c>
      <c r="T33" s="774" t="s">
        <v>17</v>
      </c>
      <c r="U33" s="775">
        <f t="shared" si="13"/>
        <v>100</v>
      </c>
      <c r="V33" s="774" t="s">
        <v>17</v>
      </c>
      <c r="W33" s="775">
        <f t="shared" si="14"/>
        <v>100</v>
      </c>
      <c r="X33" s="1815"/>
      <c r="Y33" s="3213" t="s">
        <v>2565</v>
      </c>
      <c r="Z33" s="1816" t="str">
        <f t="shared" si="15"/>
        <v>建筑类型</v>
      </c>
      <c r="AA33" s="1813">
        <f t="shared" si="3"/>
        <v>1</v>
      </c>
      <c r="AB33" s="1813">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7"/>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3" t="e">
        <f t="shared" si="3"/>
        <v>#N/A</v>
      </c>
      <c r="AB34" s="1813"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7"/>
      <c r="Q35" s="1812" t="str">
        <f t="shared" si="11"/>
        <v>建筑结构</v>
      </c>
      <c r="R35" s="774" t="s">
        <v>17</v>
      </c>
      <c r="S35" s="775">
        <f t="shared" si="12"/>
        <v>100</v>
      </c>
      <c r="T35" s="774" t="s">
        <v>17</v>
      </c>
      <c r="U35" s="775">
        <f t="shared" si="13"/>
        <v>100</v>
      </c>
      <c r="V35" s="774" t="s">
        <v>17</v>
      </c>
      <c r="W35" s="775">
        <f t="shared" si="14"/>
        <v>100</v>
      </c>
      <c r="X35" s="1815"/>
      <c r="Y35" s="3213"/>
      <c r="Z35" s="1816" t="str">
        <f t="shared" si="15"/>
        <v>建筑结构</v>
      </c>
      <c r="AA35" s="1813">
        <f t="shared" si="3"/>
        <v>1</v>
      </c>
      <c r="AB35" s="1813">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7"/>
      <c r="Q36" s="1812" t="str">
        <f t="shared" si="11"/>
        <v>公共部分装修</v>
      </c>
      <c r="R36" s="774" t="s">
        <v>17</v>
      </c>
      <c r="S36" s="775">
        <f t="shared" si="12"/>
        <v>100</v>
      </c>
      <c r="T36" s="774" t="s">
        <v>17</v>
      </c>
      <c r="U36" s="775">
        <f t="shared" si="13"/>
        <v>100</v>
      </c>
      <c r="V36" s="774" t="s">
        <v>17</v>
      </c>
      <c r="W36" s="775">
        <f t="shared" si="14"/>
        <v>100</v>
      </c>
      <c r="X36" s="1815"/>
      <c r="Y36" s="3213"/>
      <c r="Z36" s="1816" t="str">
        <f t="shared" si="15"/>
        <v>公共部分装修</v>
      </c>
      <c r="AA36" s="1813">
        <f t="shared" si="3"/>
        <v>1</v>
      </c>
      <c r="AB36" s="1813">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7"/>
      <c r="Q37" s="1812" t="str">
        <f t="shared" si="11"/>
        <v>成新度</v>
      </c>
      <c r="R37" s="774" t="s">
        <v>17</v>
      </c>
      <c r="S37" s="775" t="e">
        <f t="shared" si="12"/>
        <v>#N/A</v>
      </c>
      <c r="T37" s="774" t="s">
        <v>17</v>
      </c>
      <c r="U37" s="775" t="e">
        <f t="shared" si="13"/>
        <v>#N/A</v>
      </c>
      <c r="V37" s="774" t="s">
        <v>17</v>
      </c>
      <c r="W37" s="775" t="e">
        <f t="shared" si="14"/>
        <v>#N/A</v>
      </c>
      <c r="X37" s="1815"/>
      <c r="Y37" s="3213"/>
      <c r="Z37" s="1816" t="str">
        <f t="shared" si="15"/>
        <v>成新度</v>
      </c>
      <c r="AA37" s="1813" t="e">
        <f t="shared" si="3"/>
        <v>#N/A</v>
      </c>
      <c r="AB37" s="1813"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7"/>
      <c r="Q38" s="1797"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7" t="s">
        <v>2565</v>
      </c>
      <c r="Q39" s="1812" t="str">
        <f t="shared" si="11"/>
        <v>物业管理</v>
      </c>
      <c r="R39" s="774" t="s">
        <v>17</v>
      </c>
      <c r="S39" s="775">
        <f t="shared" si="12"/>
        <v>100</v>
      </c>
      <c r="T39" s="774" t="s">
        <v>17</v>
      </c>
      <c r="U39" s="775">
        <f t="shared" si="13"/>
        <v>100</v>
      </c>
      <c r="V39" s="774" t="s">
        <v>17</v>
      </c>
      <c r="W39" s="775">
        <f t="shared" si="14"/>
        <v>100</v>
      </c>
      <c r="X39" s="1815"/>
      <c r="Y39" s="3213" t="s">
        <v>2565</v>
      </c>
      <c r="Z39" s="1816" t="str">
        <f t="shared" si="15"/>
        <v>物业管理</v>
      </c>
      <c r="AA39" s="1813">
        <f t="shared" si="3"/>
        <v>1</v>
      </c>
      <c r="AB39" s="1813">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7"/>
      <c r="Q40" s="1812" t="str">
        <f t="shared" si="11"/>
        <v>市政基础设施</v>
      </c>
      <c r="R40" s="774" t="s">
        <v>17</v>
      </c>
      <c r="S40" s="775">
        <f t="shared" si="12"/>
        <v>100</v>
      </c>
      <c r="T40" s="774" t="s">
        <v>17</v>
      </c>
      <c r="U40" s="775">
        <f t="shared" si="13"/>
        <v>100</v>
      </c>
      <c r="V40" s="774" t="s">
        <v>17</v>
      </c>
      <c r="W40" s="775">
        <f t="shared" si="14"/>
        <v>100</v>
      </c>
      <c r="X40" s="1815"/>
      <c r="Y40" s="3213"/>
      <c r="Z40" s="1816" t="str">
        <f t="shared" si="15"/>
        <v>市政基础设施</v>
      </c>
      <c r="AA40" s="1813">
        <f t="shared" si="3"/>
        <v>1</v>
      </c>
      <c r="AB40" s="1813">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7"/>
      <c r="Q41" s="1812" t="str">
        <f t="shared" si="11"/>
        <v>层高</v>
      </c>
      <c r="R41" s="774" t="s">
        <v>17</v>
      </c>
      <c r="S41" s="775">
        <f t="shared" si="12"/>
        <v>100</v>
      </c>
      <c r="T41" s="774" t="s">
        <v>17</v>
      </c>
      <c r="U41" s="775">
        <f t="shared" si="13"/>
        <v>100</v>
      </c>
      <c r="V41" s="774" t="s">
        <v>17</v>
      </c>
      <c r="W41" s="775">
        <f t="shared" si="14"/>
        <v>100</v>
      </c>
      <c r="X41" s="1815"/>
      <c r="Y41" s="3213"/>
      <c r="Z41" s="1816" t="str">
        <f t="shared" si="15"/>
        <v>层高</v>
      </c>
      <c r="AA41" s="1813">
        <f t="shared" si="3"/>
        <v>1</v>
      </c>
      <c r="AB41" s="1813">
        <f t="shared" si="4"/>
        <v>1</v>
      </c>
      <c r="AC41" s="2677">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7"/>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3">
        <f t="shared" si="3"/>
        <v>1</v>
      </c>
      <c r="AB42" s="1813">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7"/>
      <c r="Q43" s="1812" t="str">
        <f t="shared" si="11"/>
        <v>内部装修</v>
      </c>
      <c r="R43" s="774" t="s">
        <v>17</v>
      </c>
      <c r="S43" s="775">
        <f t="shared" si="12"/>
        <v>100</v>
      </c>
      <c r="T43" s="774" t="s">
        <v>17</v>
      </c>
      <c r="U43" s="775">
        <f t="shared" si="13"/>
        <v>100</v>
      </c>
      <c r="V43" s="774" t="s">
        <v>17</v>
      </c>
      <c r="W43" s="775">
        <f t="shared" si="14"/>
        <v>100</v>
      </c>
      <c r="X43" s="1815"/>
      <c r="Y43" s="3213"/>
      <c r="Z43" s="1816" t="str">
        <f t="shared" si="15"/>
        <v>内部装修</v>
      </c>
      <c r="AA43" s="1813">
        <f t="shared" si="3"/>
        <v>1</v>
      </c>
      <c r="AB43" s="1813">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77"/>
      <c r="Q44" s="1812" t="str">
        <f t="shared" si="11"/>
        <v>内部装修维护情况</v>
      </c>
      <c r="R44" s="774" t="s">
        <v>17</v>
      </c>
      <c r="S44" s="775">
        <f t="shared" si="12"/>
        <v>100</v>
      </c>
      <c r="T44" s="774" t="s">
        <v>17</v>
      </c>
      <c r="U44" s="775">
        <f t="shared" si="13"/>
        <v>100</v>
      </c>
      <c r="V44" s="774" t="s">
        <v>17</v>
      </c>
      <c r="W44" s="775">
        <f t="shared" si="14"/>
        <v>100</v>
      </c>
      <c r="X44" s="1815"/>
      <c r="Y44" s="3213"/>
      <c r="Z44" s="1816" t="str">
        <f t="shared" si="15"/>
        <v>内部装修维护情况</v>
      </c>
      <c r="AA44" s="1813">
        <f t="shared" si="3"/>
        <v>1</v>
      </c>
      <c r="AB44" s="1813">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7"/>
      <c r="Q45" s="1797">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7"/>
      <c r="Q46" s="1812">
        <f t="shared" si="11"/>
        <v>111</v>
      </c>
      <c r="R46" s="774" t="s">
        <v>17</v>
      </c>
      <c r="S46" s="775">
        <f t="shared" si="12"/>
        <v>100</v>
      </c>
      <c r="T46" s="774" t="s">
        <v>17</v>
      </c>
      <c r="U46" s="775">
        <f t="shared" si="13"/>
        <v>100</v>
      </c>
      <c r="V46" s="774" t="s">
        <v>17</v>
      </c>
      <c r="W46" s="775">
        <f t="shared" si="14"/>
        <v>100</v>
      </c>
      <c r="X46" s="1815"/>
      <c r="Y46" s="3213"/>
      <c r="Z46" s="1816">
        <f t="shared" si="15"/>
        <v>111</v>
      </c>
      <c r="AA46" s="1813">
        <f t="shared" si="3"/>
        <v>1</v>
      </c>
      <c r="AB46" s="1813">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8"/>
      <c r="Q47" s="1812">
        <f t="shared" si="11"/>
        <v>111</v>
      </c>
      <c r="R47" s="774" t="s">
        <v>17</v>
      </c>
      <c r="S47" s="775">
        <f t="shared" si="12"/>
        <v>100</v>
      </c>
      <c r="T47" s="774" t="s">
        <v>17</v>
      </c>
      <c r="U47" s="775">
        <f t="shared" si="13"/>
        <v>100</v>
      </c>
      <c r="V47" s="774" t="s">
        <v>17</v>
      </c>
      <c r="W47" s="775">
        <f t="shared" si="14"/>
        <v>100</v>
      </c>
      <c r="X47" s="1815"/>
      <c r="Y47" s="3279"/>
      <c r="Z47" s="1816">
        <f t="shared" si="15"/>
        <v>111</v>
      </c>
      <c r="AA47" s="1813">
        <f t="shared" si="3"/>
        <v>1</v>
      </c>
      <c r="AB47" s="1813">
        <f t="shared" si="4"/>
        <v>1</v>
      </c>
      <c r="AC47" s="2677">
        <f t="shared" si="5"/>
        <v>1</v>
      </c>
    </row>
    <row r="48" spans="1:29" ht="15">
      <c r="A48" s="479" t="s">
        <v>2577</v>
      </c>
      <c r="B48" s="480"/>
      <c r="C48" s="1410" t="s">
        <v>1</v>
      </c>
      <c r="D48" s="1411"/>
      <c r="E48" s="1412"/>
      <c r="F48" s="1413"/>
      <c r="G48" s="1414"/>
      <c r="H48" s="1415"/>
      <c r="I48" s="1412"/>
      <c r="J48" s="485"/>
      <c r="K48" s="783"/>
      <c r="L48" s="1146"/>
      <c r="M48" s="1134"/>
      <c r="N48" s="1134"/>
      <c r="O48" s="1134"/>
      <c r="P48" s="3207" t="str">
        <f>A48</f>
        <v>成交单价（元/平方米）</v>
      </c>
      <c r="Q48" s="3208"/>
      <c r="R48" s="3275">
        <f>E48</f>
        <v>0</v>
      </c>
      <c r="S48" s="3275"/>
      <c r="T48" s="3275">
        <f>G48</f>
        <v>0</v>
      </c>
      <c r="U48" s="3275"/>
      <c r="V48" s="3275">
        <f>I48</f>
        <v>0</v>
      </c>
      <c r="W48" s="3275"/>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07" t="str">
        <f>A49</f>
        <v>比较价值（元/平方米）</v>
      </c>
      <c r="Q49" s="3208"/>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82" t="str">
        <f>A50</f>
        <v>估价对象XX用房的比较价值（楼面单价，元/平方米）</v>
      </c>
      <c r="Q50" s="3283"/>
      <c r="R50" s="3284" t="e">
        <f>IF(F1="售价",ROUND(AVERAGE(R49:V49),0),ROUND(AVERAGE(R49:V49),1))</f>
        <v>#DIV/0!</v>
      </c>
      <c r="S50" s="3284"/>
      <c r="T50" s="3284"/>
      <c r="U50" s="3284"/>
      <c r="V50" s="3284"/>
      <c r="W50" s="328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4"/>
      <c r="Q58" s="504"/>
    </row>
    <row r="59" spans="1:29" s="508" customFormat="1" ht="15">
      <c r="A59" s="505" t="s">
        <v>2548</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2588</v>
      </c>
      <c r="B64" s="528" t="s">
        <v>2554</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2699</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2563</v>
      </c>
      <c r="B101" s="528" t="s">
        <v>2612</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2614</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2616</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2617</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2618</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2701</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2620</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2" t="s">
        <v>2702</v>
      </c>
      <c r="C1" s="1622" t="s">
        <v>2530</v>
      </c>
      <c r="D1" s="1623"/>
      <c r="E1" s="1632"/>
      <c r="F1" s="2587"/>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IF(C2="——",ROUND(C43*D3/10000,0),ROUND(C43*D3/10000,0)-D2)</f>
        <v>#DIV/0!</v>
      </c>
      <c r="C2" s="2589"/>
      <c r="D2" s="1127" t="e">
        <f ca="1">SUMIF(INDIRECT("'"&amp;F2&amp;"'"&amp;"!A:A"),"承租人权益价值",INDIRECT("'"&amp;F2&amp;"'"&amp;"!c:c"))</f>
        <v>#REF!</v>
      </c>
      <c r="E2" s="2590" t="s">
        <v>2328</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5121.38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5" t="s">
        <v>2646</v>
      </c>
      <c r="D4" s="3218"/>
      <c r="E4" s="3219" t="s">
        <v>2647</v>
      </c>
      <c r="F4" s="3220"/>
      <c r="G4" s="3205" t="s">
        <v>2648</v>
      </c>
      <c r="H4" s="3218"/>
      <c r="I4" s="3205" t="s">
        <v>2649</v>
      </c>
      <c r="J4" s="3218"/>
      <c r="K4" s="610" t="s">
        <v>2650</v>
      </c>
      <c r="L4" s="1133"/>
      <c r="M4" s="1134"/>
      <c r="N4" s="1134"/>
      <c r="O4" s="1134"/>
      <c r="P4" s="3221" t="s">
        <v>2651</v>
      </c>
      <c r="Q4" s="3222"/>
      <c r="R4" s="3227" t="s">
        <v>2647</v>
      </c>
      <c r="S4" s="3228"/>
      <c r="T4" s="3227" t="s">
        <v>2648</v>
      </c>
      <c r="U4" s="3228"/>
      <c r="V4" s="3214" t="s">
        <v>2649</v>
      </c>
      <c r="W4" s="3214"/>
      <c r="X4" s="1815"/>
      <c r="Y4" s="3227" t="s">
        <v>2651</v>
      </c>
      <c r="Z4" s="3228"/>
      <c r="AA4" s="3215" t="s">
        <v>2647</v>
      </c>
      <c r="AB4" s="3216" t="s">
        <v>2648</v>
      </c>
      <c r="AC4" s="3215" t="s">
        <v>2649</v>
      </c>
    </row>
    <row r="5" spans="1:29" ht="15">
      <c r="A5" s="404"/>
      <c r="B5" s="405"/>
      <c r="C5" s="3235" t="s">
        <v>2542</v>
      </c>
      <c r="D5" s="3236"/>
      <c r="E5" s="3242" t="s">
        <v>2543</v>
      </c>
      <c r="F5" s="3243"/>
      <c r="G5" s="3235" t="s">
        <v>2544</v>
      </c>
      <c r="H5" s="3236"/>
      <c r="I5" s="3235" t="s">
        <v>2545</v>
      </c>
      <c r="J5" s="3236"/>
      <c r="K5" s="610"/>
      <c r="L5" s="1133"/>
      <c r="M5" s="1134"/>
      <c r="N5" s="1134"/>
      <c r="O5" s="1134"/>
      <c r="P5" s="3223"/>
      <c r="Q5" s="3224"/>
      <c r="R5" s="3229"/>
      <c r="S5" s="3230"/>
      <c r="T5" s="3229"/>
      <c r="U5" s="3230"/>
      <c r="V5" s="3214"/>
      <c r="W5" s="3214"/>
      <c r="X5" s="1815"/>
      <c r="Y5" s="3229"/>
      <c r="Z5" s="3230"/>
      <c r="AA5" s="3216"/>
      <c r="AB5" s="3216"/>
      <c r="AC5" s="3216"/>
    </row>
    <row r="6" spans="1:29" ht="15.75" thickBot="1">
      <c r="A6" s="406"/>
      <c r="B6" s="407"/>
      <c r="C6" s="3233" t="s">
        <v>2546</v>
      </c>
      <c r="D6" s="3234"/>
      <c r="E6" s="3240" t="s">
        <v>2546</v>
      </c>
      <c r="F6" s="3241"/>
      <c r="G6" s="3233" t="s">
        <v>2546</v>
      </c>
      <c r="H6" s="3234"/>
      <c r="I6" s="3233" t="s">
        <v>2546</v>
      </c>
      <c r="J6" s="3234"/>
      <c r="K6" s="610" t="s">
        <v>2547</v>
      </c>
      <c r="L6" s="1133"/>
      <c r="M6" s="1134"/>
      <c r="N6" s="1134"/>
      <c r="O6" s="1134"/>
      <c r="P6" s="3225"/>
      <c r="Q6" s="3226"/>
      <c r="R6" s="3229"/>
      <c r="S6" s="3230"/>
      <c r="T6" s="3231"/>
      <c r="U6" s="3232"/>
      <c r="V6" s="3214"/>
      <c r="W6" s="3214"/>
      <c r="X6" s="1815"/>
      <c r="Y6" s="3231"/>
      <c r="Z6" s="3232"/>
      <c r="AA6" s="3217"/>
      <c r="AB6" s="3217"/>
      <c r="AC6" s="3217"/>
    </row>
    <row r="7" spans="1:29" s="117" customFormat="1" ht="15.75" thickBot="1">
      <c r="A7" s="408" t="s">
        <v>2548</v>
      </c>
      <c r="B7" s="409"/>
      <c r="C7" s="410">
        <f>'数据-取费表'!B2</f>
        <v>43293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7" t="s">
        <v>2549</v>
      </c>
      <c r="Q7" s="3239"/>
      <c r="R7" s="770" t="s">
        <v>17</v>
      </c>
      <c r="S7" s="771">
        <f t="shared" ref="S7:S15" si="0">F7</f>
        <v>0</v>
      </c>
      <c r="T7" s="770" t="s">
        <v>17</v>
      </c>
      <c r="U7" s="771">
        <f t="shared" ref="U7:U15" si="1">H7</f>
        <v>0</v>
      </c>
      <c r="V7" s="770" t="s">
        <v>17</v>
      </c>
      <c r="W7" s="771">
        <f t="shared" ref="W7:W15" si="2">J7</f>
        <v>0</v>
      </c>
      <c r="X7" s="772"/>
      <c r="Y7" s="3237" t="s">
        <v>2549</v>
      </c>
      <c r="Z7" s="323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7" t="s">
        <v>2552</v>
      </c>
      <c r="Q8" s="3238"/>
      <c r="R8" s="770" t="s">
        <v>17</v>
      </c>
      <c r="S8" s="771">
        <f t="shared" si="0"/>
        <v>0</v>
      </c>
      <c r="T8" s="770" t="s">
        <v>17</v>
      </c>
      <c r="U8" s="771">
        <f t="shared" si="1"/>
        <v>0</v>
      </c>
      <c r="V8" s="770" t="s">
        <v>17</v>
      </c>
      <c r="W8" s="771">
        <f t="shared" si="2"/>
        <v>0</v>
      </c>
      <c r="X8" s="772"/>
      <c r="Y8" s="3237" t="s">
        <v>2552</v>
      </c>
      <c r="Z8" s="323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8" t="s">
        <v>2555</v>
      </c>
      <c r="Q9" s="179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8"/>
      <c r="Q10" s="179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8"/>
      <c r="Q11" s="179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8"/>
      <c r="Q12" s="179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8"/>
      <c r="Q13" s="179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8"/>
      <c r="Q14" s="179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0" t="s">
        <v>2560</v>
      </c>
      <c r="Q15" s="1812" t="str">
        <f t="shared" si="6"/>
        <v>产业集聚程度</v>
      </c>
      <c r="R15" s="774" t="s">
        <v>17</v>
      </c>
      <c r="S15" s="775">
        <f t="shared" si="0"/>
        <v>100</v>
      </c>
      <c r="T15" s="774" t="s">
        <v>17</v>
      </c>
      <c r="U15" s="775">
        <f t="shared" si="1"/>
        <v>100</v>
      </c>
      <c r="V15" s="774" t="s">
        <v>17</v>
      </c>
      <c r="W15" s="775">
        <f t="shared" si="2"/>
        <v>100</v>
      </c>
      <c r="X15" s="1815"/>
      <c r="Y15" s="3210"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1"/>
      <c r="Q16" s="1812"/>
      <c r="R16" s="774"/>
      <c r="S16" s="775"/>
      <c r="T16" s="774"/>
      <c r="U16" s="775"/>
      <c r="V16" s="774"/>
      <c r="W16" s="775"/>
      <c r="X16" s="1815"/>
      <c r="Y16" s="3211"/>
      <c r="Z16" s="1816"/>
      <c r="AA16" s="1813">
        <v>1</v>
      </c>
      <c r="AB16" s="1813">
        <v>1</v>
      </c>
      <c r="AC16" s="1813">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3"/>
      <c r="M18" s="1134"/>
      <c r="N18" s="1134"/>
      <c r="O18" s="1142"/>
      <c r="P18" s="3211"/>
      <c r="Q18" s="1812"/>
      <c r="R18" s="774"/>
      <c r="S18" s="775"/>
      <c r="T18" s="774"/>
      <c r="U18" s="775"/>
      <c r="V18" s="774"/>
      <c r="W18" s="775"/>
      <c r="X18" s="1815"/>
      <c r="Y18" s="3211"/>
      <c r="Z18" s="1816"/>
      <c r="AA18" s="1813">
        <v>1</v>
      </c>
      <c r="AB18" s="1813">
        <v>1</v>
      </c>
      <c r="AC18" s="1813">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1"/>
      <c r="Q19" s="1812" t="str">
        <f>B19</f>
        <v>公共配套设施</v>
      </c>
      <c r="R19" s="774" t="s">
        <v>17</v>
      </c>
      <c r="S19" s="775">
        <f>F19</f>
        <v>100</v>
      </c>
      <c r="T19" s="774" t="s">
        <v>17</v>
      </c>
      <c r="U19" s="775">
        <f>H19</f>
        <v>100</v>
      </c>
      <c r="V19" s="774" t="s">
        <v>17</v>
      </c>
      <c r="W19" s="775">
        <f>J19</f>
        <v>100</v>
      </c>
      <c r="X19" s="1815"/>
      <c r="Y19" s="3211"/>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3"/>
      <c r="M20" s="1134"/>
      <c r="N20" s="1134"/>
      <c r="O20" s="1142"/>
      <c r="P20" s="3211"/>
      <c r="Q20" s="1812"/>
      <c r="R20" s="774"/>
      <c r="S20" s="775"/>
      <c r="T20" s="774"/>
      <c r="U20" s="775"/>
      <c r="V20" s="774"/>
      <c r="W20" s="775"/>
      <c r="X20" s="1815"/>
      <c r="Y20" s="3211"/>
      <c r="Z20" s="1816"/>
      <c r="AA20" s="1813">
        <v>1</v>
      </c>
      <c r="AB20" s="1813">
        <v>1</v>
      </c>
      <c r="AC20" s="1813">
        <v>1</v>
      </c>
    </row>
    <row r="21" spans="1:29" ht="28.5">
      <c r="A21" s="428"/>
      <c r="B21" s="1387"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1"/>
      <c r="Q21" s="1812" t="str">
        <f>B21</f>
        <v>基础设施水平</v>
      </c>
      <c r="R21" s="774" t="s">
        <v>17</v>
      </c>
      <c r="S21" s="775">
        <f>F21</f>
        <v>100</v>
      </c>
      <c r="T21" s="774" t="s">
        <v>17</v>
      </c>
      <c r="U21" s="775">
        <f>H21</f>
        <v>100</v>
      </c>
      <c r="V21" s="774" t="s">
        <v>17</v>
      </c>
      <c r="W21" s="775">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7"/>
      <c r="C22" s="2611"/>
      <c r="D22" s="448"/>
      <c r="E22" s="447"/>
      <c r="F22" s="449"/>
      <c r="G22" s="447"/>
      <c r="H22" s="448"/>
      <c r="I22" s="447"/>
      <c r="J22" s="448"/>
      <c r="K22" s="1386"/>
      <c r="L22" s="1143"/>
      <c r="M22" s="1134"/>
      <c r="N22" s="1134"/>
      <c r="O22" s="1142"/>
      <c r="P22" s="3211"/>
      <c r="Q22" s="1812"/>
      <c r="R22" s="774"/>
      <c r="S22" s="775"/>
      <c r="T22" s="774"/>
      <c r="U22" s="775"/>
      <c r="V22" s="774"/>
      <c r="W22" s="775"/>
      <c r="X22" s="1815"/>
      <c r="Y22" s="3211"/>
      <c r="Z22" s="1816"/>
      <c r="AA22" s="1813">
        <v>1</v>
      </c>
      <c r="AB22" s="1813">
        <v>1</v>
      </c>
      <c r="AC22" s="1813">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1"/>
      <c r="Q23" s="1812" t="str">
        <f>B23</f>
        <v>环境质量</v>
      </c>
      <c r="R23" s="774" t="s">
        <v>17</v>
      </c>
      <c r="S23" s="775">
        <f>F23</f>
        <v>100</v>
      </c>
      <c r="T23" s="774" t="s">
        <v>17</v>
      </c>
      <c r="U23" s="775">
        <f>H23</f>
        <v>100</v>
      </c>
      <c r="V23" s="774" t="s">
        <v>17</v>
      </c>
      <c r="W23" s="775">
        <f>J23</f>
        <v>100</v>
      </c>
      <c r="X23" s="1815"/>
      <c r="Y23" s="3211"/>
      <c r="Z23" s="1816" t="str">
        <f>Q23</f>
        <v>环境质量</v>
      </c>
      <c r="AA23" s="1813">
        <f t="shared" si="3"/>
        <v>1</v>
      </c>
      <c r="AB23" s="1813">
        <f t="shared" si="4"/>
        <v>1</v>
      </c>
      <c r="AC23" s="1813">
        <f t="shared" si="5"/>
        <v>1</v>
      </c>
    </row>
    <row r="24" spans="1:29" ht="15">
      <c r="A24" s="428"/>
      <c r="B24" s="1387"/>
      <c r="C24" s="447"/>
      <c r="D24" s="448"/>
      <c r="E24" s="2608"/>
      <c r="F24" s="449"/>
      <c r="G24" s="2607"/>
      <c r="H24" s="448"/>
      <c r="I24" s="2608"/>
      <c r="J24" s="448"/>
      <c r="K24" s="615"/>
      <c r="L24" s="1143"/>
      <c r="M24" s="1134"/>
      <c r="N24" s="1134"/>
      <c r="O24" s="1142"/>
      <c r="P24" s="3211"/>
      <c r="Q24" s="1812"/>
      <c r="R24" s="774"/>
      <c r="S24" s="775"/>
      <c r="T24" s="774"/>
      <c r="U24" s="775"/>
      <c r="V24" s="774"/>
      <c r="W24" s="775"/>
      <c r="X24" s="1815"/>
      <c r="Y24" s="321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1"/>
      <c r="Q25" s="1812">
        <f>B25</f>
        <v>111</v>
      </c>
      <c r="R25" s="774" t="s">
        <v>17</v>
      </c>
      <c r="S25" s="775">
        <f>F25</f>
        <v>100</v>
      </c>
      <c r="T25" s="774" t="s">
        <v>17</v>
      </c>
      <c r="U25" s="775">
        <f>H25</f>
        <v>100</v>
      </c>
      <c r="V25" s="774" t="s">
        <v>17</v>
      </c>
      <c r="W25" s="775">
        <f>J25</f>
        <v>100</v>
      </c>
      <c r="X25" s="1815"/>
      <c r="Y25" s="321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1"/>
      <c r="Q26" s="1812">
        <f t="shared" ref="Q26:Q40" si="11">B26</f>
        <v>111</v>
      </c>
      <c r="R26" s="774" t="s">
        <v>17</v>
      </c>
      <c r="S26" s="775">
        <f>F26</f>
        <v>100</v>
      </c>
      <c r="T26" s="774" t="s">
        <v>17</v>
      </c>
      <c r="U26" s="775">
        <f>H26</f>
        <v>100</v>
      </c>
      <c r="V26" s="774" t="s">
        <v>17</v>
      </c>
      <c r="W26" s="775">
        <f>J26</f>
        <v>100</v>
      </c>
      <c r="X26" s="1815"/>
      <c r="Y26" s="321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1"/>
      <c r="Q27" s="1797">
        <f t="shared" si="11"/>
        <v>111</v>
      </c>
      <c r="R27" s="770" t="s">
        <v>17</v>
      </c>
      <c r="S27" s="771">
        <f>F27</f>
        <v>100</v>
      </c>
      <c r="T27" s="770" t="s">
        <v>17</v>
      </c>
      <c r="U27" s="771">
        <f>H27</f>
        <v>100</v>
      </c>
      <c r="V27" s="770" t="s">
        <v>17</v>
      </c>
      <c r="W27" s="771">
        <f>J27</f>
        <v>100</v>
      </c>
      <c r="X27" s="772"/>
      <c r="Y27" s="321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1"/>
      <c r="Q28" s="1812">
        <f t="shared" si="11"/>
        <v>111</v>
      </c>
      <c r="R28" s="774" t="s">
        <v>17</v>
      </c>
      <c r="S28" s="775">
        <f t="shared" ref="S28:S40" si="12">F28</f>
        <v>100</v>
      </c>
      <c r="T28" s="774" t="s">
        <v>17</v>
      </c>
      <c r="U28" s="775">
        <f t="shared" ref="U28:U40" si="13">H28</f>
        <v>100</v>
      </c>
      <c r="V28" s="774" t="s">
        <v>17</v>
      </c>
      <c r="W28" s="775">
        <f t="shared" ref="W28:W40" si="14">J28</f>
        <v>100</v>
      </c>
      <c r="X28" s="1815"/>
      <c r="Y28" s="3211"/>
      <c r="Z28" s="1816">
        <f t="shared" ref="Z28:Z40" si="15">Q28</f>
        <v>111</v>
      </c>
      <c r="AA28" s="1813">
        <f t="shared" si="3"/>
        <v>1</v>
      </c>
      <c r="AB28" s="1813">
        <f t="shared" si="4"/>
        <v>1</v>
      </c>
      <c r="AC28" s="1813">
        <f t="shared" si="5"/>
        <v>1</v>
      </c>
    </row>
    <row r="29" spans="1:29" ht="1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12" t="s">
        <v>2565</v>
      </c>
      <c r="Q29" s="1812" t="str">
        <f t="shared" si="11"/>
        <v>建筑类型</v>
      </c>
      <c r="R29" s="774" t="s">
        <v>17</v>
      </c>
      <c r="S29" s="775">
        <f t="shared" si="12"/>
        <v>100</v>
      </c>
      <c r="T29" s="774" t="s">
        <v>17</v>
      </c>
      <c r="U29" s="775">
        <f t="shared" si="13"/>
        <v>100</v>
      </c>
      <c r="V29" s="774" t="s">
        <v>17</v>
      </c>
      <c r="W29" s="775">
        <f t="shared" si="14"/>
        <v>100</v>
      </c>
      <c r="X29" s="1815"/>
      <c r="Y29" s="3213"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3"/>
      <c r="Q31" s="1812" t="str">
        <f t="shared" si="11"/>
        <v>建筑结构</v>
      </c>
      <c r="R31" s="774" t="s">
        <v>17</v>
      </c>
      <c r="S31" s="775">
        <f t="shared" si="12"/>
        <v>100</v>
      </c>
      <c r="T31" s="774" t="s">
        <v>17</v>
      </c>
      <c r="U31" s="775">
        <f t="shared" si="13"/>
        <v>100</v>
      </c>
      <c r="V31" s="774" t="s">
        <v>17</v>
      </c>
      <c r="W31" s="775">
        <f t="shared" si="14"/>
        <v>100</v>
      </c>
      <c r="X31" s="1815"/>
      <c r="Y31" s="3213"/>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3"/>
      <c r="Q32" s="1812" t="str">
        <f t="shared" si="11"/>
        <v>公共部分装修</v>
      </c>
      <c r="R32" s="774" t="s">
        <v>17</v>
      </c>
      <c r="S32" s="775">
        <f t="shared" si="12"/>
        <v>100</v>
      </c>
      <c r="T32" s="774" t="s">
        <v>17</v>
      </c>
      <c r="U32" s="775">
        <f t="shared" si="13"/>
        <v>100</v>
      </c>
      <c r="V32" s="774" t="s">
        <v>17</v>
      </c>
      <c r="W32" s="775">
        <f t="shared" si="14"/>
        <v>100</v>
      </c>
      <c r="X32" s="1815"/>
      <c r="Y32" s="3213"/>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3"/>
      <c r="Q33" s="1812" t="str">
        <f t="shared" si="11"/>
        <v>成新度</v>
      </c>
      <c r="R33" s="774" t="s">
        <v>17</v>
      </c>
      <c r="S33" s="775" t="e">
        <f t="shared" si="12"/>
        <v>#N/A</v>
      </c>
      <c r="T33" s="774" t="s">
        <v>17</v>
      </c>
      <c r="U33" s="775" t="e">
        <f t="shared" si="13"/>
        <v>#N/A</v>
      </c>
      <c r="V33" s="774" t="s">
        <v>17</v>
      </c>
      <c r="W33" s="775" t="e">
        <f t="shared" si="14"/>
        <v>#N/A</v>
      </c>
      <c r="X33" s="1815"/>
      <c r="Y33" s="3213"/>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3"/>
      <c r="Q34" s="1797"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3" t="s">
        <v>2565</v>
      </c>
      <c r="Q35" s="1812" t="str">
        <f t="shared" si="11"/>
        <v>市政基础设施</v>
      </c>
      <c r="R35" s="774" t="s">
        <v>17</v>
      </c>
      <c r="S35" s="775">
        <f t="shared" si="12"/>
        <v>100</v>
      </c>
      <c r="T35" s="774" t="s">
        <v>17</v>
      </c>
      <c r="U35" s="775">
        <f t="shared" si="13"/>
        <v>100</v>
      </c>
      <c r="V35" s="774" t="s">
        <v>17</v>
      </c>
      <c r="W35" s="775">
        <f t="shared" si="14"/>
        <v>100</v>
      </c>
      <c r="X35" s="1815"/>
      <c r="Y35" s="3213"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3"/>
      <c r="Q36" s="1812" t="str">
        <f t="shared" si="11"/>
        <v>内部装修</v>
      </c>
      <c r="R36" s="774" t="s">
        <v>17</v>
      </c>
      <c r="S36" s="775">
        <f t="shared" si="12"/>
        <v>100</v>
      </c>
      <c r="T36" s="774" t="s">
        <v>17</v>
      </c>
      <c r="U36" s="775">
        <f t="shared" si="13"/>
        <v>100</v>
      </c>
      <c r="V36" s="774" t="s">
        <v>17</v>
      </c>
      <c r="W36" s="775">
        <f t="shared" si="14"/>
        <v>100</v>
      </c>
      <c r="X36" s="1815"/>
      <c r="Y36" s="3213"/>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3"/>
      <c r="Q37" s="1812" t="str">
        <f t="shared" si="11"/>
        <v>内部装修状况</v>
      </c>
      <c r="R37" s="774" t="s">
        <v>17</v>
      </c>
      <c r="S37" s="775">
        <f t="shared" si="12"/>
        <v>100</v>
      </c>
      <c r="T37" s="774" t="s">
        <v>17</v>
      </c>
      <c r="U37" s="775">
        <f t="shared" si="13"/>
        <v>100</v>
      </c>
      <c r="V37" s="774" t="s">
        <v>17</v>
      </c>
      <c r="W37" s="775">
        <f t="shared" si="14"/>
        <v>100</v>
      </c>
      <c r="X37" s="1815"/>
      <c r="Y37" s="321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3"/>
      <c r="Q39" s="1812">
        <f t="shared" si="11"/>
        <v>111</v>
      </c>
      <c r="R39" s="774" t="s">
        <v>17</v>
      </c>
      <c r="S39" s="775">
        <f t="shared" si="12"/>
        <v>100</v>
      </c>
      <c r="T39" s="774" t="s">
        <v>17</v>
      </c>
      <c r="U39" s="775">
        <f t="shared" si="13"/>
        <v>100</v>
      </c>
      <c r="V39" s="774" t="s">
        <v>17</v>
      </c>
      <c r="W39" s="775">
        <f t="shared" si="14"/>
        <v>100</v>
      </c>
      <c r="X39" s="1815"/>
      <c r="Y39" s="3213"/>
      <c r="Z39" s="1816">
        <f t="shared" si="15"/>
        <v>111</v>
      </c>
      <c r="AA39" s="1813">
        <f t="shared" si="3"/>
        <v>1</v>
      </c>
      <c r="AB39" s="1813">
        <f t="shared" si="4"/>
        <v>1</v>
      </c>
      <c r="AC39" s="1813">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9"/>
      <c r="Q40" s="1812">
        <f t="shared" si="11"/>
        <v>111</v>
      </c>
      <c r="R40" s="774" t="s">
        <v>17</v>
      </c>
      <c r="S40" s="775">
        <f t="shared" si="12"/>
        <v>100</v>
      </c>
      <c r="T40" s="774" t="s">
        <v>17</v>
      </c>
      <c r="U40" s="775">
        <f t="shared" si="13"/>
        <v>100</v>
      </c>
      <c r="V40" s="774" t="s">
        <v>17</v>
      </c>
      <c r="W40" s="775">
        <f t="shared" si="14"/>
        <v>100</v>
      </c>
      <c r="X40" s="1815"/>
      <c r="Y40" s="3279"/>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208" t="str">
        <f>A41</f>
        <v>成交单价（元/平方米）</v>
      </c>
      <c r="Q41" s="3208"/>
      <c r="R41" s="3275">
        <f>E41</f>
        <v>0</v>
      </c>
      <c r="S41" s="3275"/>
      <c r="T41" s="3275">
        <f>G41</f>
        <v>0</v>
      </c>
      <c r="U41" s="3275"/>
      <c r="V41" s="3275">
        <f>I41</f>
        <v>0</v>
      </c>
      <c r="W41" s="3275"/>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08" t="str">
        <f>A42</f>
        <v>比较价值（元/平方米）</v>
      </c>
      <c r="Q42" s="3208"/>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74" t="e">
        <f>IF(F1="售价",ROUND(AVERAGE(R42:V42),0),ROUND(AVERAGE(R42:V42),1))</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87"/>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1" t="e">
        <f ca="1">IF(C2="——",IF(B37="元/平方米",ROUND(C39*D3/10000,0),ROUND(F3*C39/10000,0)),IF(B37="元/平方米",ROUND(C39*D3/10000,0),ROUND(F3*C39/10000,0))-D2)</f>
        <v>#DIV/0!</v>
      </c>
      <c r="C2" s="2589"/>
      <c r="D2" s="1127" t="e">
        <f ca="1">SUMIF(INDIRECT("'"&amp;F2&amp;"'"&amp;"!A:A"),"承租人权益价值",INDIRECT("'"&amp;F2&amp;"'"&amp;"!c:c"))</f>
        <v>#REF!</v>
      </c>
      <c r="E2" s="2590" t="s">
        <v>2328</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205" t="s">
        <v>2646</v>
      </c>
      <c r="D4" s="3218"/>
      <c r="E4" s="3219" t="s">
        <v>2647</v>
      </c>
      <c r="F4" s="3220"/>
      <c r="G4" s="3205" t="s">
        <v>2648</v>
      </c>
      <c r="H4" s="3218"/>
      <c r="I4" s="3205" t="s">
        <v>2649</v>
      </c>
      <c r="J4" s="3218"/>
      <c r="K4" s="610" t="s">
        <v>2650</v>
      </c>
      <c r="L4" s="1133"/>
      <c r="M4" s="1134"/>
      <c r="N4" s="1134"/>
      <c r="O4" s="1134"/>
      <c r="P4" s="3221" t="s">
        <v>2651</v>
      </c>
      <c r="Q4" s="3222"/>
      <c r="R4" s="3227" t="s">
        <v>2647</v>
      </c>
      <c r="S4" s="3228"/>
      <c r="T4" s="3227" t="s">
        <v>2648</v>
      </c>
      <c r="U4" s="3228"/>
      <c r="V4" s="3214" t="s">
        <v>2649</v>
      </c>
      <c r="W4" s="3214"/>
      <c r="X4" s="1815"/>
      <c r="Y4" s="3227" t="s">
        <v>2651</v>
      </c>
      <c r="Z4" s="3228"/>
      <c r="AA4" s="3215" t="s">
        <v>2647</v>
      </c>
      <c r="AB4" s="3216" t="s">
        <v>2648</v>
      </c>
      <c r="AC4" s="3215" t="s">
        <v>2649</v>
      </c>
    </row>
    <row r="5" spans="1:29" ht="15">
      <c r="A5" s="404"/>
      <c r="B5" s="405"/>
      <c r="C5" s="3235" t="s">
        <v>2542</v>
      </c>
      <c r="D5" s="3236"/>
      <c r="E5" s="3242" t="s">
        <v>2543</v>
      </c>
      <c r="F5" s="3243"/>
      <c r="G5" s="3235" t="s">
        <v>2544</v>
      </c>
      <c r="H5" s="3236"/>
      <c r="I5" s="3235" t="s">
        <v>2545</v>
      </c>
      <c r="J5" s="3236"/>
      <c r="K5" s="610"/>
      <c r="L5" s="1133"/>
      <c r="M5" s="1134"/>
      <c r="N5" s="1134"/>
      <c r="O5" s="1134"/>
      <c r="P5" s="3223"/>
      <c r="Q5" s="3224"/>
      <c r="R5" s="3229"/>
      <c r="S5" s="3230"/>
      <c r="T5" s="3229"/>
      <c r="U5" s="3230"/>
      <c r="V5" s="3214"/>
      <c r="W5" s="3214"/>
      <c r="X5" s="1815"/>
      <c r="Y5" s="3229"/>
      <c r="Z5" s="3230"/>
      <c r="AA5" s="3216"/>
      <c r="AB5" s="3216"/>
      <c r="AC5" s="3216"/>
    </row>
    <row r="6" spans="1:29" ht="15.75" thickBot="1">
      <c r="A6" s="406"/>
      <c r="B6" s="407"/>
      <c r="C6" s="3233" t="s">
        <v>2546</v>
      </c>
      <c r="D6" s="3234"/>
      <c r="E6" s="3240" t="s">
        <v>2546</v>
      </c>
      <c r="F6" s="3241"/>
      <c r="G6" s="3233" t="s">
        <v>2546</v>
      </c>
      <c r="H6" s="3234"/>
      <c r="I6" s="3233" t="s">
        <v>2546</v>
      </c>
      <c r="J6" s="3234"/>
      <c r="K6" s="610" t="s">
        <v>2547</v>
      </c>
      <c r="L6" s="1133"/>
      <c r="M6" s="1134"/>
      <c r="N6" s="1134"/>
      <c r="O6" s="1134"/>
      <c r="P6" s="3225"/>
      <c r="Q6" s="3226"/>
      <c r="R6" s="3229"/>
      <c r="S6" s="3230"/>
      <c r="T6" s="3231"/>
      <c r="U6" s="3232"/>
      <c r="V6" s="3214"/>
      <c r="W6" s="3214"/>
      <c r="X6" s="1815"/>
      <c r="Y6" s="3231"/>
      <c r="Z6" s="3232"/>
      <c r="AA6" s="3217"/>
      <c r="AB6" s="3217"/>
      <c r="AC6" s="3217"/>
    </row>
    <row r="7" spans="1:29" s="117" customFormat="1" ht="15.75" thickBot="1">
      <c r="A7" s="408" t="s">
        <v>2548</v>
      </c>
      <c r="B7" s="409"/>
      <c r="C7" s="410">
        <f>'数据-取费表'!B2</f>
        <v>43293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7" t="s">
        <v>2549</v>
      </c>
      <c r="Q7" s="3239"/>
      <c r="R7" s="770" t="s">
        <v>17</v>
      </c>
      <c r="S7" s="771">
        <f t="shared" ref="S7:S14" si="0">F7</f>
        <v>0</v>
      </c>
      <c r="T7" s="770" t="s">
        <v>17</v>
      </c>
      <c r="U7" s="771">
        <f t="shared" ref="U7:U14" si="1">H7</f>
        <v>0</v>
      </c>
      <c r="V7" s="770" t="s">
        <v>17</v>
      </c>
      <c r="W7" s="771">
        <f t="shared" ref="W7:W14" si="2">J7</f>
        <v>0</v>
      </c>
      <c r="X7" s="772"/>
      <c r="Y7" s="3237" t="s">
        <v>2549</v>
      </c>
      <c r="Z7" s="323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7" t="s">
        <v>2552</v>
      </c>
      <c r="Q8" s="3238"/>
      <c r="R8" s="770" t="s">
        <v>17</v>
      </c>
      <c r="S8" s="771">
        <f t="shared" si="0"/>
        <v>0</v>
      </c>
      <c r="T8" s="770" t="s">
        <v>17</v>
      </c>
      <c r="U8" s="771">
        <f t="shared" si="1"/>
        <v>0</v>
      </c>
      <c r="V8" s="770" t="s">
        <v>17</v>
      </c>
      <c r="W8" s="771">
        <f t="shared" si="2"/>
        <v>0</v>
      </c>
      <c r="X8" s="772"/>
      <c r="Y8" s="3237" t="s">
        <v>2552</v>
      </c>
      <c r="Z8" s="323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8" t="s">
        <v>2555</v>
      </c>
      <c r="Q9" s="1797" t="str">
        <f t="shared" ref="Q9:Q14" si="6">B9</f>
        <v>用途</v>
      </c>
      <c r="R9" s="770" t="s">
        <v>17</v>
      </c>
      <c r="S9" s="771">
        <f t="shared" si="0"/>
        <v>100</v>
      </c>
      <c r="T9" s="770" t="s">
        <v>17</v>
      </c>
      <c r="U9" s="771">
        <f t="shared" si="1"/>
        <v>100</v>
      </c>
      <c r="V9" s="770" t="s">
        <v>17</v>
      </c>
      <c r="W9" s="771">
        <f t="shared" si="2"/>
        <v>100</v>
      </c>
      <c r="X9" s="772"/>
      <c r="Y9" s="303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8"/>
      <c r="Q10" s="179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8"/>
      <c r="Q11" s="1797">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8"/>
      <c r="Q12" s="179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8"/>
      <c r="Q13" s="179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14">
      <c r="A14" s="401" t="s">
        <v>2559</v>
      </c>
      <c r="B14" s="629" t="s">
        <v>2709</v>
      </c>
      <c r="C14" s="2696" t="str">
        <f>IF(B1="工业",估价对象房地状况!G4,估价对象房地状况!C6)</f>
        <v>估价对象周边道路状况、公共交通通达情况：地铁10号线及71、511路等公交车、停车便捷程度，综合评价交通便捷度较好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0" t="s">
        <v>2560</v>
      </c>
      <c r="Q14" s="1812" t="str">
        <f t="shared" si="6"/>
        <v>交通便捷度</v>
      </c>
      <c r="R14" s="774" t="s">
        <v>17</v>
      </c>
      <c r="S14" s="775">
        <f t="shared" si="0"/>
        <v>100</v>
      </c>
      <c r="T14" s="774" t="s">
        <v>17</v>
      </c>
      <c r="U14" s="775">
        <f t="shared" si="1"/>
        <v>100</v>
      </c>
      <c r="V14" s="774" t="s">
        <v>17</v>
      </c>
      <c r="W14" s="775">
        <f t="shared" si="2"/>
        <v>100</v>
      </c>
      <c r="X14" s="1815"/>
      <c r="Y14" s="3210"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1"/>
      <c r="Q15" s="1812"/>
      <c r="R15" s="774"/>
      <c r="S15" s="775"/>
      <c r="T15" s="774"/>
      <c r="U15" s="775"/>
      <c r="V15" s="774"/>
      <c r="W15" s="775"/>
      <c r="X15" s="1815"/>
      <c r="Y15" s="3211"/>
      <c r="Z15" s="1816"/>
      <c r="AA15" s="1813">
        <v>1</v>
      </c>
      <c r="AB15" s="1813">
        <v>1</v>
      </c>
      <c r="AC15" s="1813">
        <v>1</v>
      </c>
    </row>
    <row r="16" spans="1:29" ht="42.75">
      <c r="A16" s="404"/>
      <c r="B16" s="631" t="s">
        <v>2688</v>
      </c>
      <c r="C16" s="2610"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1"/>
      <c r="Q16" s="1812" t="str">
        <f>B16</f>
        <v>公共配套设施</v>
      </c>
      <c r="R16" s="774" t="s">
        <v>17</v>
      </c>
      <c r="S16" s="775">
        <f>F16</f>
        <v>100</v>
      </c>
      <c r="T16" s="774" t="s">
        <v>17</v>
      </c>
      <c r="U16" s="775">
        <f>H16</f>
        <v>100</v>
      </c>
      <c r="V16" s="774" t="s">
        <v>17</v>
      </c>
      <c r="W16" s="775">
        <f>J16</f>
        <v>100</v>
      </c>
      <c r="X16" s="1815"/>
      <c r="Y16" s="3211"/>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3"/>
      <c r="M17" s="1134"/>
      <c r="N17" s="1134"/>
      <c r="O17" s="1134"/>
      <c r="P17" s="3211"/>
      <c r="Q17" s="1812"/>
      <c r="R17" s="774"/>
      <c r="S17" s="775"/>
      <c r="T17" s="774"/>
      <c r="U17" s="775"/>
      <c r="V17" s="774"/>
      <c r="W17" s="775"/>
      <c r="X17" s="1815"/>
      <c r="Y17" s="3211"/>
      <c r="Z17" s="1816"/>
      <c r="AA17" s="1813">
        <v>1</v>
      </c>
      <c r="AB17" s="1813">
        <v>1</v>
      </c>
      <c r="AC17" s="1813">
        <v>1</v>
      </c>
    </row>
    <row r="18" spans="1:29" ht="42.75">
      <c r="A18" s="404"/>
      <c r="B18" s="633" t="s">
        <v>2689</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1"/>
      <c r="Q18" s="1812" t="str">
        <f>B18</f>
        <v>基础设施水平</v>
      </c>
      <c r="R18" s="774" t="s">
        <v>17</v>
      </c>
      <c r="S18" s="775">
        <f>F18</f>
        <v>100</v>
      </c>
      <c r="T18" s="774" t="s">
        <v>17</v>
      </c>
      <c r="U18" s="775">
        <f>H18</f>
        <v>100</v>
      </c>
      <c r="V18" s="774" t="s">
        <v>17</v>
      </c>
      <c r="W18" s="775">
        <f>J18</f>
        <v>100</v>
      </c>
      <c r="X18" s="1815"/>
      <c r="Y18" s="3211"/>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6"/>
      <c r="L19" s="1143"/>
      <c r="M19" s="1134"/>
      <c r="N19" s="1134"/>
      <c r="O19" s="1134"/>
      <c r="P19" s="3211"/>
      <c r="Q19" s="1812"/>
      <c r="R19" s="774"/>
      <c r="S19" s="775"/>
      <c r="T19" s="774"/>
      <c r="U19" s="775"/>
      <c r="V19" s="774"/>
      <c r="W19" s="775"/>
      <c r="X19" s="1815"/>
      <c r="Y19" s="3211"/>
      <c r="Z19" s="1816"/>
      <c r="AA19" s="1813">
        <v>1</v>
      </c>
      <c r="AB19" s="1813">
        <v>1</v>
      </c>
      <c r="AC19" s="1813">
        <v>1</v>
      </c>
    </row>
    <row r="20" spans="1:29" ht="57">
      <c r="A20" s="404"/>
      <c r="B20" s="631" t="s">
        <v>2710</v>
      </c>
      <c r="C20" s="2610" t="str">
        <f>IF(B1="工业",估价对象房地状况!G7,估价对象房地状况!C9)</f>
        <v>区域自然环境：福海公园；人文环境；综合评价环境状况一般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1"/>
      <c r="Q20" s="1812" t="str">
        <f>B20</f>
        <v>自然及人文环境</v>
      </c>
      <c r="R20" s="774" t="s">
        <v>17</v>
      </c>
      <c r="S20" s="775">
        <f>F20</f>
        <v>100</v>
      </c>
      <c r="T20" s="774" t="s">
        <v>17</v>
      </c>
      <c r="U20" s="775">
        <f>H20</f>
        <v>100</v>
      </c>
      <c r="V20" s="774" t="s">
        <v>17</v>
      </c>
      <c r="W20" s="775">
        <f>J20</f>
        <v>100</v>
      </c>
      <c r="X20" s="1815"/>
      <c r="Y20" s="321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1"/>
      <c r="Q21" s="1812"/>
      <c r="R21" s="774"/>
      <c r="S21" s="775"/>
      <c r="T21" s="774"/>
      <c r="U21" s="775"/>
      <c r="V21" s="774"/>
      <c r="W21" s="775"/>
      <c r="X21" s="1815"/>
      <c r="Y21" s="3211"/>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1"/>
      <c r="Q22" s="1812" t="str">
        <f>B22</f>
        <v>楼层</v>
      </c>
      <c r="R22" s="774" t="s">
        <v>17</v>
      </c>
      <c r="S22" s="775">
        <f>F22</f>
        <v>100</v>
      </c>
      <c r="T22" s="774" t="s">
        <v>17</v>
      </c>
      <c r="U22" s="775">
        <f>H22</f>
        <v>100</v>
      </c>
      <c r="V22" s="774" t="s">
        <v>17</v>
      </c>
      <c r="W22" s="775">
        <f>J22</f>
        <v>100</v>
      </c>
      <c r="X22" s="1815"/>
      <c r="Y22" s="321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1"/>
      <c r="Q23" s="1812">
        <f>B23</f>
        <v>111</v>
      </c>
      <c r="R23" s="774" t="s">
        <v>17</v>
      </c>
      <c r="S23" s="775">
        <f>F23</f>
        <v>100</v>
      </c>
      <c r="T23" s="774" t="s">
        <v>17</v>
      </c>
      <c r="U23" s="775">
        <f>H23</f>
        <v>100</v>
      </c>
      <c r="V23" s="774" t="s">
        <v>17</v>
      </c>
      <c r="W23" s="775">
        <f>J23</f>
        <v>100</v>
      </c>
      <c r="X23" s="1815"/>
      <c r="Y23" s="321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1"/>
      <c r="Q24" s="1812">
        <f t="shared" ref="Q24:Q36" si="11">B24</f>
        <v>111</v>
      </c>
      <c r="R24" s="774" t="s">
        <v>17</v>
      </c>
      <c r="S24" s="775">
        <f>F24</f>
        <v>100</v>
      </c>
      <c r="T24" s="774" t="s">
        <v>17</v>
      </c>
      <c r="U24" s="775">
        <f>H24</f>
        <v>100</v>
      </c>
      <c r="V24" s="774" t="s">
        <v>17</v>
      </c>
      <c r="W24" s="775">
        <f>J24</f>
        <v>100</v>
      </c>
      <c r="X24" s="1815"/>
      <c r="Y24" s="321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1"/>
      <c r="Q25" s="1797">
        <f t="shared" si="11"/>
        <v>111</v>
      </c>
      <c r="R25" s="770" t="s">
        <v>17</v>
      </c>
      <c r="S25" s="771">
        <f>F25</f>
        <v>100</v>
      </c>
      <c r="T25" s="770" t="s">
        <v>17</v>
      </c>
      <c r="U25" s="771">
        <f>H25</f>
        <v>100</v>
      </c>
      <c r="V25" s="770" t="s">
        <v>17</v>
      </c>
      <c r="W25" s="771">
        <f>J25</f>
        <v>100</v>
      </c>
      <c r="X25" s="772"/>
      <c r="Y25" s="3211"/>
      <c r="Z25" s="55">
        <f>Q25</f>
        <v>111</v>
      </c>
      <c r="AA25" s="1813">
        <f>D25/F25</f>
        <v>1</v>
      </c>
      <c r="AB25" s="1813">
        <f>D25/H25</f>
        <v>1</v>
      </c>
      <c r="AC25" s="1813">
        <f>D25/J25</f>
        <v>1</v>
      </c>
    </row>
    <row r="26" spans="1:29" ht="1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3"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3"/>
      <c r="Q28" s="1812" t="str">
        <f t="shared" si="11"/>
        <v>公共部分装修</v>
      </c>
      <c r="R28" s="774" t="s">
        <v>17</v>
      </c>
      <c r="S28" s="775">
        <f t="shared" si="12"/>
        <v>100</v>
      </c>
      <c r="T28" s="774" t="s">
        <v>17</v>
      </c>
      <c r="U28" s="775">
        <f t="shared" si="13"/>
        <v>100</v>
      </c>
      <c r="V28" s="774" t="s">
        <v>17</v>
      </c>
      <c r="W28" s="775">
        <f t="shared" si="14"/>
        <v>100</v>
      </c>
      <c r="X28" s="1815"/>
      <c r="Y28" s="3213"/>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3"/>
      <c r="Q29" s="1812" t="str">
        <f t="shared" si="11"/>
        <v>成新率</v>
      </c>
      <c r="R29" s="774" t="s">
        <v>17</v>
      </c>
      <c r="S29" s="775" t="e">
        <f t="shared" si="12"/>
        <v>#N/A</v>
      </c>
      <c r="T29" s="774" t="s">
        <v>17</v>
      </c>
      <c r="U29" s="775" t="e">
        <f t="shared" si="13"/>
        <v>#N/A</v>
      </c>
      <c r="V29" s="774" t="s">
        <v>17</v>
      </c>
      <c r="W29" s="775" t="e">
        <f t="shared" si="14"/>
        <v>#N/A</v>
      </c>
      <c r="X29" s="1815"/>
      <c r="Y29" s="3213"/>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3"/>
      <c r="Q30" s="1812" t="str">
        <f t="shared" si="11"/>
        <v>物业等级</v>
      </c>
      <c r="R30" s="774" t="s">
        <v>17</v>
      </c>
      <c r="S30" s="775">
        <f t="shared" si="12"/>
        <v>100</v>
      </c>
      <c r="T30" s="774" t="s">
        <v>17</v>
      </c>
      <c r="U30" s="775">
        <f t="shared" si="13"/>
        <v>100</v>
      </c>
      <c r="V30" s="774" t="s">
        <v>17</v>
      </c>
      <c r="W30" s="775">
        <f t="shared" si="14"/>
        <v>100</v>
      </c>
      <c r="X30" s="1815"/>
      <c r="Y30" s="3213"/>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3"/>
      <c r="Q31" s="1797"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3" t="s">
        <v>2565</v>
      </c>
      <c r="Q32" s="1812" t="str">
        <f t="shared" si="11"/>
        <v>车位类型</v>
      </c>
      <c r="R32" s="774" t="s">
        <v>17</v>
      </c>
      <c r="S32" s="775">
        <f t="shared" si="12"/>
        <v>100</v>
      </c>
      <c r="T32" s="774" t="s">
        <v>17</v>
      </c>
      <c r="U32" s="775">
        <f t="shared" si="13"/>
        <v>100</v>
      </c>
      <c r="V32" s="774" t="s">
        <v>17</v>
      </c>
      <c r="W32" s="775">
        <f t="shared" si="14"/>
        <v>100</v>
      </c>
      <c r="X32" s="1815"/>
      <c r="Y32" s="3213"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3"/>
      <c r="Q33" s="1812" t="str">
        <f t="shared" si="11"/>
        <v>是否直接入户</v>
      </c>
      <c r="R33" s="774" t="s">
        <v>17</v>
      </c>
      <c r="S33" s="775">
        <f t="shared" si="12"/>
        <v>100</v>
      </c>
      <c r="T33" s="774" t="s">
        <v>17</v>
      </c>
      <c r="U33" s="775">
        <f t="shared" si="13"/>
        <v>100</v>
      </c>
      <c r="V33" s="774" t="s">
        <v>17</v>
      </c>
      <c r="W33" s="775">
        <f t="shared" si="14"/>
        <v>100</v>
      </c>
      <c r="X33" s="1815"/>
      <c r="Y33" s="321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3"/>
      <c r="Q34" s="1812">
        <f t="shared" si="11"/>
        <v>111</v>
      </c>
      <c r="R34" s="774" t="s">
        <v>17</v>
      </c>
      <c r="S34" s="775">
        <f t="shared" si="12"/>
        <v>100</v>
      </c>
      <c r="T34" s="774" t="s">
        <v>17</v>
      </c>
      <c r="U34" s="775">
        <f t="shared" si="13"/>
        <v>100</v>
      </c>
      <c r="V34" s="774" t="s">
        <v>17</v>
      </c>
      <c r="W34" s="775">
        <f t="shared" si="14"/>
        <v>100</v>
      </c>
      <c r="X34" s="1815"/>
      <c r="Y34" s="321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3"/>
      <c r="Q36" s="1812">
        <f t="shared" si="11"/>
        <v>111</v>
      </c>
      <c r="R36" s="774" t="s">
        <v>17</v>
      </c>
      <c r="S36" s="775">
        <f t="shared" si="12"/>
        <v>100</v>
      </c>
      <c r="T36" s="774" t="s">
        <v>17</v>
      </c>
      <c r="U36" s="775">
        <f t="shared" si="13"/>
        <v>100</v>
      </c>
      <c r="V36" s="774" t="s">
        <v>17</v>
      </c>
      <c r="W36" s="775">
        <f t="shared" si="14"/>
        <v>100</v>
      </c>
      <c r="X36" s="1815"/>
      <c r="Y36" s="3213"/>
      <c r="Z36" s="1816">
        <f t="shared" si="15"/>
        <v>111</v>
      </c>
      <c r="AA36" s="1813">
        <f t="shared" si="3"/>
        <v>1</v>
      </c>
      <c r="AB36" s="1813">
        <f t="shared" si="4"/>
        <v>1</v>
      </c>
      <c r="AC36" s="1813">
        <f t="shared" si="5"/>
        <v>1</v>
      </c>
    </row>
    <row r="37" spans="1:29" ht="15">
      <c r="A37" s="479" t="s">
        <v>2720</v>
      </c>
      <c r="B37" s="2698" t="s">
        <v>2721</v>
      </c>
      <c r="C37" s="1410" t="s">
        <v>1</v>
      </c>
      <c r="D37" s="1411"/>
      <c r="E37" s="1412"/>
      <c r="F37" s="1413"/>
      <c r="G37" s="1414"/>
      <c r="H37" s="1415"/>
      <c r="I37" s="1412"/>
      <c r="J37" s="1415"/>
      <c r="K37" s="619"/>
      <c r="L37" s="1146"/>
      <c r="M37" s="1147"/>
      <c r="N37" s="1134"/>
      <c r="O37" s="1147"/>
      <c r="P37" s="3208" t="str">
        <f>A37</f>
        <v>成交单价</v>
      </c>
      <c r="Q37" s="3208"/>
      <c r="R37" s="3275">
        <f>E37</f>
        <v>0</v>
      </c>
      <c r="S37" s="3275"/>
      <c r="T37" s="3275">
        <f>G37</f>
        <v>0</v>
      </c>
      <c r="U37" s="3275"/>
      <c r="V37" s="3275">
        <f>I37</f>
        <v>0</v>
      </c>
      <c r="W37" s="3275"/>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8" t="str">
        <f>A38</f>
        <v>比较价值（元/平方米）</v>
      </c>
      <c r="Q38" s="3208"/>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74" t="e">
        <f>IF(F1="售价",ROUND(AVERAGE(R38:V38),0),ROUND(AVERAGE(R38:V38),1))</f>
        <v>#DIV/0!</v>
      </c>
      <c r="S39" s="3274"/>
      <c r="T39" s="3274"/>
      <c r="U39" s="3274"/>
      <c r="V39" s="3274"/>
      <c r="W39" s="32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87"/>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IF(C2="——",ROUND(C37*D3/10000,0),ROUND(C37*D3/10000,0)-D2)</f>
        <v>#DIV/0!</v>
      </c>
      <c r="C2" s="2589"/>
      <c r="D2" s="1127" t="e">
        <f ca="1">SUMIF(INDIRECT("'"&amp;F2&amp;"'"&amp;"!A:A"),"承租人权益价值",INDIRECT("'"&amp;F2&amp;"'"&amp;"!c:c"))</f>
        <v>#REF!</v>
      </c>
      <c r="E2" s="2590" t="s">
        <v>2328</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5" t="s">
        <v>2646</v>
      </c>
      <c r="D4" s="3218"/>
      <c r="E4" s="3219" t="s">
        <v>2647</v>
      </c>
      <c r="F4" s="3220"/>
      <c r="G4" s="3205" t="s">
        <v>2648</v>
      </c>
      <c r="H4" s="3218"/>
      <c r="I4" s="3205" t="s">
        <v>2649</v>
      </c>
      <c r="J4" s="3218"/>
      <c r="K4" s="610" t="s">
        <v>2650</v>
      </c>
      <c r="L4" s="1133"/>
      <c r="M4" s="1134"/>
      <c r="N4" s="1134"/>
      <c r="O4" s="1134"/>
      <c r="P4" s="3221" t="s">
        <v>2651</v>
      </c>
      <c r="Q4" s="3222"/>
      <c r="R4" s="3227" t="s">
        <v>2647</v>
      </c>
      <c r="S4" s="3228"/>
      <c r="T4" s="3227" t="s">
        <v>2648</v>
      </c>
      <c r="U4" s="3228"/>
      <c r="V4" s="3214" t="s">
        <v>2649</v>
      </c>
      <c r="W4" s="3214"/>
      <c r="X4" s="1815"/>
      <c r="Y4" s="3227" t="s">
        <v>2651</v>
      </c>
      <c r="Z4" s="3228"/>
      <c r="AA4" s="3215" t="s">
        <v>2647</v>
      </c>
      <c r="AB4" s="3216" t="s">
        <v>2648</v>
      </c>
      <c r="AC4" s="3215" t="s">
        <v>2649</v>
      </c>
    </row>
    <row r="5" spans="1:29" ht="15">
      <c r="A5" s="404"/>
      <c r="B5" s="405"/>
      <c r="C5" s="3235" t="s">
        <v>2542</v>
      </c>
      <c r="D5" s="3236"/>
      <c r="E5" s="3242" t="s">
        <v>2543</v>
      </c>
      <c r="F5" s="3243"/>
      <c r="G5" s="3235" t="s">
        <v>2544</v>
      </c>
      <c r="H5" s="3236"/>
      <c r="I5" s="3235" t="s">
        <v>2545</v>
      </c>
      <c r="J5" s="3236"/>
      <c r="K5" s="610"/>
      <c r="L5" s="1133"/>
      <c r="M5" s="1134"/>
      <c r="N5" s="1134"/>
      <c r="O5" s="1134"/>
      <c r="P5" s="3223"/>
      <c r="Q5" s="3224"/>
      <c r="R5" s="3229"/>
      <c r="S5" s="3230"/>
      <c r="T5" s="3229"/>
      <c r="U5" s="3230"/>
      <c r="V5" s="3214"/>
      <c r="W5" s="3214"/>
      <c r="X5" s="1815"/>
      <c r="Y5" s="3229"/>
      <c r="Z5" s="3230"/>
      <c r="AA5" s="3216"/>
      <c r="AB5" s="3216"/>
      <c r="AC5" s="3216"/>
    </row>
    <row r="6" spans="1:29" ht="15.75" thickBot="1">
      <c r="A6" s="406"/>
      <c r="B6" s="407"/>
      <c r="C6" s="3233" t="s">
        <v>2546</v>
      </c>
      <c r="D6" s="3234"/>
      <c r="E6" s="3240" t="s">
        <v>2546</v>
      </c>
      <c r="F6" s="3241"/>
      <c r="G6" s="3233" t="s">
        <v>2546</v>
      </c>
      <c r="H6" s="3234"/>
      <c r="I6" s="3233" t="s">
        <v>2546</v>
      </c>
      <c r="J6" s="3234"/>
      <c r="K6" s="610" t="s">
        <v>2547</v>
      </c>
      <c r="L6" s="1133"/>
      <c r="M6" s="1134"/>
      <c r="N6" s="1134"/>
      <c r="O6" s="1134"/>
      <c r="P6" s="3225"/>
      <c r="Q6" s="3226"/>
      <c r="R6" s="3229"/>
      <c r="S6" s="3230"/>
      <c r="T6" s="3231"/>
      <c r="U6" s="3232"/>
      <c r="V6" s="3214"/>
      <c r="W6" s="3214"/>
      <c r="X6" s="1815"/>
      <c r="Y6" s="3231"/>
      <c r="Z6" s="3232"/>
      <c r="AA6" s="3217"/>
      <c r="AB6" s="3217"/>
      <c r="AC6" s="3217"/>
    </row>
    <row r="7" spans="1:29" s="117" customFormat="1" ht="15.75" thickBot="1">
      <c r="A7" s="408" t="s">
        <v>2548</v>
      </c>
      <c r="B7" s="409"/>
      <c r="C7" s="410">
        <f>'数据-取费表'!B2</f>
        <v>43293</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7" t="s">
        <v>2549</v>
      </c>
      <c r="Q7" s="3239"/>
      <c r="R7" s="770" t="s">
        <v>17</v>
      </c>
      <c r="S7" s="771">
        <f t="shared" ref="S7:S14" si="0">F7</f>
        <v>0</v>
      </c>
      <c r="T7" s="770" t="s">
        <v>17</v>
      </c>
      <c r="U7" s="771">
        <f t="shared" ref="U7:U14" si="1">H7</f>
        <v>0</v>
      </c>
      <c r="V7" s="770" t="s">
        <v>17</v>
      </c>
      <c r="W7" s="771">
        <f t="shared" ref="W7:W14" si="2">J7</f>
        <v>0</v>
      </c>
      <c r="X7" s="772"/>
      <c r="Y7" s="3237" t="s">
        <v>2549</v>
      </c>
      <c r="Z7" s="323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7" t="s">
        <v>2552</v>
      </c>
      <c r="Q8" s="3238"/>
      <c r="R8" s="770" t="s">
        <v>17</v>
      </c>
      <c r="S8" s="771">
        <f t="shared" si="0"/>
        <v>0</v>
      </c>
      <c r="T8" s="770" t="s">
        <v>17</v>
      </c>
      <c r="U8" s="771">
        <f t="shared" si="1"/>
        <v>0</v>
      </c>
      <c r="V8" s="770" t="s">
        <v>17</v>
      </c>
      <c r="W8" s="771">
        <f t="shared" si="2"/>
        <v>0</v>
      </c>
      <c r="X8" s="772"/>
      <c r="Y8" s="3237" t="s">
        <v>2552</v>
      </c>
      <c r="Z8" s="323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8" t="s">
        <v>2555</v>
      </c>
      <c r="Q9" s="1797" t="str">
        <f t="shared" ref="Q9:Q14" si="6">B9</f>
        <v>用途</v>
      </c>
      <c r="R9" s="770" t="s">
        <v>17</v>
      </c>
      <c r="S9" s="771">
        <f t="shared" si="0"/>
        <v>100</v>
      </c>
      <c r="T9" s="770" t="s">
        <v>17</v>
      </c>
      <c r="U9" s="771">
        <f t="shared" si="1"/>
        <v>100</v>
      </c>
      <c r="V9" s="770" t="s">
        <v>17</v>
      </c>
      <c r="W9" s="771">
        <f t="shared" si="2"/>
        <v>100</v>
      </c>
      <c r="X9" s="772"/>
      <c r="Y9" s="303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8"/>
      <c r="Q10" s="179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8"/>
      <c r="Q11" s="1797">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8"/>
      <c r="Q12" s="179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8"/>
      <c r="Q13" s="179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14">
      <c r="A14" s="440" t="s">
        <v>2559</v>
      </c>
      <c r="B14" s="69" t="s">
        <v>2709</v>
      </c>
      <c r="C14" s="2696" t="str">
        <f>IF(B1="工业",估价对象房地状况!G4,估价对象房地状况!C6)</f>
        <v>估价对象周边道路状况、公共交通通达情况：地铁10号线及71、511路等公交车、停车便捷程度，综合评价交通便捷度较好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0" t="s">
        <v>2560</v>
      </c>
      <c r="Q14" s="1812" t="str">
        <f t="shared" si="6"/>
        <v>交通便捷度</v>
      </c>
      <c r="R14" s="774" t="s">
        <v>17</v>
      </c>
      <c r="S14" s="775">
        <f t="shared" si="0"/>
        <v>100</v>
      </c>
      <c r="T14" s="774" t="s">
        <v>17</v>
      </c>
      <c r="U14" s="775">
        <f t="shared" si="1"/>
        <v>100</v>
      </c>
      <c r="V14" s="774" t="s">
        <v>17</v>
      </c>
      <c r="W14" s="775">
        <f t="shared" si="2"/>
        <v>100</v>
      </c>
      <c r="X14" s="1815"/>
      <c r="Y14" s="3210"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1"/>
      <c r="Q15" s="1812"/>
      <c r="R15" s="774"/>
      <c r="S15" s="775"/>
      <c r="T15" s="774"/>
      <c r="U15" s="775"/>
      <c r="V15" s="774"/>
      <c r="W15" s="775"/>
      <c r="X15" s="1815"/>
      <c r="Y15" s="3211"/>
      <c r="Z15" s="1816"/>
      <c r="AA15" s="1813">
        <v>1</v>
      </c>
      <c r="AB15" s="1813">
        <v>1</v>
      </c>
      <c r="AC15" s="1813">
        <v>1</v>
      </c>
    </row>
    <row r="16" spans="1:29" ht="42.75">
      <c r="A16" s="428"/>
      <c r="B16" s="451" t="s">
        <v>2688</v>
      </c>
      <c r="C16" s="2610"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1"/>
      <c r="Q16" s="1812" t="str">
        <f>B16</f>
        <v>公共配套设施</v>
      </c>
      <c r="R16" s="774" t="s">
        <v>17</v>
      </c>
      <c r="S16" s="775">
        <f>F16</f>
        <v>100</v>
      </c>
      <c r="T16" s="774" t="s">
        <v>17</v>
      </c>
      <c r="U16" s="775">
        <f>H16</f>
        <v>100</v>
      </c>
      <c r="V16" s="774" t="s">
        <v>17</v>
      </c>
      <c r="W16" s="775">
        <f>J16</f>
        <v>100</v>
      </c>
      <c r="X16" s="1815"/>
      <c r="Y16" s="3211"/>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3"/>
      <c r="M17" s="1134"/>
      <c r="N17" s="1134"/>
      <c r="O17" s="1142"/>
      <c r="P17" s="3211"/>
      <c r="Q17" s="1812"/>
      <c r="R17" s="774"/>
      <c r="S17" s="775"/>
      <c r="T17" s="774"/>
      <c r="U17" s="775"/>
      <c r="V17" s="774"/>
      <c r="W17" s="775"/>
      <c r="X17" s="1815"/>
      <c r="Y17" s="3211"/>
      <c r="Z17" s="1816"/>
      <c r="AA17" s="1813">
        <v>1</v>
      </c>
      <c r="AB17" s="1813">
        <v>1</v>
      </c>
      <c r="AC17" s="1813">
        <v>1</v>
      </c>
    </row>
    <row r="18" spans="1:29" ht="42.75">
      <c r="A18" s="428"/>
      <c r="B18" s="1387" t="s">
        <v>2689</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1"/>
      <c r="Q18" s="1812" t="str">
        <f>B18</f>
        <v>基础设施水平</v>
      </c>
      <c r="R18" s="774" t="s">
        <v>17</v>
      </c>
      <c r="S18" s="775">
        <f>F18</f>
        <v>100</v>
      </c>
      <c r="T18" s="774" t="s">
        <v>17</v>
      </c>
      <c r="U18" s="775">
        <f>H18</f>
        <v>100</v>
      </c>
      <c r="V18" s="774" t="s">
        <v>17</v>
      </c>
      <c r="W18" s="775">
        <f>J18</f>
        <v>100</v>
      </c>
      <c r="X18" s="1815"/>
      <c r="Y18" s="3211"/>
      <c r="Z18" s="1816" t="str">
        <f>Q18</f>
        <v>基础设施水平</v>
      </c>
      <c r="AA18" s="1813">
        <f t="shared" ref="AA18" si="8">D18/F18</f>
        <v>1</v>
      </c>
      <c r="AB18" s="1813">
        <f t="shared" ref="AB18" si="9">D18/H18</f>
        <v>1</v>
      </c>
      <c r="AC18" s="1813">
        <f t="shared" ref="AC18" si="10">D18/J18</f>
        <v>1</v>
      </c>
    </row>
    <row r="19" spans="1:29" ht="15">
      <c r="A19" s="428"/>
      <c r="B19" s="1387"/>
      <c r="C19" s="2611"/>
      <c r="D19" s="450"/>
      <c r="E19" s="2611"/>
      <c r="F19" s="453"/>
      <c r="G19" s="2611"/>
      <c r="H19" s="448"/>
      <c r="I19" s="447"/>
      <c r="J19" s="448"/>
      <c r="K19" s="1386"/>
      <c r="L19" s="1143"/>
      <c r="M19" s="1134"/>
      <c r="N19" s="1134"/>
      <c r="O19" s="1142"/>
      <c r="P19" s="3211"/>
      <c r="Q19" s="1812"/>
      <c r="R19" s="774"/>
      <c r="S19" s="775"/>
      <c r="T19" s="774"/>
      <c r="U19" s="775"/>
      <c r="V19" s="774"/>
      <c r="W19" s="775"/>
      <c r="X19" s="1815"/>
      <c r="Y19" s="3211"/>
      <c r="Z19" s="1816"/>
      <c r="AA19" s="1813">
        <v>1</v>
      </c>
      <c r="AB19" s="1813">
        <v>1</v>
      </c>
      <c r="AC19" s="1813">
        <v>1</v>
      </c>
    </row>
    <row r="20" spans="1:29" ht="57">
      <c r="A20" s="428"/>
      <c r="B20" s="451" t="s">
        <v>2710</v>
      </c>
      <c r="C20" s="2610" t="str">
        <f>IF(B1="工业",估价对象房地状况!G7,估价对象房地状况!C9)</f>
        <v>区域自然环境：福海公园；人文环境；综合评价环境状况一般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1"/>
      <c r="Q20" s="1812" t="str">
        <f>B20</f>
        <v>自然及人文环境</v>
      </c>
      <c r="R20" s="774" t="s">
        <v>17</v>
      </c>
      <c r="S20" s="775">
        <f>F20</f>
        <v>100</v>
      </c>
      <c r="T20" s="774" t="s">
        <v>17</v>
      </c>
      <c r="U20" s="775">
        <f>H20</f>
        <v>100</v>
      </c>
      <c r="V20" s="774" t="s">
        <v>17</v>
      </c>
      <c r="W20" s="775">
        <f>J20</f>
        <v>100</v>
      </c>
      <c r="X20" s="1815"/>
      <c r="Y20" s="321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1"/>
      <c r="Q21" s="1812"/>
      <c r="R21" s="774"/>
      <c r="S21" s="775"/>
      <c r="T21" s="774"/>
      <c r="U21" s="775"/>
      <c r="V21" s="774"/>
      <c r="W21" s="775"/>
      <c r="X21" s="1815"/>
      <c r="Y21" s="3211"/>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1"/>
      <c r="Q22" s="1812" t="str">
        <f>B22</f>
        <v>楼层</v>
      </c>
      <c r="R22" s="774" t="s">
        <v>17</v>
      </c>
      <c r="S22" s="775">
        <f>F22</f>
        <v>100</v>
      </c>
      <c r="T22" s="774" t="s">
        <v>17</v>
      </c>
      <c r="U22" s="775">
        <f>H22</f>
        <v>100</v>
      </c>
      <c r="V22" s="774" t="s">
        <v>17</v>
      </c>
      <c r="W22" s="775">
        <f>J22</f>
        <v>100</v>
      </c>
      <c r="X22" s="1815"/>
      <c r="Y22" s="3211"/>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1"/>
      <c r="Q23" s="1812">
        <f>B23</f>
        <v>111</v>
      </c>
      <c r="R23" s="774" t="s">
        <v>17</v>
      </c>
      <c r="S23" s="775">
        <f>F23</f>
        <v>100</v>
      </c>
      <c r="T23" s="774" t="s">
        <v>17</v>
      </c>
      <c r="U23" s="775">
        <f>H23</f>
        <v>100</v>
      </c>
      <c r="V23" s="774" t="s">
        <v>17</v>
      </c>
      <c r="W23" s="775">
        <f>J23</f>
        <v>100</v>
      </c>
      <c r="X23" s="1815"/>
      <c r="Y23" s="3211"/>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1"/>
      <c r="Q24" s="1812">
        <f t="shared" ref="Q24:Q34" si="11">B24</f>
        <v>111</v>
      </c>
      <c r="R24" s="774" t="s">
        <v>17</v>
      </c>
      <c r="S24" s="775">
        <f>F24</f>
        <v>100</v>
      </c>
      <c r="T24" s="774" t="s">
        <v>17</v>
      </c>
      <c r="U24" s="775">
        <f>H24</f>
        <v>100</v>
      </c>
      <c r="V24" s="774" t="s">
        <v>17</v>
      </c>
      <c r="W24" s="775">
        <f>J24</f>
        <v>100</v>
      </c>
      <c r="X24" s="1815"/>
      <c r="Y24" s="3211"/>
      <c r="Z24" s="1816">
        <f>Q24</f>
        <v>111</v>
      </c>
      <c r="AA24" s="1813">
        <f t="shared" si="3"/>
        <v>1</v>
      </c>
      <c r="AB24" s="1813">
        <f t="shared" si="4"/>
        <v>1</v>
      </c>
      <c r="AC24" s="1813">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1"/>
      <c r="Q25" s="1797">
        <f t="shared" si="11"/>
        <v>111</v>
      </c>
      <c r="R25" s="770" t="s">
        <v>17</v>
      </c>
      <c r="S25" s="771">
        <f>F25</f>
        <v>100</v>
      </c>
      <c r="T25" s="770" t="s">
        <v>17</v>
      </c>
      <c r="U25" s="771">
        <f>H25</f>
        <v>100</v>
      </c>
      <c r="V25" s="770" t="s">
        <v>17</v>
      </c>
      <c r="W25" s="771">
        <f>J25</f>
        <v>100</v>
      </c>
      <c r="X25" s="772"/>
      <c r="Y25" s="3211"/>
      <c r="Z25" s="55">
        <f>Q25</f>
        <v>111</v>
      </c>
      <c r="AA25" s="1813">
        <f>D25/F25</f>
        <v>1</v>
      </c>
      <c r="AB25" s="1813">
        <f>D25/H25</f>
        <v>1</v>
      </c>
      <c r="AC25" s="1813">
        <f>D25/J25</f>
        <v>1</v>
      </c>
    </row>
    <row r="26" spans="1:29" ht="1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12"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3"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3"/>
      <c r="Q28" s="1812" t="str">
        <f t="shared" si="11"/>
        <v>物业等级</v>
      </c>
      <c r="R28" s="774" t="s">
        <v>17</v>
      </c>
      <c r="S28" s="775">
        <f t="shared" si="12"/>
        <v>100</v>
      </c>
      <c r="T28" s="774" t="s">
        <v>17</v>
      </c>
      <c r="U28" s="775">
        <f t="shared" si="13"/>
        <v>100</v>
      </c>
      <c r="V28" s="774" t="s">
        <v>17</v>
      </c>
      <c r="W28" s="775">
        <f t="shared" si="14"/>
        <v>100</v>
      </c>
      <c r="X28" s="1815"/>
      <c r="Y28" s="3213"/>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3"/>
      <c r="Q29" s="1812" t="str">
        <f t="shared" si="11"/>
        <v>有无电梯</v>
      </c>
      <c r="R29" s="774" t="s">
        <v>17</v>
      </c>
      <c r="S29" s="775">
        <f t="shared" si="12"/>
        <v>100</v>
      </c>
      <c r="T29" s="774" t="s">
        <v>17</v>
      </c>
      <c r="U29" s="775">
        <f t="shared" si="13"/>
        <v>100</v>
      </c>
      <c r="V29" s="774" t="s">
        <v>17</v>
      </c>
      <c r="W29" s="775">
        <f t="shared" si="14"/>
        <v>100</v>
      </c>
      <c r="X29" s="1815"/>
      <c r="Y29" s="3213"/>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3"/>
      <c r="Q30" s="1812" t="str">
        <f t="shared" si="11"/>
        <v>建筑面积</v>
      </c>
      <c r="R30" s="774" t="s">
        <v>17</v>
      </c>
      <c r="S30" s="775" t="e">
        <f t="shared" si="12"/>
        <v>#N/A</v>
      </c>
      <c r="T30" s="774" t="s">
        <v>17</v>
      </c>
      <c r="U30" s="775" t="e">
        <f t="shared" si="13"/>
        <v>#N/A</v>
      </c>
      <c r="V30" s="774" t="s">
        <v>17</v>
      </c>
      <c r="W30" s="775" t="e">
        <f t="shared" si="14"/>
        <v>#N/A</v>
      </c>
      <c r="X30" s="1815"/>
      <c r="Y30" s="3213"/>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3"/>
      <c r="Q31" s="1797"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3" t="s">
        <v>2565</v>
      </c>
      <c r="Q32" s="1812">
        <f t="shared" si="11"/>
        <v>111</v>
      </c>
      <c r="R32" s="774" t="s">
        <v>17</v>
      </c>
      <c r="S32" s="775">
        <f t="shared" si="12"/>
        <v>100</v>
      </c>
      <c r="T32" s="774" t="s">
        <v>17</v>
      </c>
      <c r="U32" s="775">
        <f t="shared" si="13"/>
        <v>100</v>
      </c>
      <c r="V32" s="774" t="s">
        <v>17</v>
      </c>
      <c r="W32" s="775">
        <f t="shared" si="14"/>
        <v>100</v>
      </c>
      <c r="X32" s="1815"/>
      <c r="Y32" s="3213" t="s">
        <v>2565</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3"/>
      <c r="Q33" s="1812">
        <f t="shared" si="11"/>
        <v>111</v>
      </c>
      <c r="R33" s="774" t="s">
        <v>17</v>
      </c>
      <c r="S33" s="775">
        <f t="shared" si="12"/>
        <v>100</v>
      </c>
      <c r="T33" s="774" t="s">
        <v>17</v>
      </c>
      <c r="U33" s="775">
        <f t="shared" si="13"/>
        <v>100</v>
      </c>
      <c r="V33" s="774" t="s">
        <v>17</v>
      </c>
      <c r="W33" s="775">
        <f t="shared" si="14"/>
        <v>100</v>
      </c>
      <c r="X33" s="1815"/>
      <c r="Y33" s="3213"/>
      <c r="Z33" s="1816">
        <f t="shared" si="15"/>
        <v>111</v>
      </c>
      <c r="AA33" s="1813">
        <f t="shared" si="3"/>
        <v>1</v>
      </c>
      <c r="AB33" s="1813">
        <f t="shared" si="4"/>
        <v>1</v>
      </c>
      <c r="AC33" s="1813">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3"/>
      <c r="Q34" s="1812">
        <f t="shared" si="11"/>
        <v>111</v>
      </c>
      <c r="R34" s="774" t="s">
        <v>17</v>
      </c>
      <c r="S34" s="775">
        <f t="shared" si="12"/>
        <v>100</v>
      </c>
      <c r="T34" s="774" t="s">
        <v>17</v>
      </c>
      <c r="U34" s="775">
        <f t="shared" si="13"/>
        <v>100</v>
      </c>
      <c r="V34" s="774" t="s">
        <v>17</v>
      </c>
      <c r="W34" s="775">
        <f t="shared" si="14"/>
        <v>100</v>
      </c>
      <c r="X34" s="1815"/>
      <c r="Y34" s="3213"/>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208" t="str">
        <f>A35</f>
        <v>成交单价（元/平方米）</v>
      </c>
      <c r="Q35" s="3208"/>
      <c r="R35" s="3275">
        <f>E35</f>
        <v>0</v>
      </c>
      <c r="S35" s="3275"/>
      <c r="T35" s="3275">
        <f>G35</f>
        <v>0</v>
      </c>
      <c r="U35" s="3275"/>
      <c r="V35" s="3275">
        <f>I35</f>
        <v>0</v>
      </c>
      <c r="W35" s="3275"/>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08" t="str">
        <f>A36</f>
        <v>比较价值（元/平方米）</v>
      </c>
      <c r="Q36" s="3208"/>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74" t="e">
        <f>IF(F1="售价",ROUND(AVERAGE(R36:V36),0),ROUND(AVERAGE(R36:V36),1))</f>
        <v>#DIV/0!</v>
      </c>
      <c r="S37" s="3274"/>
      <c r="T37" s="3274"/>
      <c r="U37" s="3274"/>
      <c r="V37" s="3274"/>
      <c r="W37" s="32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2" sqref="F3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05" t="s">
        <v>2646</v>
      </c>
      <c r="D4" s="3218"/>
      <c r="E4" s="3219" t="s">
        <v>2647</v>
      </c>
      <c r="F4" s="3220"/>
      <c r="G4" s="3205" t="s">
        <v>2648</v>
      </c>
      <c r="H4" s="3218"/>
      <c r="I4" s="3205" t="s">
        <v>2649</v>
      </c>
      <c r="J4" s="3218"/>
      <c r="K4" s="610" t="s">
        <v>2650</v>
      </c>
      <c r="L4" s="1133"/>
      <c r="M4" s="1134"/>
      <c r="N4" s="1134"/>
      <c r="O4" s="1134"/>
      <c r="P4" s="3221" t="s">
        <v>2651</v>
      </c>
      <c r="Q4" s="3222"/>
      <c r="R4" s="3227" t="s">
        <v>2647</v>
      </c>
      <c r="S4" s="3228"/>
      <c r="T4" s="3227" t="s">
        <v>2648</v>
      </c>
      <c r="U4" s="3228"/>
      <c r="V4" s="3214" t="s">
        <v>2649</v>
      </c>
      <c r="W4" s="3214"/>
      <c r="X4" s="1815"/>
      <c r="Y4" s="3227" t="s">
        <v>2651</v>
      </c>
      <c r="Z4" s="3228"/>
      <c r="AA4" s="3215" t="s">
        <v>2647</v>
      </c>
      <c r="AB4" s="3216" t="s">
        <v>2648</v>
      </c>
      <c r="AC4" s="3215" t="s">
        <v>2649</v>
      </c>
    </row>
    <row r="5" spans="1:29" ht="15">
      <c r="A5" s="404"/>
      <c r="B5" s="405"/>
      <c r="C5" s="3235" t="s">
        <v>2542</v>
      </c>
      <c r="D5" s="3236"/>
      <c r="E5" s="3242" t="s">
        <v>2543</v>
      </c>
      <c r="F5" s="3243"/>
      <c r="G5" s="3235" t="s">
        <v>2544</v>
      </c>
      <c r="H5" s="3236"/>
      <c r="I5" s="3235" t="s">
        <v>2545</v>
      </c>
      <c r="J5" s="3236"/>
      <c r="K5" s="610"/>
      <c r="L5" s="1133"/>
      <c r="M5" s="1134"/>
      <c r="N5" s="1134"/>
      <c r="O5" s="1134"/>
      <c r="P5" s="3223"/>
      <c r="Q5" s="3224"/>
      <c r="R5" s="3229"/>
      <c r="S5" s="3230"/>
      <c r="T5" s="3229"/>
      <c r="U5" s="3230"/>
      <c r="V5" s="3214"/>
      <c r="W5" s="3214"/>
      <c r="X5" s="1815"/>
      <c r="Y5" s="3229"/>
      <c r="Z5" s="3230"/>
      <c r="AA5" s="3216"/>
      <c r="AB5" s="3216"/>
      <c r="AC5" s="3216"/>
    </row>
    <row r="6" spans="1:29" ht="15.75" thickBot="1">
      <c r="A6" s="406"/>
      <c r="B6" s="407"/>
      <c r="C6" s="3297" t="s">
        <v>2797</v>
      </c>
      <c r="D6" s="3298"/>
      <c r="E6" s="3299" t="s">
        <v>2797</v>
      </c>
      <c r="F6" s="3300"/>
      <c r="G6" s="3297" t="s">
        <v>2797</v>
      </c>
      <c r="H6" s="3298"/>
      <c r="I6" s="3297" t="s">
        <v>2797</v>
      </c>
      <c r="J6" s="3298"/>
      <c r="K6" s="610" t="s">
        <v>2547</v>
      </c>
      <c r="L6" s="1133"/>
      <c r="M6" s="1134"/>
      <c r="N6" s="1134"/>
      <c r="O6" s="1134"/>
      <c r="P6" s="3225"/>
      <c r="Q6" s="3226"/>
      <c r="R6" s="3229"/>
      <c r="S6" s="3230"/>
      <c r="T6" s="3231"/>
      <c r="U6" s="3232"/>
      <c r="V6" s="3214"/>
      <c r="W6" s="3214"/>
      <c r="X6" s="1815"/>
      <c r="Y6" s="3231"/>
      <c r="Z6" s="3232"/>
      <c r="AA6" s="3217"/>
      <c r="AB6" s="3217"/>
      <c r="AC6" s="3217"/>
    </row>
    <row r="7" spans="1:29" s="117" customFormat="1" ht="15.75" thickBot="1">
      <c r="A7" s="408" t="s">
        <v>2548</v>
      </c>
      <c r="B7" s="409"/>
      <c r="C7" s="410">
        <f>'数据-取费表'!B2</f>
        <v>43293</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7" t="s">
        <v>2549</v>
      </c>
      <c r="Q7" s="3239"/>
      <c r="R7" s="770" t="s">
        <v>17</v>
      </c>
      <c r="S7" s="771">
        <f t="shared" ref="S7:S15" si="0">F7</f>
        <v>0</v>
      </c>
      <c r="T7" s="770" t="s">
        <v>17</v>
      </c>
      <c r="U7" s="771">
        <f t="shared" ref="U7:U15" si="1">H7</f>
        <v>0</v>
      </c>
      <c r="V7" s="770" t="s">
        <v>17</v>
      </c>
      <c r="W7" s="771">
        <f t="shared" ref="W7:W15" si="2">J7</f>
        <v>0</v>
      </c>
      <c r="X7" s="772"/>
      <c r="Y7" s="3237" t="s">
        <v>2549</v>
      </c>
      <c r="Z7" s="323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7" t="s">
        <v>2552</v>
      </c>
      <c r="Q8" s="3238"/>
      <c r="R8" s="770" t="s">
        <v>17</v>
      </c>
      <c r="S8" s="771">
        <f t="shared" si="0"/>
        <v>0</v>
      </c>
      <c r="T8" s="770" t="s">
        <v>17</v>
      </c>
      <c r="U8" s="771">
        <f t="shared" si="1"/>
        <v>0</v>
      </c>
      <c r="V8" s="770" t="s">
        <v>17</v>
      </c>
      <c r="W8" s="771">
        <f t="shared" si="2"/>
        <v>0</v>
      </c>
      <c r="X8" s="772"/>
      <c r="Y8" s="3237" t="s">
        <v>2552</v>
      </c>
      <c r="Z8" s="3238"/>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8" t="s">
        <v>2555</v>
      </c>
      <c r="Q9" s="179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08"/>
      <c r="Q10" s="1797" t="str">
        <f t="shared" si="6"/>
        <v>土地使用年限（年）</v>
      </c>
      <c r="R10" s="770" t="s">
        <v>17</v>
      </c>
      <c r="S10" s="771">
        <f t="shared" si="0"/>
        <v>102</v>
      </c>
      <c r="T10" s="770" t="s">
        <v>17</v>
      </c>
      <c r="U10" s="771">
        <f t="shared" si="1"/>
        <v>102</v>
      </c>
      <c r="V10" s="770" t="s">
        <v>17</v>
      </c>
      <c r="W10" s="771">
        <f t="shared" si="2"/>
        <v>102</v>
      </c>
      <c r="X10" s="772"/>
      <c r="Y10" s="3036"/>
      <c r="Z10" s="55" t="str">
        <f t="shared" si="7"/>
        <v>土地使用年限（年）</v>
      </c>
      <c r="AA10" s="773">
        <f t="shared" si="3"/>
        <v>0.98039215686274506</v>
      </c>
      <c r="AB10" s="773">
        <f t="shared" si="4"/>
        <v>0.98039215686274506</v>
      </c>
      <c r="AC10" s="773">
        <f t="shared" si="5"/>
        <v>0.98039215686274506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8"/>
      <c r="Q11" s="179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8"/>
      <c r="Q12" s="179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8"/>
      <c r="Q13" s="179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8"/>
      <c r="Q14" s="179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0" t="s">
        <v>2560</v>
      </c>
      <c r="Q15" s="1812" t="str">
        <f t="shared" si="6"/>
        <v>产业集聚程度</v>
      </c>
      <c r="R15" s="774" t="s">
        <v>17</v>
      </c>
      <c r="S15" s="775">
        <f t="shared" si="0"/>
        <v>100</v>
      </c>
      <c r="T15" s="774" t="s">
        <v>17</v>
      </c>
      <c r="U15" s="775">
        <f t="shared" si="1"/>
        <v>100</v>
      </c>
      <c r="V15" s="774" t="s">
        <v>17</v>
      </c>
      <c r="W15" s="775">
        <f t="shared" si="2"/>
        <v>100</v>
      </c>
      <c r="X15" s="1815"/>
      <c r="Y15" s="3210" t="s">
        <v>2560</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3"/>
      <c r="M16" s="1134"/>
      <c r="N16" s="1134"/>
      <c r="O16" s="1142"/>
      <c r="P16" s="3211"/>
      <c r="Q16" s="1812"/>
      <c r="R16" s="774"/>
      <c r="S16" s="775"/>
      <c r="T16" s="774"/>
      <c r="U16" s="775"/>
      <c r="V16" s="774"/>
      <c r="W16" s="775"/>
      <c r="X16" s="1815"/>
      <c r="Y16" s="3211"/>
      <c r="Z16" s="1816"/>
      <c r="AA16" s="1813">
        <v>1</v>
      </c>
      <c r="AB16" s="1813">
        <v>1</v>
      </c>
      <c r="AC16" s="1813">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1"/>
      <c r="Q17" s="1812" t="str">
        <f>B17</f>
        <v>交通便捷度</v>
      </c>
      <c r="R17" s="774" t="s">
        <v>17</v>
      </c>
      <c r="S17" s="775">
        <f>F17</f>
        <v>100</v>
      </c>
      <c r="T17" s="774" t="s">
        <v>17</v>
      </c>
      <c r="U17" s="775">
        <f>H17</f>
        <v>100</v>
      </c>
      <c r="V17" s="774" t="s">
        <v>17</v>
      </c>
      <c r="W17" s="775">
        <f>J17</f>
        <v>100</v>
      </c>
      <c r="X17" s="1815"/>
      <c r="Y17" s="3211"/>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3"/>
      <c r="M18" s="1134"/>
      <c r="N18" s="1134"/>
      <c r="O18" s="1142"/>
      <c r="P18" s="3211"/>
      <c r="Q18" s="1812"/>
      <c r="R18" s="774"/>
      <c r="S18" s="775"/>
      <c r="T18" s="774"/>
      <c r="U18" s="775"/>
      <c r="V18" s="774"/>
      <c r="W18" s="775"/>
      <c r="X18" s="1815"/>
      <c r="Y18" s="3211"/>
      <c r="Z18" s="1816"/>
      <c r="AA18" s="1813">
        <v>1</v>
      </c>
      <c r="AB18" s="1813">
        <v>1</v>
      </c>
      <c r="AC18" s="1813">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1"/>
      <c r="Q19" s="1812" t="str">
        <f t="shared" ref="Q19:Q33" si="8">B19</f>
        <v>区域土地利用方向</v>
      </c>
      <c r="R19" s="774" t="s">
        <v>17</v>
      </c>
      <c r="S19" s="775">
        <f>F19</f>
        <v>100</v>
      </c>
      <c r="T19" s="774" t="s">
        <v>17</v>
      </c>
      <c r="U19" s="775">
        <f>H19</f>
        <v>100</v>
      </c>
      <c r="V19" s="774" t="s">
        <v>17</v>
      </c>
      <c r="W19" s="775">
        <f>J19</f>
        <v>100</v>
      </c>
      <c r="X19" s="1815"/>
      <c r="Y19" s="3211"/>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2"/>
      <c r="L20" s="1143"/>
      <c r="M20" s="1134"/>
      <c r="N20" s="1134"/>
      <c r="O20" s="1142"/>
      <c r="P20" s="3211"/>
      <c r="Q20" s="1812"/>
      <c r="R20" s="774"/>
      <c r="S20" s="775"/>
      <c r="T20" s="774"/>
      <c r="U20" s="775"/>
      <c r="V20" s="774"/>
      <c r="W20" s="775"/>
      <c r="X20" s="1815"/>
      <c r="Y20" s="3211"/>
      <c r="Z20" s="1816"/>
      <c r="AA20" s="1813"/>
      <c r="AB20" s="1813"/>
      <c r="AC20" s="1813"/>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1"/>
      <c r="Q21" s="1812" t="str">
        <f t="shared" si="8"/>
        <v>环境状况</v>
      </c>
      <c r="R21" s="774" t="s">
        <v>17</v>
      </c>
      <c r="S21" s="775">
        <f>F21</f>
        <v>100</v>
      </c>
      <c r="T21" s="774" t="s">
        <v>17</v>
      </c>
      <c r="U21" s="775">
        <f>H21</f>
        <v>100</v>
      </c>
      <c r="V21" s="774" t="s">
        <v>17</v>
      </c>
      <c r="W21" s="775">
        <f>J21</f>
        <v>100</v>
      </c>
      <c r="X21" s="1815"/>
      <c r="Y21" s="3211"/>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3"/>
      <c r="M22" s="1134"/>
      <c r="N22" s="1134"/>
      <c r="O22" s="1142"/>
      <c r="P22" s="3211"/>
      <c r="Q22" s="1812"/>
      <c r="R22" s="774"/>
      <c r="S22" s="775"/>
      <c r="T22" s="774"/>
      <c r="U22" s="775"/>
      <c r="V22" s="774"/>
      <c r="W22" s="775"/>
      <c r="X22" s="1815"/>
      <c r="Y22" s="3211"/>
      <c r="Z22" s="1816"/>
      <c r="AA22" s="1813">
        <v>1</v>
      </c>
      <c r="AB22" s="1813">
        <v>1</v>
      </c>
      <c r="AC22" s="1813">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1"/>
      <c r="Q23" s="1797" t="str">
        <f t="shared" si="8"/>
        <v>公共配套设施</v>
      </c>
      <c r="R23" s="770" t="s">
        <v>17</v>
      </c>
      <c r="S23" s="771">
        <f>F23</f>
        <v>100</v>
      </c>
      <c r="T23" s="770" t="s">
        <v>17</v>
      </c>
      <c r="U23" s="771">
        <f>H23</f>
        <v>100</v>
      </c>
      <c r="V23" s="770" t="s">
        <v>17</v>
      </c>
      <c r="W23" s="771">
        <f>J23</f>
        <v>100</v>
      </c>
      <c r="X23" s="772"/>
      <c r="Y23" s="3211"/>
      <c r="Z23" s="55" t="str">
        <f>Q23</f>
        <v>公共配套设施</v>
      </c>
      <c r="AA23" s="1813">
        <f>D23/F23</f>
        <v>1</v>
      </c>
      <c r="AB23" s="1813">
        <f>D23/H23</f>
        <v>1</v>
      </c>
      <c r="AC23" s="1813">
        <f>D23/J23</f>
        <v>1</v>
      </c>
    </row>
    <row r="24" spans="1:29" s="117" customFormat="1" ht="15">
      <c r="A24" s="649"/>
      <c r="B24" s="632"/>
      <c r="C24" s="2703"/>
      <c r="D24" s="448"/>
      <c r="E24" s="2614"/>
      <c r="F24" s="448"/>
      <c r="G24" s="2614"/>
      <c r="H24" s="448"/>
      <c r="I24" s="447"/>
      <c r="J24" s="448"/>
      <c r="K24" s="672"/>
      <c r="L24" s="1135"/>
      <c r="M24" s="1136"/>
      <c r="N24" s="1136"/>
      <c r="O24" s="1137"/>
      <c r="P24" s="3211"/>
      <c r="Q24" s="1797"/>
      <c r="R24" s="770"/>
      <c r="S24" s="771"/>
      <c r="T24" s="770"/>
      <c r="U24" s="771"/>
      <c r="V24" s="770"/>
      <c r="W24" s="771"/>
      <c r="X24" s="772"/>
      <c r="Y24" s="3211"/>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1"/>
      <c r="Q25" s="1797"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3">
        <f>D25/F25</f>
        <v>1</v>
      </c>
      <c r="AB25" s="1813">
        <f>D25/H25</f>
        <v>1</v>
      </c>
      <c r="AC25" s="1813">
        <f>D25/J25</f>
        <v>1</v>
      </c>
    </row>
    <row r="26" spans="1:29" s="117" customFormat="1" ht="15">
      <c r="A26" s="649"/>
      <c r="B26" s="632"/>
      <c r="C26" s="2703"/>
      <c r="D26" s="448"/>
      <c r="E26" s="2704"/>
      <c r="F26" s="448"/>
      <c r="G26" s="2704"/>
      <c r="H26" s="448"/>
      <c r="I26" s="2704"/>
      <c r="J26" s="448"/>
      <c r="K26" s="672"/>
      <c r="L26" s="1135"/>
      <c r="M26" s="1136"/>
      <c r="N26" s="1136"/>
      <c r="O26" s="1137"/>
      <c r="P26" s="3211"/>
      <c r="Q26" s="1797"/>
      <c r="R26" s="770"/>
      <c r="S26" s="771"/>
      <c r="T26" s="770"/>
      <c r="U26" s="771"/>
      <c r="V26" s="770"/>
      <c r="W26" s="771"/>
      <c r="X26" s="772"/>
      <c r="Y26" s="3211"/>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1"/>
      <c r="Z27" s="1816" t="str">
        <f t="shared" ref="Z27:Z40" si="13">Q27</f>
        <v>临街状况</v>
      </c>
      <c r="AA27" s="1813">
        <f t="shared" si="3"/>
        <v>1</v>
      </c>
      <c r="AB27" s="1813">
        <f t="shared" si="4"/>
        <v>1</v>
      </c>
      <c r="AC27" s="1813">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1"/>
      <c r="Q28" s="1812" t="str">
        <f t="shared" si="8"/>
        <v>毗邻道路的类型与等级</v>
      </c>
      <c r="R28" s="774" t="s">
        <v>17</v>
      </c>
      <c r="S28" s="775">
        <f t="shared" si="10"/>
        <v>100</v>
      </c>
      <c r="T28" s="774" t="s">
        <v>17</v>
      </c>
      <c r="U28" s="775">
        <f t="shared" si="11"/>
        <v>100</v>
      </c>
      <c r="V28" s="774" t="s">
        <v>17</v>
      </c>
      <c r="W28" s="775">
        <f t="shared" si="12"/>
        <v>100</v>
      </c>
      <c r="X28" s="1815"/>
      <c r="Y28" s="3211"/>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3"/>
      <c r="M29" s="1134"/>
      <c r="N29" s="1134"/>
      <c r="O29" s="1142"/>
      <c r="P29" s="3211"/>
      <c r="Q29" s="1812"/>
      <c r="R29" s="774"/>
      <c r="S29" s="775"/>
      <c r="T29" s="774"/>
      <c r="U29" s="775"/>
      <c r="V29" s="774"/>
      <c r="W29" s="775"/>
      <c r="X29" s="1815"/>
      <c r="Y29" s="3211"/>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1"/>
      <c r="Q30" s="1812" t="str">
        <f t="shared" si="8"/>
        <v>土地级别</v>
      </c>
      <c r="R30" s="774" t="s">
        <v>17</v>
      </c>
      <c r="S30" s="775">
        <f t="shared" si="10"/>
        <v>100</v>
      </c>
      <c r="T30" s="774" t="s">
        <v>17</v>
      </c>
      <c r="U30" s="775">
        <f t="shared" si="11"/>
        <v>100</v>
      </c>
      <c r="V30" s="774" t="s">
        <v>17</v>
      </c>
      <c r="W30" s="775">
        <f t="shared" si="12"/>
        <v>100</v>
      </c>
      <c r="X30" s="1815"/>
      <c r="Y30" s="3211"/>
      <c r="Z30" s="1816" t="str">
        <f t="shared" si="13"/>
        <v>土地级别</v>
      </c>
      <c r="AA30" s="1813">
        <f t="shared" si="3"/>
        <v>1</v>
      </c>
      <c r="AB30" s="1813">
        <f t="shared" si="4"/>
        <v>1</v>
      </c>
      <c r="AC30" s="1813">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1"/>
      <c r="Q31" s="1812">
        <f t="shared" si="8"/>
        <v>111</v>
      </c>
      <c r="R31" s="774" t="s">
        <v>17</v>
      </c>
      <c r="S31" s="775">
        <f t="shared" si="10"/>
        <v>100</v>
      </c>
      <c r="T31" s="774" t="s">
        <v>17</v>
      </c>
      <c r="U31" s="775">
        <f t="shared" si="11"/>
        <v>100</v>
      </c>
      <c r="V31" s="774" t="s">
        <v>17</v>
      </c>
      <c r="W31" s="775">
        <f t="shared" si="12"/>
        <v>100</v>
      </c>
      <c r="X31" s="1815"/>
      <c r="Y31" s="3211"/>
      <c r="Z31" s="1816">
        <f t="shared" si="13"/>
        <v>111</v>
      </c>
      <c r="AA31" s="1813">
        <f t="shared" si="3"/>
        <v>1</v>
      </c>
      <c r="AB31" s="1813">
        <f t="shared" si="4"/>
        <v>1</v>
      </c>
      <c r="AC31" s="1813">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2565</v>
      </c>
      <c r="Q32" s="1812">
        <f t="shared" si="8"/>
        <v>111</v>
      </c>
      <c r="R32" s="774" t="s">
        <v>17</v>
      </c>
      <c r="S32" s="775">
        <f t="shared" si="10"/>
        <v>100</v>
      </c>
      <c r="T32" s="774" t="s">
        <v>17</v>
      </c>
      <c r="U32" s="775">
        <f t="shared" si="11"/>
        <v>100</v>
      </c>
      <c r="V32" s="774" t="s">
        <v>17</v>
      </c>
      <c r="W32" s="775">
        <f t="shared" si="12"/>
        <v>100</v>
      </c>
      <c r="X32" s="1815"/>
      <c r="Y32" s="3213" t="s">
        <v>2565</v>
      </c>
      <c r="Z32" s="1816">
        <f t="shared" si="13"/>
        <v>111</v>
      </c>
      <c r="AA32" s="1813">
        <f t="shared" si="3"/>
        <v>1</v>
      </c>
      <c r="AB32" s="1813">
        <f t="shared" si="4"/>
        <v>1</v>
      </c>
      <c r="AC32" s="1813">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3"/>
      <c r="Q33" s="1812">
        <f t="shared" si="8"/>
        <v>111</v>
      </c>
      <c r="R33" s="777" t="s">
        <v>17</v>
      </c>
      <c r="S33" s="778">
        <f t="shared" si="10"/>
        <v>100</v>
      </c>
      <c r="T33" s="777" t="s">
        <v>17</v>
      </c>
      <c r="U33" s="778">
        <f t="shared" si="11"/>
        <v>100</v>
      </c>
      <c r="V33" s="777" t="s">
        <v>17</v>
      </c>
      <c r="W33" s="778">
        <f t="shared" si="12"/>
        <v>100</v>
      </c>
      <c r="X33" s="779"/>
      <c r="Y33" s="3213"/>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3"/>
      <c r="Q34" s="1812" t="str">
        <f>B34</f>
        <v>宗地面积</v>
      </c>
      <c r="R34" s="774" t="s">
        <v>17</v>
      </c>
      <c r="S34" s="775" t="e">
        <f t="shared" si="10"/>
        <v>#N/A</v>
      </c>
      <c r="T34" s="774" t="s">
        <v>17</v>
      </c>
      <c r="U34" s="775" t="e">
        <f t="shared" si="11"/>
        <v>#N/A</v>
      </c>
      <c r="V34" s="774" t="s">
        <v>17</v>
      </c>
      <c r="W34" s="775" t="e">
        <f t="shared" si="12"/>
        <v>#N/A</v>
      </c>
      <c r="X34" s="1815"/>
      <c r="Y34" s="3213"/>
      <c r="Z34" s="1816" t="str">
        <f t="shared" si="13"/>
        <v>宗地面积</v>
      </c>
      <c r="AA34" s="1813" t="e">
        <f t="shared" si="3"/>
        <v>#N/A</v>
      </c>
      <c r="AB34" s="1813" t="e">
        <f t="shared" si="4"/>
        <v>#N/A</v>
      </c>
      <c r="AC34" s="1813"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3"/>
      <c r="Q35" s="1812" t="str">
        <f t="shared" ref="Q35:Q40" si="14">B35</f>
        <v>宗地形状</v>
      </c>
      <c r="R35" s="774" t="s">
        <v>17</v>
      </c>
      <c r="S35" s="775">
        <f t="shared" si="10"/>
        <v>100</v>
      </c>
      <c r="T35" s="774" t="s">
        <v>17</v>
      </c>
      <c r="U35" s="775">
        <f t="shared" si="11"/>
        <v>100</v>
      </c>
      <c r="V35" s="774" t="s">
        <v>17</v>
      </c>
      <c r="W35" s="775">
        <f t="shared" si="12"/>
        <v>100</v>
      </c>
      <c r="X35" s="1815"/>
      <c r="Y35" s="3213"/>
      <c r="Z35" s="1816" t="str">
        <f t="shared" si="13"/>
        <v>宗地形状</v>
      </c>
      <c r="AA35" s="1813">
        <f t="shared" si="3"/>
        <v>1</v>
      </c>
      <c r="AB35" s="1813">
        <f t="shared" si="4"/>
        <v>1</v>
      </c>
      <c r="AC35" s="1813">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3"/>
      <c r="Q36" s="1812"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3" t="s">
        <v>2565</v>
      </c>
      <c r="Q37" s="1812" t="str">
        <f t="shared" si="14"/>
        <v>工程地质条件</v>
      </c>
      <c r="R37" s="774" t="s">
        <v>17</v>
      </c>
      <c r="S37" s="775">
        <f t="shared" si="10"/>
        <v>100</v>
      </c>
      <c r="T37" s="774" t="s">
        <v>17</v>
      </c>
      <c r="U37" s="775">
        <f t="shared" si="11"/>
        <v>100</v>
      </c>
      <c r="V37" s="774" t="s">
        <v>17</v>
      </c>
      <c r="W37" s="775">
        <f t="shared" si="12"/>
        <v>100</v>
      </c>
      <c r="X37" s="1815"/>
      <c r="Y37" s="3213"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3"/>
      <c r="Q38" s="1812">
        <f t="shared" si="14"/>
        <v>111</v>
      </c>
      <c r="R38" s="774" t="s">
        <v>17</v>
      </c>
      <c r="S38" s="775">
        <f t="shared" si="10"/>
        <v>100</v>
      </c>
      <c r="T38" s="774" t="s">
        <v>17</v>
      </c>
      <c r="U38" s="775">
        <f t="shared" si="11"/>
        <v>100</v>
      </c>
      <c r="V38" s="774" t="s">
        <v>17</v>
      </c>
      <c r="W38" s="775">
        <f t="shared" si="12"/>
        <v>100</v>
      </c>
      <c r="X38" s="1815"/>
      <c r="Y38" s="321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3"/>
      <c r="Q39" s="1812">
        <f t="shared" si="14"/>
        <v>111</v>
      </c>
      <c r="R39" s="774" t="s">
        <v>17</v>
      </c>
      <c r="S39" s="775">
        <f t="shared" si="10"/>
        <v>100</v>
      </c>
      <c r="T39" s="774" t="s">
        <v>17</v>
      </c>
      <c r="U39" s="775">
        <f t="shared" si="11"/>
        <v>100</v>
      </c>
      <c r="V39" s="774" t="s">
        <v>17</v>
      </c>
      <c r="W39" s="775">
        <f t="shared" si="12"/>
        <v>100</v>
      </c>
      <c r="X39" s="1815"/>
      <c r="Y39" s="3213"/>
      <c r="Z39" s="1816">
        <f t="shared" si="13"/>
        <v>111</v>
      </c>
      <c r="AA39" s="1813">
        <f t="shared" si="3"/>
        <v>1</v>
      </c>
      <c r="AB39" s="1813">
        <f t="shared" si="4"/>
        <v>1</v>
      </c>
      <c r="AC39" s="1813">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3"/>
      <c r="Q40" s="1812">
        <f t="shared" si="14"/>
        <v>111</v>
      </c>
      <c r="R40" s="777" t="s">
        <v>17</v>
      </c>
      <c r="S40" s="778">
        <f t="shared" si="10"/>
        <v>100</v>
      </c>
      <c r="T40" s="777" t="s">
        <v>17</v>
      </c>
      <c r="U40" s="778">
        <f t="shared" si="11"/>
        <v>100</v>
      </c>
      <c r="V40" s="777" t="s">
        <v>17</v>
      </c>
      <c r="W40" s="778">
        <f t="shared" si="12"/>
        <v>100</v>
      </c>
      <c r="X40" s="779"/>
      <c r="Y40" s="3213"/>
      <c r="Z40" s="780">
        <f t="shared" si="13"/>
        <v>111</v>
      </c>
      <c r="AA40" s="1813">
        <f t="shared" si="3"/>
        <v>1</v>
      </c>
      <c r="AB40" s="1813">
        <f t="shared" si="4"/>
        <v>1</v>
      </c>
      <c r="AC40" s="1813">
        <f t="shared" si="5"/>
        <v>1</v>
      </c>
    </row>
    <row r="41" spans="1:29" ht="15">
      <c r="A41" s="479" t="s">
        <v>2720</v>
      </c>
      <c r="B41" s="2707" t="s">
        <v>2800</v>
      </c>
      <c r="C41" s="682" t="s">
        <v>1</v>
      </c>
      <c r="D41" s="481"/>
      <c r="E41" s="482"/>
      <c r="F41" s="483"/>
      <c r="G41" s="484"/>
      <c r="H41" s="485"/>
      <c r="I41" s="482"/>
      <c r="J41" s="485"/>
      <c r="K41" s="783"/>
      <c r="L41" s="1146"/>
      <c r="M41" s="1134"/>
      <c r="N41" s="1134"/>
      <c r="O41" s="1147"/>
      <c r="P41" s="3208" t="str">
        <f>A41</f>
        <v>成交单价</v>
      </c>
      <c r="Q41" s="3208"/>
      <c r="R41" s="3214">
        <f>E41</f>
        <v>0</v>
      </c>
      <c r="S41" s="3214"/>
      <c r="T41" s="3214">
        <f>G41</f>
        <v>0</v>
      </c>
      <c r="U41" s="3214"/>
      <c r="V41" s="3214">
        <f>I41</f>
        <v>0</v>
      </c>
      <c r="W41" s="3214"/>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08" t="str">
        <f>A42</f>
        <v>比较价值（元/平方米）</v>
      </c>
      <c r="Q42" s="3208"/>
      <c r="R42" s="3201" t="e">
        <f>ROUND(PRODUCT(R41,AA7:AA40),0)</f>
        <v>#DIV/0!</v>
      </c>
      <c r="S42" s="3201"/>
      <c r="T42" s="3201" t="e">
        <f>ROUND(PRODUCT(T41,AB7:AB40),0)</f>
        <v>#DIV/0!</v>
      </c>
      <c r="U42" s="3201"/>
      <c r="V42" s="3201" t="e">
        <f>ROUND(PRODUCT(V41,AC7:AC40),0)</f>
        <v>#DIV/0!</v>
      </c>
      <c r="W42" s="320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04" t="e">
        <f>ROUND(AVERAGE(R42:V42),0)</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8" t="s">
        <v>2760</v>
      </c>
      <c r="D50" s="2709" t="s">
        <v>2761</v>
      </c>
      <c r="E50" s="686" t="s">
        <v>2762</v>
      </c>
      <c r="F50" s="687" t="s">
        <v>2763</v>
      </c>
      <c r="G50" s="3205" t="s">
        <v>2764</v>
      </c>
      <c r="H50" s="3206"/>
      <c r="I50" s="1816" t="s">
        <v>2801</v>
      </c>
      <c r="J50" s="1816">
        <f>项目基本情况!F35</f>
        <v>0</v>
      </c>
      <c r="K50" s="2711" t="s">
        <v>2766</v>
      </c>
      <c r="L50" s="1109"/>
      <c r="M50" s="1147"/>
      <c r="N50" s="1147"/>
      <c r="O50" s="1147"/>
    </row>
    <row r="51" spans="1:17" s="692" customFormat="1">
      <c r="A51" s="688" t="s">
        <v>2767</v>
      </c>
      <c r="B51" s="689" t="e">
        <f>C43</f>
        <v>#DIV/0!</v>
      </c>
      <c r="C51" s="690">
        <v>1</v>
      </c>
      <c r="D51" s="1166">
        <v>1</v>
      </c>
      <c r="E51" s="690">
        <f>'数据-汇总表'!E8+'数据-汇总表'!E9</f>
        <v>5121.38</v>
      </c>
      <c r="F51" s="691" t="e">
        <f t="shared" ref="F51:F60" si="15">ROUND(B51*E51/10000,0)</f>
        <v>#DIV/0!</v>
      </c>
      <c r="G51" s="3207"/>
      <c r="H51" s="3208"/>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09" t="s">
        <v>2769</v>
      </c>
      <c r="H52" s="1107" t="str">
        <f>项目基本情况!B37</f>
        <v>五级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09"/>
      <c r="H53" s="1107" t="str">
        <f>项目基本情况!B37</f>
        <v>五级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09"/>
      <c r="H54" s="1107" t="str">
        <f>项目基本情况!B37</f>
        <v>五级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09"/>
      <c r="H55" s="1107" t="str">
        <f>项目基本情况!B37</f>
        <v>五级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2"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0</v>
      </c>
      <c r="F59" s="691" t="e">
        <f t="shared" si="15"/>
        <v>#DIV/0!</v>
      </c>
      <c r="G59" s="2712" t="s">
        <v>2769</v>
      </c>
      <c r="H59" s="1107" t="str">
        <f>项目基本情况!B37</f>
        <v>五级</v>
      </c>
      <c r="I59" s="945">
        <f>SUMIF(修正!A45:A56,H59,修正!H45:H56)</f>
        <v>0.2</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3"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4" t="s">
        <v>2782</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9"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2" sqref="F32"/>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3003</v>
      </c>
    </row>
    <row r="2" spans="1:5" ht="15.75">
      <c r="A2" s="2913" t="s">
        <v>2995</v>
      </c>
      <c r="B2" s="2914" t="e">
        <f ca="1">SUMIF(B6:B13,"&lt;&gt;#ref!",B6:B13)</f>
        <v>#DIV/0!</v>
      </c>
      <c r="C2" s="2913" t="s">
        <v>2996</v>
      </c>
      <c r="D2" s="2913" t="s">
        <v>2997</v>
      </c>
      <c r="E2" s="2914" t="e">
        <f ca="1">SUM(E6:E13)</f>
        <v>#REF!</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1105.49</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3"/>
      <c r="B4" s="2996" t="s">
        <v>1629</v>
      </c>
      <c r="C4" s="2996"/>
      <c r="D4" s="2996"/>
      <c r="E4" s="1963"/>
    </row>
    <row r="5" spans="1:5" ht="16.5" thickTop="1">
      <c r="A5" s="1961"/>
      <c r="B5" s="2994" t="s">
        <v>1621</v>
      </c>
      <c r="C5" s="1964" t="s">
        <v>1622</v>
      </c>
      <c r="D5" s="1043">
        <f ca="1">结果表!H101</f>
        <v>5352</v>
      </c>
      <c r="E5" s="1961"/>
    </row>
    <row r="6" spans="1:5" ht="15.75">
      <c r="A6" s="1961"/>
      <c r="B6" s="2994"/>
      <c r="C6" s="1964" t="s">
        <v>1623</v>
      </c>
      <c r="D6" s="1043" t="str">
        <f ca="1">NUMBERSTRING(INT(D5*10000),2)&amp;"元整"</f>
        <v>伍仟叁佰伍拾贰万元整</v>
      </c>
      <c r="E6" s="1961"/>
    </row>
    <row r="7" spans="1:5" ht="15.75">
      <c r="A7" s="1961"/>
      <c r="B7" s="2999"/>
      <c r="C7" s="1965" t="s">
        <v>1624</v>
      </c>
      <c r="D7" s="1044">
        <f ca="1">结果表!H102</f>
        <v>10450</v>
      </c>
      <c r="E7" s="1961"/>
    </row>
    <row r="8" spans="1:5" ht="15.75">
      <c r="A8" s="1961"/>
      <c r="B8" s="3000" t="str">
        <f>结果表!E103</f>
        <v>2.估价师知悉的法定优先受偿款</v>
      </c>
      <c r="C8" s="1966" t="s">
        <v>1625</v>
      </c>
      <c r="D8" s="1044">
        <f>结果表!H103</f>
        <v>0</v>
      </c>
      <c r="E8" s="1961"/>
    </row>
    <row r="9" spans="1:5" ht="15.75">
      <c r="A9" s="1961"/>
      <c r="B9" s="3002"/>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93" t="str">
        <f>结果表!E107</f>
        <v>3.房地产抵押价值</v>
      </c>
      <c r="C13" s="1969" t="s">
        <v>1622</v>
      </c>
      <c r="D13" s="1046">
        <f ca="1">结果表!H107</f>
        <v>5352</v>
      </c>
      <c r="E13" s="1961"/>
    </row>
    <row r="14" spans="1:5" ht="15.75">
      <c r="A14" s="1961"/>
      <c r="B14" s="2994"/>
      <c r="C14" s="1964" t="s">
        <v>1623</v>
      </c>
      <c r="D14" s="1043" t="str">
        <f ca="1">NUMBERSTRING(INT(D13*10000),2)&amp;"元整"</f>
        <v>伍仟叁佰伍拾贰万元整</v>
      </c>
      <c r="E14" s="1961"/>
    </row>
    <row r="15" spans="1:5" ht="15">
      <c r="A15" s="1961"/>
      <c r="B15" s="2999"/>
      <c r="C15" s="1965" t="s">
        <v>1633</v>
      </c>
      <c r="D15" s="1055">
        <f ca="1">结果表!H108</f>
        <v>10450</v>
      </c>
      <c r="E15" s="1961"/>
    </row>
    <row r="16" spans="1:5" ht="15">
      <c r="A16" s="1961"/>
      <c r="B16" s="3000" t="str">
        <f>结果表!E109</f>
        <v>——</v>
      </c>
      <c r="C16" s="1969" t="s">
        <v>1634</v>
      </c>
      <c r="D16" s="1970" t="str">
        <f>结果表!H109</f>
        <v>——</v>
      </c>
      <c r="E16" s="1961"/>
    </row>
    <row r="17" spans="1:5" ht="15.75">
      <c r="A17" s="1961"/>
      <c r="B17" s="3001"/>
      <c r="C17" s="1964" t="s">
        <v>1635</v>
      </c>
      <c r="D17" s="1043" t="e">
        <f>NUMBERSTRING(INT(D16*10000),2)&amp;"元整"</f>
        <v>#VALUE!</v>
      </c>
      <c r="E17" s="1961"/>
    </row>
    <row r="18" spans="1:5" ht="15">
      <c r="A18" s="1961"/>
      <c r="B18" s="3002"/>
      <c r="C18" s="1965" t="s">
        <v>1624</v>
      </c>
      <c r="D18" s="1055" t="str">
        <f>结果表!H110</f>
        <v>——</v>
      </c>
      <c r="E18" s="1961"/>
    </row>
    <row r="19" spans="1:5" ht="15.75">
      <c r="A19" s="1961"/>
      <c r="B19" s="2993" t="str">
        <f>结果表!E111</f>
        <v>——</v>
      </c>
      <c r="C19" s="1969" t="s">
        <v>1622</v>
      </c>
      <c r="D19" s="1044" t="str">
        <f>结果表!H111</f>
        <v>——</v>
      </c>
      <c r="E19" s="1961"/>
    </row>
    <row r="20" spans="1:5" ht="15.75">
      <c r="A20" s="1961"/>
      <c r="B20" s="2994"/>
      <c r="C20" s="1964" t="s">
        <v>1635</v>
      </c>
      <c r="D20" s="1043" t="e">
        <f>NUMBERSTRING(INT(D19*10000),2)&amp;"元整"</f>
        <v>#VALUE!</v>
      </c>
      <c r="E20" s="1961"/>
    </row>
    <row r="21" spans="1:5" ht="15.75" thickBot="1">
      <c r="A21" s="1961"/>
      <c r="B21" s="2995"/>
      <c r="C21" s="1971" t="s">
        <v>1633</v>
      </c>
      <c r="D21" s="1056"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47" sqref="C4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7" t="s">
        <v>1149</v>
      </c>
      <c r="C1" s="3307"/>
      <c r="D1" s="3307"/>
      <c r="E1" s="3307"/>
      <c r="F1" s="3307"/>
      <c r="G1" s="3306" t="s">
        <v>1150</v>
      </c>
      <c r="H1" s="3306"/>
      <c r="I1" s="3306"/>
      <c r="J1" s="3306"/>
      <c r="K1" s="3306"/>
      <c r="L1" s="3306"/>
      <c r="N1" s="3306" t="s">
        <v>1151</v>
      </c>
      <c r="O1" s="3306"/>
      <c r="P1" s="3306"/>
      <c r="Q1" s="3306"/>
      <c r="R1" s="1449"/>
      <c r="S1" s="3306" t="s">
        <v>1152</v>
      </c>
      <c r="T1" s="3306"/>
      <c r="U1" s="3306"/>
      <c r="V1" s="3306"/>
      <c r="X1" s="3305" t="s">
        <v>1153</v>
      </c>
      <c r="Y1" s="3306"/>
      <c r="Z1" s="3306"/>
      <c r="AA1" s="3306"/>
      <c r="AB1" s="3306"/>
      <c r="AD1" s="3305" t="s">
        <v>1154</v>
      </c>
      <c r="AE1" s="3306"/>
      <c r="AF1" s="3306"/>
      <c r="AG1" s="3306"/>
      <c r="AH1" s="3306"/>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2" customFormat="1" ht="14.25">
      <c r="A3" s="2941" t="s">
        <v>3038</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2">
        <v>2018</v>
      </c>
      <c r="H5" s="1732">
        <v>2</v>
      </c>
      <c r="I5" s="2927">
        <v>0</v>
      </c>
      <c r="J5" s="2927">
        <v>0</v>
      </c>
      <c r="K5" s="2927">
        <v>0</v>
      </c>
      <c r="L5" s="2927">
        <v>0</v>
      </c>
      <c r="N5" s="1470">
        <f t="shared" ref="N5" si="7">I5/100</f>
        <v>0</v>
      </c>
      <c r="O5" s="1470">
        <f t="shared" ref="O5" si="8">J5/100</f>
        <v>0</v>
      </c>
      <c r="P5" s="1470">
        <f t="shared" ref="P5" si="9">K5/100</f>
        <v>0</v>
      </c>
      <c r="Q5" s="1470">
        <f t="shared" ref="Q5" si="10">L5/100</f>
        <v>0</v>
      </c>
      <c r="R5" s="1734"/>
      <c r="S5" s="1735"/>
      <c r="T5" s="1734"/>
      <c r="U5" s="1734"/>
      <c r="V5" s="1734"/>
      <c r="W5" s="2931"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3037</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3">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3034</v>
      </c>
      <c r="B7" s="1472">
        <v>439</v>
      </c>
      <c r="C7" s="1472">
        <v>327</v>
      </c>
      <c r="D7" s="1472">
        <f>C7</f>
        <v>327</v>
      </c>
      <c r="E7" s="1472">
        <v>627</v>
      </c>
      <c r="F7" s="1473">
        <v>283</v>
      </c>
      <c r="G7" s="2929">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3035</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5"/>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1385</v>
      </c>
      <c r="B9" s="1480">
        <f t="shared" si="30"/>
        <v>419.31181600000002</v>
      </c>
      <c r="C9" s="1480">
        <f t="shared" si="31"/>
        <v>313.95436800000004</v>
      </c>
      <c r="D9" s="1480">
        <f t="shared" si="32"/>
        <v>313.95436800000004</v>
      </c>
      <c r="E9" s="1480">
        <f t="shared" si="33"/>
        <v>596.63028431999999</v>
      </c>
      <c r="F9" s="1480">
        <f t="shared" si="34"/>
        <v>274.74220703999998</v>
      </c>
      <c r="G9" s="2924"/>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1160</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30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03"/>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03"/>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04"/>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02">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03"/>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03"/>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04"/>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02">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03"/>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03"/>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04"/>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1161</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1162</v>
      </c>
      <c r="B23" s="1472">
        <v>299</v>
      </c>
      <c r="C23" s="1472">
        <v>252</v>
      </c>
      <c r="D23" s="1472">
        <f t="shared" si="44"/>
        <v>252</v>
      </c>
      <c r="E23" s="1472">
        <v>409</v>
      </c>
      <c r="F23" s="1473">
        <v>227</v>
      </c>
      <c r="G23" s="330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1163</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1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1164</v>
      </c>
      <c r="B25" s="1480">
        <f t="shared" si="53"/>
        <v>288.2649053828776</v>
      </c>
      <c r="C25" s="1480">
        <f t="shared" si="53"/>
        <v>243.64564425013293</v>
      </c>
      <c r="D25" s="1480">
        <f t="shared" si="44"/>
        <v>243.64564425013293</v>
      </c>
      <c r="E25" s="1480">
        <f t="shared" si="54"/>
        <v>393.31080825986544</v>
      </c>
      <c r="F25" s="1480">
        <f t="shared" si="54"/>
        <v>223.07903790551154</v>
      </c>
      <c r="G25" s="331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1165</v>
      </c>
      <c r="B26" s="1480">
        <f t="shared" si="53"/>
        <v>282.50186729015837</v>
      </c>
      <c r="C26" s="1480">
        <f t="shared" si="53"/>
        <v>238.09796174155468</v>
      </c>
      <c r="D26" s="1480">
        <f t="shared" si="44"/>
        <v>238.09796174155468</v>
      </c>
      <c r="E26" s="1480">
        <f t="shared" si="54"/>
        <v>385.33438646014054</v>
      </c>
      <c r="F26" s="1480">
        <f t="shared" si="54"/>
        <v>221.55034055567739</v>
      </c>
      <c r="G26" s="331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1166</v>
      </c>
      <c r="B27" s="1514">
        <v>278</v>
      </c>
      <c r="C27" s="1514">
        <v>234</v>
      </c>
      <c r="D27" s="1514">
        <f t="shared" si="44"/>
        <v>234</v>
      </c>
      <c r="E27" s="1514">
        <v>379</v>
      </c>
      <c r="F27" s="1515">
        <v>220</v>
      </c>
      <c r="G27" s="3302">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1167</v>
      </c>
      <c r="B28" s="1480">
        <f>B27/(1+N27)</f>
        <v>275.49301357645425</v>
      </c>
      <c r="C28" s="1480">
        <f>C27/(1+O27)</f>
        <v>232.41954707985698</v>
      </c>
      <c r="D28" s="1480">
        <f t="shared" si="44"/>
        <v>232.41954707985698</v>
      </c>
      <c r="E28" s="1480">
        <f t="shared" ref="E28:F30" si="55">E27/(1+P27)</f>
        <v>375.32184591008121</v>
      </c>
      <c r="F28" s="1480">
        <f t="shared" si="55"/>
        <v>218.03766105054513</v>
      </c>
      <c r="G28" s="3303"/>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1168</v>
      </c>
      <c r="B29" s="1480">
        <f>B28/(1+N28)</f>
        <v>275.24529281292263</v>
      </c>
      <c r="C29" s="1480">
        <f>C28/(1+O28)</f>
        <v>231.74747938962707</v>
      </c>
      <c r="D29" s="1480">
        <f t="shared" si="44"/>
        <v>231.74747938962707</v>
      </c>
      <c r="E29" s="1480">
        <f t="shared" si="55"/>
        <v>375.35938184826603</v>
      </c>
      <c r="F29" s="1480">
        <f t="shared" si="55"/>
        <v>216.78033510692495</v>
      </c>
      <c r="G29" s="3303"/>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1169</v>
      </c>
      <c r="B30" s="1480">
        <f>B29/(1+N29)</f>
        <v>275.19025476197027</v>
      </c>
      <c r="C30" s="1516">
        <v>232</v>
      </c>
      <c r="D30" s="1516">
        <f t="shared" si="44"/>
        <v>232</v>
      </c>
      <c r="E30" s="1480">
        <f t="shared" si="55"/>
        <v>375.65990977608692</v>
      </c>
      <c r="F30" s="1480">
        <f t="shared" si="55"/>
        <v>214.12518283971252</v>
      </c>
      <c r="G30" s="3304"/>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1170</v>
      </c>
      <c r="B31" s="1472">
        <v>275</v>
      </c>
      <c r="C31" s="1472">
        <v>232</v>
      </c>
      <c r="D31" s="1472">
        <f t="shared" si="44"/>
        <v>232</v>
      </c>
      <c r="E31" s="1472">
        <v>376</v>
      </c>
      <c r="F31" s="1473">
        <v>213</v>
      </c>
      <c r="G31" s="3302">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1171</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03">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1172</v>
      </c>
      <c r="B33" s="1480">
        <f t="shared" si="56"/>
        <v>275.19335084830601</v>
      </c>
      <c r="C33" s="1480">
        <f t="shared" si="56"/>
        <v>230.18088050139744</v>
      </c>
      <c r="D33" s="1480">
        <f t="shared" si="44"/>
        <v>230.18088050139744</v>
      </c>
      <c r="E33" s="1480">
        <f t="shared" si="57"/>
        <v>377.58482925212331</v>
      </c>
      <c r="F33" s="1480">
        <f t="shared" si="57"/>
        <v>210.90687997847917</v>
      </c>
      <c r="G33" s="3303">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1173</v>
      </c>
      <c r="B34" s="1480">
        <f t="shared" si="56"/>
        <v>276.29854502841971</v>
      </c>
      <c r="C34" s="1480">
        <f t="shared" si="56"/>
        <v>229.79023709833027</v>
      </c>
      <c r="D34" s="1480">
        <f t="shared" si="44"/>
        <v>229.79023709833027</v>
      </c>
      <c r="E34" s="1480">
        <f t="shared" si="57"/>
        <v>379.78759731655936</v>
      </c>
      <c r="F34" s="1480">
        <f t="shared" si="57"/>
        <v>211.32953905659235</v>
      </c>
      <c r="G34" s="3304">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1174</v>
      </c>
      <c r="B35" s="1472">
        <v>269</v>
      </c>
      <c r="C35" s="1472">
        <v>221</v>
      </c>
      <c r="D35" s="1472">
        <f t="shared" si="44"/>
        <v>221</v>
      </c>
      <c r="E35" s="1472">
        <v>373</v>
      </c>
      <c r="F35" s="1473">
        <v>196</v>
      </c>
      <c r="G35" s="3302">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1175</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03">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1176</v>
      </c>
      <c r="B37" s="1480">
        <f t="shared" si="58"/>
        <v>242.95398227588385</v>
      </c>
      <c r="C37" s="1480">
        <f t="shared" si="58"/>
        <v>199.59137053614126</v>
      </c>
      <c r="D37" s="1480">
        <f t="shared" si="44"/>
        <v>199.59137053614126</v>
      </c>
      <c r="E37" s="1480">
        <f t="shared" si="59"/>
        <v>335.92189522342125</v>
      </c>
      <c r="F37" s="1480">
        <f t="shared" si="59"/>
        <v>183.10139991109489</v>
      </c>
      <c r="G37" s="3303">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1177</v>
      </c>
      <c r="B38" s="1480">
        <f t="shared" si="58"/>
        <v>232.06990378821649</v>
      </c>
      <c r="C38" s="1480">
        <f t="shared" si="58"/>
        <v>192.74878854286936</v>
      </c>
      <c r="D38" s="1480">
        <f t="shared" si="44"/>
        <v>192.74878854286936</v>
      </c>
      <c r="E38" s="1480">
        <f t="shared" si="59"/>
        <v>319.71247284992984</v>
      </c>
      <c r="F38" s="1480">
        <f t="shared" si="59"/>
        <v>175.67053622862409</v>
      </c>
      <c r="G38" s="3304">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1178</v>
      </c>
      <c r="B39" s="1472">
        <v>220</v>
      </c>
      <c r="C39" s="1472">
        <v>187</v>
      </c>
      <c r="D39" s="1472">
        <f t="shared" si="44"/>
        <v>187</v>
      </c>
      <c r="E39" s="1472">
        <v>301</v>
      </c>
      <c r="F39" s="1473">
        <v>168</v>
      </c>
      <c r="G39" s="3302">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1179</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03">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1180</v>
      </c>
      <c r="B41" s="1480">
        <f t="shared" si="60"/>
        <v>210.630522469011</v>
      </c>
      <c r="C41" s="1480">
        <f t="shared" si="60"/>
        <v>181.69567812247232</v>
      </c>
      <c r="D41" s="1480">
        <f t="shared" si="44"/>
        <v>181.69567812247232</v>
      </c>
      <c r="E41" s="1480">
        <f t="shared" si="61"/>
        <v>286.13517466736738</v>
      </c>
      <c r="F41" s="1480">
        <f t="shared" si="61"/>
        <v>165.47535084591149</v>
      </c>
      <c r="G41" s="3303">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1181</v>
      </c>
      <c r="B42" s="1480">
        <f t="shared" si="60"/>
        <v>208.83454537875372</v>
      </c>
      <c r="C42" s="1480">
        <f t="shared" si="60"/>
        <v>183.77230517090351</v>
      </c>
      <c r="D42" s="1480">
        <f t="shared" si="44"/>
        <v>183.77230517090351</v>
      </c>
      <c r="E42" s="1480">
        <f t="shared" si="61"/>
        <v>281.10342338870947</v>
      </c>
      <c r="F42" s="1480">
        <f t="shared" si="61"/>
        <v>168.97309388942256</v>
      </c>
      <c r="G42" s="3304">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1182</v>
      </c>
      <c r="B43" s="1514">
        <v>214</v>
      </c>
      <c r="C43" s="1514">
        <v>188</v>
      </c>
      <c r="D43" s="1514">
        <f t="shared" si="44"/>
        <v>188</v>
      </c>
      <c r="E43" s="1514">
        <v>289</v>
      </c>
      <c r="F43" s="1515">
        <v>166</v>
      </c>
      <c r="G43" s="3302">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1183</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03">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1184</v>
      </c>
      <c r="B45" s="1480">
        <f t="shared" si="62"/>
        <v>206.31694671589116</v>
      </c>
      <c r="C45" s="1480">
        <f t="shared" si="62"/>
        <v>183.61041121036101</v>
      </c>
      <c r="D45" s="1480">
        <f t="shared" si="44"/>
        <v>183.61041121036101</v>
      </c>
      <c r="E45" s="1480">
        <f t="shared" si="63"/>
        <v>276.66850301795557</v>
      </c>
      <c r="F45" s="1480">
        <f t="shared" si="63"/>
        <v>165.1360938278614</v>
      </c>
      <c r="G45" s="3303">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1185</v>
      </c>
      <c r="B46" s="1517">
        <f t="shared" si="62"/>
        <v>196.62341248059772</v>
      </c>
      <c r="C46" s="1517">
        <f t="shared" si="62"/>
        <v>170.99125648199012</v>
      </c>
      <c r="D46" s="1517">
        <f t="shared" si="44"/>
        <v>170.99125648199012</v>
      </c>
      <c r="E46" s="1517">
        <f t="shared" si="63"/>
        <v>266.07857570490052</v>
      </c>
      <c r="F46" s="1517">
        <f t="shared" si="63"/>
        <v>154.53499328828505</v>
      </c>
      <c r="G46" s="3304">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1186</v>
      </c>
      <c r="B47" s="1472">
        <v>188</v>
      </c>
      <c r="C47" s="1472">
        <v>165</v>
      </c>
      <c r="D47" s="1472">
        <f t="shared" si="44"/>
        <v>165</v>
      </c>
      <c r="E47" s="1472">
        <v>254</v>
      </c>
      <c r="F47" s="1473">
        <v>148</v>
      </c>
      <c r="G47" s="3302">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1187</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03">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1188</v>
      </c>
      <c r="B49" s="1480">
        <f t="shared" si="66"/>
        <v>168.82017748715555</v>
      </c>
      <c r="C49" s="1480">
        <f t="shared" si="66"/>
        <v>148.06267029972753</v>
      </c>
      <c r="D49" s="1480">
        <f t="shared" si="44"/>
        <v>148.06267029972753</v>
      </c>
      <c r="E49" s="1480">
        <f t="shared" si="67"/>
        <v>216.46288379323747</v>
      </c>
      <c r="F49" s="1480">
        <f t="shared" si="67"/>
        <v>134.23529411764704</v>
      </c>
      <c r="G49" s="3303">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1189</v>
      </c>
      <c r="B50" s="1480">
        <f t="shared" si="66"/>
        <v>163.84913591779542</v>
      </c>
      <c r="C50" s="1480">
        <f t="shared" si="66"/>
        <v>145.0283378746594</v>
      </c>
      <c r="D50" s="1480">
        <f t="shared" si="44"/>
        <v>145.0283378746594</v>
      </c>
      <c r="E50" s="1480">
        <f t="shared" si="67"/>
        <v>204.95180722891567</v>
      </c>
      <c r="F50" s="1480">
        <f t="shared" si="67"/>
        <v>125.95920303605313</v>
      </c>
      <c r="G50" s="3304">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1190</v>
      </c>
      <c r="B51" s="1493">
        <v>159</v>
      </c>
      <c r="C51" s="1493">
        <v>141</v>
      </c>
      <c r="D51" s="1493">
        <f t="shared" si="44"/>
        <v>141</v>
      </c>
      <c r="E51" s="1493">
        <v>195</v>
      </c>
      <c r="F51" s="1494">
        <v>122</v>
      </c>
      <c r="G51" s="3302">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1191</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03">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1192</v>
      </c>
      <c r="B53" s="1480">
        <f t="shared" si="70"/>
        <v>146.57412060301507</v>
      </c>
      <c r="C53" s="1480">
        <f t="shared" si="70"/>
        <v>136.46831955922866</v>
      </c>
      <c r="D53" s="1480">
        <f t="shared" si="44"/>
        <v>136.46831955922866</v>
      </c>
      <c r="E53" s="1480">
        <f t="shared" si="71"/>
        <v>166.73864894795128</v>
      </c>
      <c r="F53" s="1480">
        <f t="shared" si="71"/>
        <v>115.05882352941177</v>
      </c>
      <c r="G53" s="3303">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1193</v>
      </c>
      <c r="B54" s="1480">
        <f t="shared" si="70"/>
        <v>144.04145728643215</v>
      </c>
      <c r="C54" s="1480">
        <f t="shared" si="70"/>
        <v>136.12396694214877</v>
      </c>
      <c r="D54" s="1480">
        <f t="shared" si="44"/>
        <v>136.12396694214877</v>
      </c>
      <c r="E54" s="1480">
        <f t="shared" si="71"/>
        <v>158.32225913621264</v>
      </c>
      <c r="F54" s="1480">
        <f t="shared" si="71"/>
        <v>114.04278074866311</v>
      </c>
      <c r="G54" s="3304">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1194</v>
      </c>
      <c r="B55" s="1493">
        <v>138</v>
      </c>
      <c r="C55" s="1493">
        <v>131</v>
      </c>
      <c r="D55" s="1493">
        <f t="shared" si="44"/>
        <v>131</v>
      </c>
      <c r="E55" s="1493">
        <v>155</v>
      </c>
      <c r="F55" s="1494">
        <v>114</v>
      </c>
      <c r="G55" s="3302">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1195</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03">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1196</v>
      </c>
      <c r="B57" s="1480">
        <f t="shared" si="74"/>
        <v>124.29032258064517</v>
      </c>
      <c r="C57" s="1480">
        <f t="shared" si="74"/>
        <v>123.8968609865471</v>
      </c>
      <c r="D57" s="1480">
        <f t="shared" si="44"/>
        <v>123.8968609865471</v>
      </c>
      <c r="E57" s="1480">
        <f t="shared" si="75"/>
        <v>138.00507614213197</v>
      </c>
      <c r="F57" s="1480">
        <f t="shared" si="75"/>
        <v>107.96106557377048</v>
      </c>
      <c r="G57" s="3303">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1197</v>
      </c>
      <c r="B58" s="1480">
        <f t="shared" si="74"/>
        <v>122.57204301075269</v>
      </c>
      <c r="C58" s="1480">
        <f t="shared" si="74"/>
        <v>123.4932735426009</v>
      </c>
      <c r="D58" s="1480">
        <f t="shared" si="44"/>
        <v>123.4932735426009</v>
      </c>
      <c r="E58" s="1480">
        <f t="shared" si="75"/>
        <v>129.82233502538071</v>
      </c>
      <c r="F58" s="1480">
        <f t="shared" si="75"/>
        <v>107.39446721311475</v>
      </c>
      <c r="G58" s="3304">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1198</v>
      </c>
      <c r="B59" s="1514">
        <v>121</v>
      </c>
      <c r="C59" s="1514">
        <v>122</v>
      </c>
      <c r="D59" s="1514">
        <f t="shared" si="44"/>
        <v>122</v>
      </c>
      <c r="E59" s="1514">
        <v>124</v>
      </c>
      <c r="F59" s="1515">
        <v>107</v>
      </c>
      <c r="G59" s="3302">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1199</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03">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1200</v>
      </c>
      <c r="B61" s="1480">
        <f t="shared" si="78"/>
        <v>116.99099099099099</v>
      </c>
      <c r="C61" s="1480">
        <f t="shared" si="78"/>
        <v>118.84848484848486</v>
      </c>
      <c r="D61" s="1480">
        <f t="shared" si="44"/>
        <v>118.84848484848486</v>
      </c>
      <c r="E61" s="1480">
        <f t="shared" si="79"/>
        <v>117.60960960960961</v>
      </c>
      <c r="F61" s="1480">
        <f t="shared" si="79"/>
        <v>104</v>
      </c>
      <c r="G61" s="3303">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1201</v>
      </c>
      <c r="B62" s="1517">
        <f t="shared" si="78"/>
        <v>112.48648648648648</v>
      </c>
      <c r="C62" s="1517">
        <f t="shared" si="78"/>
        <v>115.21212121212122</v>
      </c>
      <c r="D62" s="1517">
        <f t="shared" si="44"/>
        <v>115.21212121212122</v>
      </c>
      <c r="E62" s="1517">
        <f t="shared" si="79"/>
        <v>110.4024024024024</v>
      </c>
      <c r="F62" s="1517">
        <f t="shared" si="79"/>
        <v>104</v>
      </c>
      <c r="G62" s="3304">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1202</v>
      </c>
      <c r="B63" s="1535">
        <v>111</v>
      </c>
      <c r="C63" s="1535">
        <v>114</v>
      </c>
      <c r="D63" s="1535">
        <f t="shared" si="44"/>
        <v>114</v>
      </c>
      <c r="E63" s="1535">
        <v>108</v>
      </c>
      <c r="F63" s="1536">
        <v>104</v>
      </c>
      <c r="G63" s="3302">
        <v>2003</v>
      </c>
      <c r="H63" s="1525">
        <v>4</v>
      </c>
      <c r="I63" s="1537"/>
      <c r="J63" s="1537"/>
      <c r="K63" s="1537"/>
      <c r="L63" s="1537"/>
      <c r="N63" s="1538"/>
      <c r="O63" s="1537"/>
      <c r="P63" s="1537"/>
      <c r="Q63" s="1537"/>
      <c r="S63" s="1538"/>
      <c r="T63" s="1537"/>
      <c r="U63" s="1537"/>
      <c r="V63" s="1537"/>
      <c r="X63" s="1529"/>
      <c r="Y63" s="1529"/>
      <c r="Z63" s="1529"/>
    </row>
    <row r="64" spans="1:26">
      <c r="A64" s="1464" t="s">
        <v>1203</v>
      </c>
      <c r="B64" s="1539">
        <f t="shared" ref="B64:C66" si="80">B65+(B$63-B$67)/4</f>
        <v>109.75</v>
      </c>
      <c r="C64" s="1539">
        <f t="shared" si="80"/>
        <v>112.25</v>
      </c>
      <c r="D64" s="1539">
        <f t="shared" si="44"/>
        <v>112.25</v>
      </c>
      <c r="E64" s="1539">
        <f t="shared" ref="E64:F66" si="81">E65+(E$63-E$67)/4</f>
        <v>107.25</v>
      </c>
      <c r="F64" s="1539">
        <f t="shared" si="81"/>
        <v>103.5</v>
      </c>
      <c r="G64" s="3303">
        <v>2003</v>
      </c>
      <c r="H64" s="1490">
        <v>3</v>
      </c>
      <c r="I64" s="1537"/>
      <c r="J64" s="1537"/>
      <c r="K64" s="1537"/>
      <c r="L64" s="1537"/>
      <c r="X64" s="1529"/>
      <c r="Y64" s="1529"/>
      <c r="Z64" s="1529"/>
    </row>
    <row r="65" spans="1:26">
      <c r="A65" s="1464" t="s">
        <v>1204</v>
      </c>
      <c r="B65" s="1539">
        <f t="shared" si="80"/>
        <v>108.5</v>
      </c>
      <c r="C65" s="1539">
        <f t="shared" si="80"/>
        <v>110.5</v>
      </c>
      <c r="D65" s="1539">
        <f t="shared" si="44"/>
        <v>110.5</v>
      </c>
      <c r="E65" s="1539">
        <f t="shared" si="81"/>
        <v>106.5</v>
      </c>
      <c r="F65" s="1539">
        <f t="shared" si="81"/>
        <v>103</v>
      </c>
      <c r="G65" s="3303">
        <v>2003</v>
      </c>
      <c r="H65" s="1468">
        <v>2</v>
      </c>
      <c r="I65" s="1537"/>
      <c r="J65" s="1537"/>
      <c r="K65" s="1537"/>
      <c r="L65" s="1537"/>
      <c r="X65" s="1529"/>
      <c r="Y65" s="1529"/>
      <c r="Z65" s="1529"/>
    </row>
    <row r="66" spans="1:26" ht="13.5" thickBot="1">
      <c r="A66" s="1464" t="s">
        <v>1205</v>
      </c>
      <c r="B66" s="1539">
        <f t="shared" si="80"/>
        <v>107.25</v>
      </c>
      <c r="C66" s="1539">
        <f t="shared" si="80"/>
        <v>108.75</v>
      </c>
      <c r="D66" s="1539">
        <f t="shared" si="44"/>
        <v>108.75</v>
      </c>
      <c r="E66" s="1539">
        <f t="shared" si="81"/>
        <v>105.75</v>
      </c>
      <c r="F66" s="1539">
        <f t="shared" si="81"/>
        <v>102.5</v>
      </c>
      <c r="G66" s="3304">
        <v>2003</v>
      </c>
      <c r="H66" s="1540">
        <v>1</v>
      </c>
      <c r="I66" s="1537"/>
      <c r="J66" s="1537"/>
      <c r="K66" s="1537"/>
      <c r="L66" s="1537"/>
      <c r="S66" s="1475"/>
      <c r="T66" s="1476"/>
      <c r="U66" s="1476"/>
      <c r="X66" s="1529"/>
      <c r="Y66" s="1529"/>
      <c r="Z66" s="1529"/>
    </row>
    <row r="67" spans="1:26" ht="13.5" thickBot="1">
      <c r="A67" s="1464" t="s">
        <v>1206</v>
      </c>
      <c r="B67" s="1541">
        <v>106</v>
      </c>
      <c r="C67" s="1541">
        <v>107</v>
      </c>
      <c r="D67" s="1541">
        <f t="shared" si="44"/>
        <v>107</v>
      </c>
      <c r="E67" s="1541">
        <v>105</v>
      </c>
      <c r="F67" s="1542">
        <v>102</v>
      </c>
      <c r="G67" s="3302">
        <v>2002</v>
      </c>
      <c r="H67" s="1485">
        <v>4</v>
      </c>
      <c r="I67" s="1537"/>
      <c r="J67" s="1537"/>
      <c r="K67" s="1537"/>
      <c r="L67" s="1537"/>
      <c r="N67" s="1538"/>
      <c r="O67" s="1537"/>
      <c r="P67" s="1537"/>
      <c r="Q67" s="1537"/>
      <c r="S67" s="1538"/>
      <c r="T67" s="1537"/>
      <c r="U67" s="1537"/>
      <c r="V67" s="1537"/>
      <c r="X67" s="1529"/>
      <c r="Y67" s="1529"/>
      <c r="Z67" s="1529"/>
    </row>
    <row r="68" spans="1:26">
      <c r="A68" s="1464" t="s">
        <v>1207</v>
      </c>
      <c r="B68" s="1539">
        <f t="shared" ref="B68:C70" si="82">B69+(B$67-B$71)/4</f>
        <v>105</v>
      </c>
      <c r="C68" s="1539">
        <f t="shared" si="82"/>
        <v>106</v>
      </c>
      <c r="D68" s="1539">
        <f t="shared" si="44"/>
        <v>106</v>
      </c>
      <c r="E68" s="1539">
        <f t="shared" ref="E68:F70" si="83">E69+(E$67-E$71)/4</f>
        <v>104.5</v>
      </c>
      <c r="F68" s="1539">
        <f t="shared" si="83"/>
        <v>101.5</v>
      </c>
      <c r="G68" s="3303">
        <v>2002</v>
      </c>
      <c r="H68" s="1490">
        <v>3</v>
      </c>
      <c r="I68" s="1537"/>
      <c r="J68" s="1537"/>
      <c r="K68" s="1537"/>
      <c r="L68" s="1537"/>
      <c r="X68" s="1529"/>
      <c r="Y68" s="1529"/>
      <c r="Z68" s="1529"/>
    </row>
    <row r="69" spans="1:26">
      <c r="A69" s="1464" t="s">
        <v>1208</v>
      </c>
      <c r="B69" s="1539">
        <f t="shared" si="82"/>
        <v>104</v>
      </c>
      <c r="C69" s="1539">
        <f t="shared" si="82"/>
        <v>105</v>
      </c>
      <c r="D69" s="1539">
        <f t="shared" si="44"/>
        <v>105</v>
      </c>
      <c r="E69" s="1539">
        <f t="shared" si="83"/>
        <v>104</v>
      </c>
      <c r="F69" s="1539">
        <f t="shared" si="83"/>
        <v>101</v>
      </c>
      <c r="G69" s="3303">
        <v>2002</v>
      </c>
      <c r="H69" s="1468">
        <v>2</v>
      </c>
      <c r="I69" s="1537"/>
      <c r="J69" s="1537"/>
      <c r="K69" s="1537"/>
      <c r="L69" s="1537"/>
      <c r="X69" s="1529"/>
      <c r="Y69" s="1529"/>
      <c r="Z69" s="1529"/>
    </row>
    <row r="70" spans="1:26" s="1501" customFormat="1" ht="13.5" thickBot="1">
      <c r="A70" s="1497" t="s">
        <v>1209</v>
      </c>
      <c r="B70" s="1543">
        <f t="shared" si="82"/>
        <v>103</v>
      </c>
      <c r="C70" s="1543">
        <f t="shared" si="82"/>
        <v>104</v>
      </c>
      <c r="D70" s="1543">
        <f t="shared" si="44"/>
        <v>104</v>
      </c>
      <c r="E70" s="1543">
        <f t="shared" si="83"/>
        <v>103.5</v>
      </c>
      <c r="F70" s="1543">
        <f t="shared" si="83"/>
        <v>100.5</v>
      </c>
      <c r="G70" s="3304">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1210</v>
      </c>
      <c r="G73" s="1553"/>
      <c r="N73" s="1553"/>
      <c r="S73" s="1553"/>
    </row>
    <row r="74" spans="1:26" s="1552" customFormat="1">
      <c r="A74" s="1552" t="s">
        <v>1211</v>
      </c>
      <c r="G74" s="1553"/>
      <c r="N74" s="1553"/>
      <c r="S74" s="1553"/>
    </row>
    <row r="75" spans="1:26" s="1552" customFormat="1">
      <c r="A75" s="1552" t="s">
        <v>1212</v>
      </c>
      <c r="G75" s="1553"/>
      <c r="I75" s="1554"/>
      <c r="J75" s="1554"/>
      <c r="K75" s="1554"/>
      <c r="L75" s="1554"/>
      <c r="N75" s="1555"/>
      <c r="O75" s="1554"/>
      <c r="P75" s="1554"/>
      <c r="Q75" s="1554"/>
      <c r="S75" s="1555"/>
      <c r="T75" s="1554"/>
      <c r="U75" s="1554"/>
      <c r="V75" s="1554"/>
    </row>
    <row r="76" spans="1:26" s="1552" customFormat="1">
      <c r="A76" s="1552" t="s">
        <v>1213</v>
      </c>
      <c r="G76" s="1553"/>
      <c r="N76" s="1553"/>
      <c r="S76" s="1553"/>
    </row>
    <row r="83" spans="7:22" ht="13.5" thickBot="1"/>
    <row r="84" spans="7:22">
      <c r="G84" s="1474"/>
      <c r="S84" s="1556" t="s">
        <v>1214</v>
      </c>
      <c r="T84" s="1557" t="s">
        <v>1215</v>
      </c>
      <c r="U84" s="1557" t="s">
        <v>1216</v>
      </c>
      <c r="V84" s="1557" t="s">
        <v>1217</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2" sqref="F32"/>
      <selection pane="bottomLeft" activeCell="F32" sqref="F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3" t="s">
        <v>3006</v>
      </c>
      <c r="D1" s="3314"/>
      <c r="E1" s="3314"/>
      <c r="F1" s="3314"/>
      <c r="G1" s="3314"/>
      <c r="H1" s="3314"/>
      <c r="I1" s="3314"/>
      <c r="J1" s="3314"/>
      <c r="K1" s="3314"/>
      <c r="L1" s="3314"/>
      <c r="M1" s="3314"/>
      <c r="N1" s="3314"/>
      <c r="O1" s="3314"/>
      <c r="P1" s="3314"/>
      <c r="Q1" s="3314"/>
      <c r="R1" s="3314"/>
      <c r="S1" s="331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22" t="s">
        <v>3019</v>
      </c>
      <c r="E20" s="1795"/>
      <c r="F20" s="1207" t="e">
        <f ca="1">SUMIF(INDIRECT("'"&amp;H20&amp;"'"&amp;"!A:A"),"承租人权益价值",INDIRECT("'"&amp;H20&amp;"'"&amp;"!c:c"))</f>
        <v>#REF!</v>
      </c>
      <c r="G20" s="1207" t="s">
        <v>3020</v>
      </c>
      <c r="H20" s="2923"/>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76" t="s">
        <v>33</v>
      </c>
      <c r="D22" s="3177"/>
      <c r="E22" s="3177"/>
      <c r="F22" s="3177"/>
      <c r="G22" s="3177"/>
      <c r="H22" s="3177"/>
      <c r="I22" s="3177"/>
      <c r="J22" s="3177"/>
      <c r="K22" s="3177"/>
      <c r="L22" s="3177"/>
      <c r="M22" s="3177"/>
      <c r="N22" s="3177"/>
      <c r="O22" s="3177"/>
      <c r="P22" s="3177"/>
      <c r="Q22" s="331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29525</v>
      </c>
      <c r="C2" s="2" t="s">
        <v>133</v>
      </c>
      <c r="D2" s="243"/>
      <c r="E2" s="243"/>
      <c r="F2" s="243"/>
      <c r="G2" s="243"/>
    </row>
    <row r="3" spans="1:7" s="244" customFormat="1" ht="18" customHeight="1" thickBot="1">
      <c r="A3" s="247" t="s">
        <v>85</v>
      </c>
      <c r="B3" s="248">
        <f ca="1">ROUND(B2*10000/'数据-汇总表'!E3,0)</f>
        <v>57650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102</v>
      </c>
      <c r="D10" s="1035">
        <f>'数据-汇总表'!E6</f>
        <v>5121.38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102</v>
      </c>
      <c r="D19" s="1039">
        <f>'数据-汇总表'!E3</f>
        <v>5121.38</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2113</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2113</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27362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1707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1536</v>
      </c>
      <c r="D34" s="261"/>
      <c r="E34" s="264"/>
      <c r="F34" s="301">
        <f>IF('数据-取费表'!B24=0,1,'数据-取费表'!N16)</f>
        <v>1</v>
      </c>
      <c r="G34" s="263" t="s">
        <v>116</v>
      </c>
    </row>
    <row r="35" spans="1:7" ht="13.5" customHeight="1">
      <c r="A35" s="954" t="s">
        <v>796</v>
      </c>
      <c r="B35" s="259" t="s">
        <v>60</v>
      </c>
      <c r="C35" s="264">
        <f>ROUND(C34*F35,0)</f>
        <v>46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102</v>
      </c>
      <c r="D37" s="261">
        <f>'数据-汇总表'!E3</f>
        <v>5121.38</v>
      </c>
      <c r="E37" s="293">
        <f>'数据-取费表'!B35</f>
        <v>200</v>
      </c>
      <c r="F37" s="303"/>
      <c r="G37" s="305" t="s">
        <v>119</v>
      </c>
    </row>
    <row r="38" spans="1:7" ht="13.5" customHeight="1">
      <c r="A38" s="954" t="s">
        <v>799</v>
      </c>
      <c r="B38" s="259" t="s">
        <v>63</v>
      </c>
      <c r="C38" s="264">
        <f>ROUND(C34*F38,0)</f>
        <v>23</v>
      </c>
      <c r="D38" s="264"/>
      <c r="E38" s="264"/>
      <c r="F38" s="303">
        <f>'数据-取费表'!B36</f>
        <v>1.4999999999999999E-2</v>
      </c>
      <c r="G38" s="263" t="s">
        <v>117</v>
      </c>
    </row>
    <row r="39" spans="1:7" s="258" customFormat="1" ht="13.5" customHeight="1">
      <c r="A39" s="951" t="s">
        <v>783</v>
      </c>
      <c r="B39" s="254" t="s">
        <v>104</v>
      </c>
      <c r="C39" s="276">
        <f>ROUND(C33*F20,0)</f>
        <v>34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81</v>
      </c>
      <c r="D42" s="282"/>
      <c r="E42" s="282"/>
      <c r="F42" s="283"/>
      <c r="G42" s="3244" t="s">
        <v>121</v>
      </c>
    </row>
    <row r="43" spans="1:7" ht="13.5" customHeight="1">
      <c r="A43" s="954" t="s">
        <v>792</v>
      </c>
      <c r="B43" s="259" t="s">
        <v>1064</v>
      </c>
      <c r="C43" s="282">
        <f ca="1">ROUND(IF('数据-取费表'!B22&lt;=1,C39*F22*'数据-取费表'!B21/2,C39*(POWER((1+F22),'数据-取费表'!B21/2)-1)),0)</f>
        <v>2</v>
      </c>
      <c r="D43" s="282"/>
      <c r="E43" s="282"/>
      <c r="F43" s="283"/>
      <c r="G43" s="3245"/>
    </row>
    <row r="44" spans="1:7" ht="13.5" customHeight="1">
      <c r="A44" s="954" t="s">
        <v>793</v>
      </c>
      <c r="B44" s="259" t="s">
        <v>1066</v>
      </c>
      <c r="C44" s="282">
        <f ca="1">ROUND(IF('数据-取费表'!B22&lt;=1,C40*F22*'数据-取费表'!B21/2,C40*(POWER((1+F22),'数据-取费表'!B21/2)-1)),4)</f>
        <v>1E-3</v>
      </c>
      <c r="D44" s="282"/>
      <c r="E44" s="282"/>
      <c r="F44" s="283"/>
      <c r="G44" s="3246"/>
    </row>
    <row r="45" spans="1:7" s="258" customFormat="1" ht="13.5" customHeight="1">
      <c r="A45" s="951" t="s">
        <v>786</v>
      </c>
      <c r="B45" s="288" t="s">
        <v>112</v>
      </c>
      <c r="C45" s="289">
        <f>C46</f>
        <v>174</v>
      </c>
      <c r="D45" s="279">
        <f>C47</f>
        <v>2E-3</v>
      </c>
      <c r="E45" s="280" t="s">
        <v>129</v>
      </c>
      <c r="F45" s="290"/>
      <c r="G45" s="291" t="s">
        <v>1072</v>
      </c>
    </row>
    <row r="46" spans="1:7" s="258" customFormat="1" ht="13.5" customHeight="1">
      <c r="A46" s="954" t="s">
        <v>794</v>
      </c>
      <c r="B46" s="292" t="s">
        <v>1065</v>
      </c>
      <c r="C46" s="293">
        <f>ROUND((C33+C39)*F27,0)</f>
        <v>174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2163</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2163</v>
      </c>
      <c r="D51" s="276"/>
      <c r="E51" s="276"/>
      <c r="F51" s="308"/>
      <c r="G51" s="278" t="s">
        <v>64</v>
      </c>
    </row>
    <row r="52" spans="1:7" s="252" customFormat="1" ht="16.5" thickBot="1">
      <c r="A52" s="309" t="s">
        <v>65</v>
      </c>
      <c r="B52" s="310"/>
      <c r="C52" s="311">
        <f ca="1">C31+C51</f>
        <v>29525</v>
      </c>
      <c r="D52" s="310"/>
      <c r="E52" s="310"/>
      <c r="F52" s="310"/>
      <c r="G52" s="312"/>
    </row>
    <row r="55" spans="1:7" ht="15">
      <c r="B55" s="314" t="s">
        <v>66</v>
      </c>
      <c r="C55" s="315"/>
    </row>
    <row r="56" spans="1:7">
      <c r="B56" s="317" t="s">
        <v>67</v>
      </c>
      <c r="C56" s="318">
        <f ca="1">ROUND(C51/C52,3)</f>
        <v>7.2999999999999995E-2</v>
      </c>
    </row>
    <row r="57" spans="1:7">
      <c r="B57" s="317" t="s">
        <v>68</v>
      </c>
      <c r="C57" s="319">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6" t="s">
        <v>156</v>
      </c>
      <c r="B1" s="3316"/>
      <c r="C1" s="3316"/>
      <c r="D1" s="3316"/>
      <c r="E1" s="3316"/>
      <c r="F1" s="33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7" t="s">
        <v>169</v>
      </c>
      <c r="B2" s="3317"/>
      <c r="C2" s="3317"/>
      <c r="D2" s="3317"/>
      <c r="E2" s="3317"/>
      <c r="F2" s="33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6" t="s">
        <v>871</v>
      </c>
      <c r="B1" s="331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1299</v>
      </c>
      <c r="C1" s="1696">
        <f>项目基本情况!D3</f>
        <v>43293</v>
      </c>
      <c r="D1" s="1702" t="s">
        <v>1300</v>
      </c>
      <c r="E1" s="1697">
        <f>'数据-取费表'!B22</f>
        <v>2</v>
      </c>
      <c r="F1" s="1702" t="s">
        <v>1301</v>
      </c>
      <c r="G1" s="1698">
        <f ca="1">INDIRECT("d"&amp;$K$1)/100</f>
        <v>4.7500000000000001E-2</v>
      </c>
      <c r="H1" s="1702" t="s">
        <v>1331</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1302</v>
      </c>
      <c r="E2" s="1638"/>
      <c r="F2" s="1638" t="s">
        <v>1303</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1304</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1305</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1306</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1307</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1308</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1309</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1310</v>
      </c>
      <c r="C10" s="1666"/>
      <c r="D10" s="1666"/>
      <c r="E10" s="1666"/>
      <c r="F10" s="1666"/>
      <c r="G10" s="1666"/>
      <c r="H10" s="1666"/>
      <c r="I10" s="1640"/>
      <c r="J10" s="1640"/>
      <c r="K10" s="1666"/>
      <c r="L10" s="1667" t="s">
        <v>1311</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1312</v>
      </c>
      <c r="C11" s="1671" t="s">
        <v>1313</v>
      </c>
      <c r="D11" s="1672" t="s">
        <v>1314</v>
      </c>
      <c r="E11" s="1673"/>
      <c r="F11" s="1672" t="s">
        <v>1315</v>
      </c>
      <c r="G11" s="1674"/>
      <c r="H11" s="1673"/>
      <c r="I11" s="1672" t="s">
        <v>1316</v>
      </c>
      <c r="J11" s="1673"/>
      <c r="K11" s="1669"/>
      <c r="L11" s="1670" t="s">
        <v>1312</v>
      </c>
      <c r="M11" s="1671" t="s">
        <v>1313</v>
      </c>
      <c r="N11" s="1670" t="s">
        <v>1317</v>
      </c>
      <c r="O11" s="1672" t="s">
        <v>1318</v>
      </c>
      <c r="P11" s="1674"/>
      <c r="Q11" s="1674"/>
      <c r="R11" s="1674"/>
      <c r="S11" s="1674"/>
      <c r="T11" s="1673"/>
      <c r="U11" s="1672" t="s">
        <v>1319</v>
      </c>
      <c r="V11" s="1674"/>
      <c r="W11" s="1673"/>
      <c r="X11" s="1670" t="s">
        <v>1320</v>
      </c>
      <c r="Y11" s="1670" t="s">
        <v>1321</v>
      </c>
      <c r="Z11" s="1670" t="s">
        <v>1322</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1323</v>
      </c>
      <c r="E12" s="1679" t="s">
        <v>1324</v>
      </c>
      <c r="F12" s="1679" t="s">
        <v>1325</v>
      </c>
      <c r="G12" s="1679" t="s">
        <v>1326</v>
      </c>
      <c r="H12" s="1679" t="s">
        <v>1308</v>
      </c>
      <c r="I12" s="1680" t="s">
        <v>1327</v>
      </c>
      <c r="J12" s="1680" t="s">
        <v>1327</v>
      </c>
      <c r="K12" s="1676"/>
      <c r="L12" s="1677"/>
      <c r="M12" s="1678"/>
      <c r="N12" s="1677"/>
      <c r="O12" s="1680" t="s">
        <v>1328</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1329</v>
      </c>
      <c r="C13" s="1684">
        <v>42301</v>
      </c>
      <c r="D13" s="1685">
        <v>4.3499999999999996</v>
      </c>
      <c r="E13" s="1685">
        <v>4.3499999999999996</v>
      </c>
      <c r="F13" s="1685">
        <v>4.75</v>
      </c>
      <c r="G13" s="1685">
        <v>4.75</v>
      </c>
      <c r="H13" s="1685">
        <v>4.9000000000000004</v>
      </c>
      <c r="I13" s="1685">
        <v>2.75</v>
      </c>
      <c r="J13" s="1685">
        <v>3.25</v>
      </c>
      <c r="K13" s="1682"/>
      <c r="L13" s="1683" t="s">
        <v>1329</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1330</v>
      </c>
      <c r="Y42" s="1689" t="s">
        <v>1330</v>
      </c>
      <c r="Z42" s="1689" t="s">
        <v>1330</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1330</v>
      </c>
      <c r="Y43" s="1689" t="s">
        <v>1330</v>
      </c>
      <c r="Z43" s="1689" t="s">
        <v>1330</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1330</v>
      </c>
      <c r="Y44" s="1689" t="s">
        <v>1330</v>
      </c>
      <c r="Z44" s="1689" t="s">
        <v>1330</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1330</v>
      </c>
      <c r="Y45" s="1689" t="s">
        <v>1330</v>
      </c>
      <c r="Z45" s="1689" t="s">
        <v>1330</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1330</v>
      </c>
      <c r="Y46" s="1689" t="s">
        <v>1330</v>
      </c>
      <c r="Z46" s="1689" t="s">
        <v>1330</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1330</v>
      </c>
      <c r="Y47" s="1689" t="s">
        <v>1330</v>
      </c>
      <c r="Z47" s="1689" t="s">
        <v>1330</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1330</v>
      </c>
      <c r="Y48" s="1689" t="s">
        <v>1330</v>
      </c>
      <c r="Z48" s="1689" t="s">
        <v>1330</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1330</v>
      </c>
      <c r="Y49" s="1689" t="s">
        <v>1330</v>
      </c>
      <c r="Z49" s="1689" t="s">
        <v>1330</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1330</v>
      </c>
      <c r="Y50" s="1689" t="s">
        <v>1330</v>
      </c>
      <c r="Z50" s="1689" t="s">
        <v>1330</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1330</v>
      </c>
      <c r="V51" s="1689" t="s">
        <v>1330</v>
      </c>
      <c r="W51" s="1689" t="s">
        <v>1330</v>
      </c>
      <c r="X51" s="1689" t="s">
        <v>1330</v>
      </c>
      <c r="Y51" s="1689" t="s">
        <v>1330</v>
      </c>
      <c r="Z51" s="1689" t="s">
        <v>1330</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1330</v>
      </c>
      <c r="J55" s="1689" t="s">
        <v>1330</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1371</v>
      </c>
      <c r="E1" s="1778" t="s">
        <v>1375</v>
      </c>
      <c r="F1" s="1779" t="s">
        <v>1379</v>
      </c>
    </row>
    <row r="2" spans="1:13" ht="20.25">
      <c r="A2" s="1785" t="s">
        <v>1372</v>
      </c>
    </row>
    <row r="3" spans="1:13" ht="16.5">
      <c r="A3" s="1786" t="s">
        <v>1373</v>
      </c>
    </row>
    <row r="4" spans="1:13" ht="14.25">
      <c r="A4" s="1776" t="s">
        <v>1374</v>
      </c>
      <c r="B4" s="1781" t="s">
        <v>1376</v>
      </c>
      <c r="C4" s="1782"/>
      <c r="D4" s="1783"/>
      <c r="E4" s="1781" t="s">
        <v>27</v>
      </c>
      <c r="F4" s="1782"/>
      <c r="G4" s="1783"/>
      <c r="H4" s="1781" t="s">
        <v>1377</v>
      </c>
      <c r="I4" s="1782"/>
      <c r="J4" s="1783"/>
      <c r="K4" s="1781" t="s">
        <v>6</v>
      </c>
      <c r="L4" s="1782"/>
      <c r="M4" s="1783"/>
    </row>
    <row r="5" spans="1:13" ht="14.25">
      <c r="A5" s="1777" t="s">
        <v>1378</v>
      </c>
      <c r="B5" s="1776" t="s">
        <v>1380</v>
      </c>
      <c r="C5" s="1776" t="s">
        <v>1381</v>
      </c>
      <c r="D5" s="1776" t="s">
        <v>1382</v>
      </c>
      <c r="E5" s="1776" t="s">
        <v>1380</v>
      </c>
      <c r="F5" s="1776" t="s">
        <v>1381</v>
      </c>
      <c r="G5" s="1776" t="s">
        <v>1382</v>
      </c>
      <c r="H5" s="1776" t="s">
        <v>1380</v>
      </c>
      <c r="I5" s="1776" t="s">
        <v>1381</v>
      </c>
      <c r="J5" s="1776" t="s">
        <v>1382</v>
      </c>
      <c r="K5" s="1776" t="s">
        <v>1380</v>
      </c>
      <c r="L5" s="1776" t="s">
        <v>1381</v>
      </c>
      <c r="M5" s="1776" t="s">
        <v>1382</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1640</v>
      </c>
      <c r="B2" s="3013" t="s">
        <v>1641</v>
      </c>
      <c r="C2" s="3013" t="s">
        <v>1642</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47" t="s">
        <v>1637</v>
      </c>
      <c r="E3" s="1047" t="s">
        <v>1643</v>
      </c>
      <c r="F3" s="1047" t="s">
        <v>1637</v>
      </c>
      <c r="G3" s="1047" t="s">
        <v>1638</v>
      </c>
      <c r="H3" s="1047" t="s">
        <v>1637</v>
      </c>
      <c r="I3" s="1047" t="s">
        <v>1638</v>
      </c>
    </row>
    <row r="4" spans="1:9" ht="30">
      <c r="A4" s="1975" t="str">
        <f>项目基本情况!S2</f>
        <v>北京市丰台区南顶村58号楼-1至5层配套用房房地产</v>
      </c>
      <c r="B4" s="1047">
        <f>项目基本情况!C17</f>
        <v>5121.38</v>
      </c>
      <c r="C4" s="1047">
        <f>项目基本情况!C18</f>
        <v>0</v>
      </c>
      <c r="D4" s="1047" t="e">
        <f ca="1">结果表!D118</f>
        <v>#DIV/0!</v>
      </c>
      <c r="E4" s="1047" t="e">
        <f ca="1">结果表!E118</f>
        <v>#DIV/0!</v>
      </c>
      <c r="F4" s="1047" t="e">
        <f ca="1">结果表!F118</f>
        <v>#DIV/0!</v>
      </c>
      <c r="G4" s="1047" t="e">
        <f ca="1">结果表!G118</f>
        <v>#DIV/0!</v>
      </c>
      <c r="H4" s="1047">
        <f ca="1">结果表!H118</f>
        <v>5352</v>
      </c>
      <c r="I4" s="1047">
        <f ca="1">结果表!I118</f>
        <v>10450</v>
      </c>
    </row>
    <row r="5" spans="1:9" ht="30" customHeight="1">
      <c r="A5" s="3007" t="s">
        <v>1639</v>
      </c>
      <c r="B5" s="3007"/>
      <c r="C5" s="3007"/>
      <c r="D5" s="3008" t="e">
        <f ca="1">结果表!D119</f>
        <v>#DIV/0!</v>
      </c>
      <c r="E5" s="3008"/>
      <c r="F5" s="3008" t="e">
        <f ca="1">结果表!F119</f>
        <v>#DIV/0!</v>
      </c>
      <c r="G5" s="3008"/>
      <c r="H5" s="3008" t="str">
        <f ca="1">结果表!H119</f>
        <v>伍仟叁佰伍拾贰万元整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1639</v>
      </c>
      <c r="B7" s="3007"/>
      <c r="C7" s="3007"/>
      <c r="D7" s="3009" t="str">
        <f>结果表!D121</f>
        <v>零元整</v>
      </c>
      <c r="E7" s="3010"/>
      <c r="F7" s="3010"/>
      <c r="G7" s="3010"/>
      <c r="H7" s="3010"/>
      <c r="I7" s="3011"/>
    </row>
    <row r="8" spans="1:9" ht="15.75">
      <c r="A8" s="3006" t="str">
        <f>结果表!A122</f>
        <v>房地产抵押价值</v>
      </c>
      <c r="B8" s="3006"/>
      <c r="C8" s="3006"/>
      <c r="D8" s="3006">
        <f ca="1">结果表!D122</f>
        <v>5352</v>
      </c>
      <c r="E8" s="3006"/>
      <c r="F8" s="3006"/>
      <c r="G8" s="3006"/>
      <c r="H8" s="3006"/>
      <c r="I8" s="3006"/>
    </row>
    <row r="9" spans="1:9" ht="15">
      <c r="A9" s="3007" t="s">
        <v>1639</v>
      </c>
      <c r="B9" s="3007"/>
      <c r="C9" s="3007"/>
      <c r="D9" s="3008" t="str">
        <f ca="1">结果表!D123</f>
        <v>伍仟叁佰伍拾贰万元整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1639</v>
      </c>
      <c r="B11" s="3007"/>
      <c r="C11" s="3007"/>
      <c r="D11" s="3008" t="e">
        <f>结果表!D125</f>
        <v>#VALUE!</v>
      </c>
      <c r="E11" s="3008"/>
      <c r="F11" s="3008"/>
      <c r="G11" s="3008"/>
      <c r="H11" s="3008"/>
      <c r="I11" s="3008"/>
    </row>
    <row r="12" spans="1:9" ht="15.75">
      <c r="A12" s="3006" t="str">
        <f>结果表!A126</f>
        <v/>
      </c>
      <c r="B12" s="3006"/>
      <c r="C12" s="3006"/>
      <c r="D12" s="3006" t="str">
        <f>结果表!D126</f>
        <v>——</v>
      </c>
      <c r="E12" s="3006"/>
      <c r="F12" s="3006"/>
      <c r="G12" s="3006"/>
      <c r="H12" s="3006"/>
      <c r="I12" s="3006"/>
    </row>
    <row r="13" spans="1:9" ht="15.75" thickBot="1">
      <c r="A13" s="3003" t="s">
        <v>1639</v>
      </c>
      <c r="B13" s="3003"/>
      <c r="C13" s="3003"/>
      <c r="D13" s="3004" t="e">
        <f>结果表!D127</f>
        <v>#VALUE!</v>
      </c>
      <c r="E13" s="3004"/>
      <c r="F13" s="3004"/>
      <c r="G13" s="3004"/>
      <c r="H13" s="3004"/>
      <c r="I13" s="3004"/>
    </row>
    <row r="14" spans="1:9" ht="15" thickTop="1">
      <c r="A14" s="3005" t="s">
        <v>1644</v>
      </c>
      <c r="B14" s="3005"/>
      <c r="C14" s="3005"/>
      <c r="D14" s="3005"/>
      <c r="E14" s="3005"/>
      <c r="F14" s="3005"/>
      <c r="G14" s="3005"/>
      <c r="H14" s="3005"/>
      <c r="I14" s="3005"/>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0" t="s">
        <v>1661</v>
      </c>
      <c r="B1" s="3020"/>
      <c r="C1" s="3020"/>
      <c r="D1" s="3020"/>
    </row>
    <row r="2" spans="1:4" ht="18">
      <c r="A2" s="3021" t="s">
        <v>1645</v>
      </c>
      <c r="B2" s="3021"/>
      <c r="C2" s="3021"/>
      <c r="D2" s="3021"/>
    </row>
    <row r="3" spans="1:4" ht="18.75">
      <c r="A3" s="1979" t="s">
        <v>1646</v>
      </c>
      <c r="B3" s="1979" t="s">
        <v>1647</v>
      </c>
      <c r="C3" s="1979" t="s">
        <v>1648</v>
      </c>
      <c r="D3" s="1979" t="s">
        <v>1649</v>
      </c>
    </row>
    <row r="4" spans="1:4" ht="56.25" customHeight="1">
      <c r="A4" s="1980" t="str">
        <f>项目基本情况!B4</f>
        <v>王鹏</v>
      </c>
      <c r="B4" s="1981">
        <f ca="1">项目基本情况!C4</f>
        <v>1120050019</v>
      </c>
      <c r="C4" s="1982"/>
      <c r="D4" s="1983" t="s">
        <v>1650</v>
      </c>
    </row>
    <row r="5" spans="1:4" ht="56.25" customHeight="1">
      <c r="A5" s="1980" t="str">
        <f>项目基本情况!D4</f>
        <v>梁津</v>
      </c>
      <c r="B5" s="1981">
        <f ca="1">项目基本情况!E4</f>
        <v>1119970066</v>
      </c>
      <c r="C5" s="1984"/>
      <c r="D5" s="1983" t="s">
        <v>1650</v>
      </c>
    </row>
    <row r="6" spans="1:4" ht="18">
      <c r="A6" s="3021" t="s">
        <v>1651</v>
      </c>
      <c r="B6" s="3021"/>
      <c r="C6" s="3021"/>
      <c r="D6" s="3021"/>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22" t="s">
        <v>1654</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（1）根据估价对象《房屋所有权证》复印件、《国有土地使用权》复印件，截至价值时点，估价对象抵押权未见登记。</v>
      </c>
      <c r="B15" s="3014"/>
      <c r="C15" s="3014"/>
      <c r="D15" s="3014"/>
    </row>
    <row r="16" spans="1:4" ht="30" customHeight="1">
      <c r="A16" s="3016" t="s">
        <v>1655</v>
      </c>
      <c r="B16" s="3016"/>
      <c r="C16" s="3016"/>
      <c r="D16" s="3016"/>
    </row>
    <row r="17" spans="1:4" ht="144" customHeight="1">
      <c r="A17" s="3016" t="s">
        <v>1656</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1657</v>
      </c>
      <c r="B22" s="3018"/>
      <c r="C22" s="3018"/>
      <c r="D22" s="3018"/>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28" t="s">
        <v>1668</v>
      </c>
      <c r="B15" s="3023" t="s">
        <v>136</v>
      </c>
      <c r="C15" s="3024"/>
    </row>
    <row r="16" spans="1:7" ht="13.5">
      <c r="A16" s="3029"/>
      <c r="B16" s="3023" t="s">
        <v>69</v>
      </c>
      <c r="C16" s="3024"/>
    </row>
    <row r="17" spans="1:3" ht="13.5">
      <c r="A17" s="3029"/>
      <c r="B17" s="3026" t="s">
        <v>1669</v>
      </c>
      <c r="C17" s="2002" t="s">
        <v>1668</v>
      </c>
    </row>
    <row r="18" spans="1:3" ht="13.5">
      <c r="A18" s="3029"/>
      <c r="B18" s="3026"/>
      <c r="C18" s="2002" t="s">
        <v>1670</v>
      </c>
    </row>
    <row r="19" spans="1:3" ht="13.5">
      <c r="A19" s="3029"/>
      <c r="B19" s="3026"/>
      <c r="C19" s="2002" t="s">
        <v>1671</v>
      </c>
    </row>
    <row r="20" spans="1:3" ht="13.5">
      <c r="A20" s="3030"/>
      <c r="B20" s="3025" t="s">
        <v>1672</v>
      </c>
      <c r="C20" s="3024"/>
    </row>
    <row r="21" spans="1:3" ht="13.5">
      <c r="A21" s="2003" t="s">
        <v>1673</v>
      </c>
      <c r="B21" s="2004"/>
      <c r="C21" s="2005"/>
    </row>
    <row r="22" spans="1:3" ht="13.5">
      <c r="A22" s="3027" t="s">
        <v>1674</v>
      </c>
      <c r="B22" s="3025" t="s">
        <v>1675</v>
      </c>
      <c r="C22" s="3024"/>
    </row>
    <row r="23" spans="1:3" ht="13.5">
      <c r="A23" s="3027"/>
      <c r="B23" s="3025" t="s">
        <v>1676</v>
      </c>
      <c r="C23" s="3024"/>
    </row>
    <row r="24" spans="1:3" ht="13.5">
      <c r="A24" s="3027"/>
      <c r="B24" s="3025" t="s">
        <v>1677</v>
      </c>
      <c r="C24" s="3024"/>
    </row>
    <row r="25" spans="1:3" ht="13.5">
      <c r="A25" s="3027"/>
      <c r="B25" s="3026" t="s">
        <v>1678</v>
      </c>
      <c r="C25" s="2002" t="s">
        <v>1679</v>
      </c>
    </row>
    <row r="26" spans="1:3" ht="13.5">
      <c r="A26" s="3027"/>
      <c r="B26" s="3026"/>
      <c r="C26" s="2002" t="s">
        <v>1680</v>
      </c>
    </row>
    <row r="27" spans="1:3" ht="13.5">
      <c r="A27" s="3027"/>
      <c r="B27" s="3026"/>
      <c r="C27" s="2002" t="s">
        <v>1681</v>
      </c>
    </row>
    <row r="28" spans="1:3" ht="13.5">
      <c r="A28" s="3027"/>
      <c r="B28" s="3026"/>
      <c r="C28" s="2002" t="s">
        <v>1682</v>
      </c>
    </row>
    <row r="29" spans="1:3" ht="13.5">
      <c r="A29" s="3027"/>
      <c r="B29" s="3026"/>
      <c r="C29" s="2002" t="s">
        <v>1683</v>
      </c>
    </row>
    <row r="30" spans="1:3" ht="13.5">
      <c r="A30" s="3027"/>
      <c r="B30" s="3026"/>
      <c r="C30" s="2002" t="s">
        <v>1684</v>
      </c>
    </row>
    <row r="31" spans="1:3" ht="13.5">
      <c r="A31" s="3027"/>
      <c r="B31" s="3026"/>
      <c r="C31" s="2002" t="s">
        <v>1685</v>
      </c>
    </row>
    <row r="32" spans="1:3" ht="13.5">
      <c r="A32" s="3027"/>
      <c r="B32" s="3026"/>
      <c r="C32" s="2002" t="s">
        <v>1686</v>
      </c>
    </row>
    <row r="33" spans="1:3" ht="13.5">
      <c r="A33" s="3027"/>
      <c r="B33" s="3026"/>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43311</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43359</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c r="B12" s="1025"/>
      <c r="C12" s="2348"/>
      <c r="D12" s="2351"/>
      <c r="E12" s="1025"/>
      <c r="F12" s="1025"/>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1148</v>
      </c>
      <c r="B15" s="1025">
        <v>1120070085</v>
      </c>
      <c r="C15" s="2348">
        <v>43814</v>
      </c>
      <c r="D15" s="2352" t="s">
        <v>1148</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t="str">
        <f ca="1">IF(C22&lt;B2,"已过期",1120020033)</f>
        <v>已过期</v>
      </c>
      <c r="C22" s="2348">
        <v>43304</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1332</v>
      </c>
      <c r="B24" s="1705" t="s">
        <v>1332</v>
      </c>
      <c r="C24" s="2349" t="s">
        <v>1332</v>
      </c>
      <c r="D24" s="2352" t="s">
        <v>1332</v>
      </c>
      <c r="E24" s="1705" t="s">
        <v>1332</v>
      </c>
      <c r="F24" s="1705" t="s">
        <v>1332</v>
      </c>
    </row>
    <row r="25" spans="1:7" ht="24" customHeight="1">
      <c r="A25" s="3031" t="s">
        <v>846</v>
      </c>
      <c r="B25" s="3031"/>
      <c r="C25" s="3031"/>
      <c r="D25" s="3031"/>
      <c r="E25" s="3031"/>
      <c r="F25" s="3031"/>
      <c r="G25" s="3031"/>
    </row>
    <row r="26" spans="1:7" s="1028" customFormat="1" ht="24" customHeight="1">
      <c r="A26" s="3032" t="s">
        <v>847</v>
      </c>
      <c r="B26" s="3032"/>
      <c r="C26" s="3033"/>
      <c r="D26" s="3034" t="s">
        <v>848</v>
      </c>
      <c r="E26" s="3032"/>
      <c r="F26" s="3032"/>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租赁</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vt:lpstr>
      <vt:lpstr>收益法 (元)</vt:lpstr>
      <vt:lpstr>收益法5层</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收益法5层!Print_Area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2018-07-30T01:41:51Z</dcterms:modified>
</cp:coreProperties>
</file>