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05" windowWidth="9630" windowHeight="110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结果表-车库" sheetId="82" state="hidden" r:id="rId37"/>
    <sheet name="成本法-车库" sheetId="81" state="hidden" r:id="rId38"/>
    <sheet name="收益法-车库" sheetId="80"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市调" sheetId="83" r:id="rId49"/>
    <sheet name="结果表净值模拟" sheetId="84" r:id="rId50"/>
    <sheet name="结果表净值模拟 (2)" sheetId="86" r:id="rId51"/>
    <sheet name="Sheet1" sheetId="85" r:id="rId52"/>
  </sheets>
  <externalReferences>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37">'成本法-车库'!$A$1:$G$57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36">'结果表-车库'!$A$1:$I$127</definedName>
    <definedName name="_xlnm.Print_Area" localSheetId="49">结果表净值模拟!$A$1:$I$127</definedName>
    <definedName name="_xlnm.Print_Area" localSheetId="50">'结果表净值模拟 (2)'!$A$1:$I$127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8">'收益法-车库'!$A$1:$F$43,'收益法-车库'!$H$3:$M$29,'收益法-车库'!$A$46:$F$71,'收益法-车库'!$I$46:$N$65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0" i="85" l="1"/>
  <c r="C10" i="85" l="1"/>
  <c r="B10" i="85"/>
  <c r="C66" i="86"/>
  <c r="C66" i="84"/>
  <c r="A120" i="86"/>
  <c r="A118" i="86"/>
  <c r="E111" i="86"/>
  <c r="A126" i="86" s="1"/>
  <c r="H109" i="86"/>
  <c r="D124" i="86" s="1"/>
  <c r="D125" i="86" s="1"/>
  <c r="E109" i="86"/>
  <c r="A124" i="86" s="1"/>
  <c r="E107" i="86"/>
  <c r="A122" i="86" s="1"/>
  <c r="H106" i="86"/>
  <c r="H105" i="86"/>
  <c r="H104" i="86"/>
  <c r="H103" i="86"/>
  <c r="D120" i="86" s="1"/>
  <c r="D101" i="86"/>
  <c r="C101" i="86"/>
  <c r="D93" i="86"/>
  <c r="C91" i="86"/>
  <c r="E90" i="86"/>
  <c r="D89" i="86"/>
  <c r="C89" i="86" s="1"/>
  <c r="C87" i="86" s="1"/>
  <c r="D78" i="86"/>
  <c r="H77" i="86"/>
  <c r="D77" i="86"/>
  <c r="C76" i="86"/>
  <c r="C75" i="86"/>
  <c r="D68" i="86"/>
  <c r="F59" i="86"/>
  <c r="E59" i="86"/>
  <c r="D59" i="86"/>
  <c r="N56" i="86"/>
  <c r="M56" i="86"/>
  <c r="K56" i="86"/>
  <c r="J56" i="86"/>
  <c r="F56" i="86"/>
  <c r="O55" i="86"/>
  <c r="N55" i="86"/>
  <c r="M55" i="86"/>
  <c r="K55" i="86"/>
  <c r="J55" i="86"/>
  <c r="J57" i="86" s="1"/>
  <c r="J59" i="86" s="1"/>
  <c r="J61" i="86" s="1"/>
  <c r="I55" i="86"/>
  <c r="F55" i="86"/>
  <c r="O53" i="86" s="1"/>
  <c r="O54" i="86"/>
  <c r="N54" i="86"/>
  <c r="F54" i="86"/>
  <c r="N53" i="86"/>
  <c r="F53" i="86"/>
  <c r="F52" i="86"/>
  <c r="K49" i="86"/>
  <c r="F48" i="86"/>
  <c r="O52" i="86" s="1"/>
  <c r="E48" i="86"/>
  <c r="N52" i="86" s="1"/>
  <c r="M47" i="86"/>
  <c r="F33" i="86"/>
  <c r="D27" i="86"/>
  <c r="C25" i="86"/>
  <c r="C24" i="86"/>
  <c r="M19" i="86"/>
  <c r="C118" i="86" s="1"/>
  <c r="L19" i="86"/>
  <c r="M18" i="86"/>
  <c r="B118" i="86" s="1"/>
  <c r="L18" i="86"/>
  <c r="D17" i="86"/>
  <c r="C17" i="86"/>
  <c r="C18" i="86" s="1"/>
  <c r="D18" i="86" s="1"/>
  <c r="L4" i="86"/>
  <c r="K4" i="86"/>
  <c r="A2" i="86"/>
  <c r="H1" i="86"/>
  <c r="D34" i="86"/>
  <c r="D35" i="86"/>
  <c r="K120" i="86" l="1"/>
  <c r="D121" i="86"/>
  <c r="C92" i="86"/>
  <c r="C94" i="86"/>
  <c r="C77" i="86"/>
  <c r="C74" i="86" s="1"/>
  <c r="H110" i="86"/>
  <c r="F104" i="33"/>
  <c r="G104" i="33" s="1"/>
  <c r="H104" i="33" s="1"/>
  <c r="I104" i="33" s="1"/>
  <c r="A120" i="84" l="1"/>
  <c r="E111" i="84"/>
  <c r="A126" i="84" s="1"/>
  <c r="E109" i="84"/>
  <c r="A124" i="84" s="1"/>
  <c r="E107" i="84"/>
  <c r="A122" i="84" s="1"/>
  <c r="H106" i="84"/>
  <c r="H103" i="84" s="1"/>
  <c r="D120" i="84" s="1"/>
  <c r="H105" i="84"/>
  <c r="H104" i="84"/>
  <c r="D101" i="84"/>
  <c r="C101" i="84"/>
  <c r="C91" i="84"/>
  <c r="E90" i="84"/>
  <c r="D89" i="84"/>
  <c r="C89" i="84" s="1"/>
  <c r="C87" i="84" s="1"/>
  <c r="H77" i="84"/>
  <c r="D77" i="84"/>
  <c r="C76" i="84"/>
  <c r="C75" i="84"/>
  <c r="F59" i="84"/>
  <c r="E59" i="84"/>
  <c r="D59" i="84"/>
  <c r="M55" i="84" s="1"/>
  <c r="F56" i="84"/>
  <c r="O54" i="84" s="1"/>
  <c r="O55" i="84"/>
  <c r="N55" i="84"/>
  <c r="K55" i="84"/>
  <c r="J55" i="84"/>
  <c r="I55" i="84"/>
  <c r="F55" i="84"/>
  <c r="O53" i="84" s="1"/>
  <c r="N54" i="84"/>
  <c r="N53" i="84"/>
  <c r="K49" i="84"/>
  <c r="E48" i="84"/>
  <c r="N52" i="84" s="1"/>
  <c r="F33" i="84"/>
  <c r="D27" i="84"/>
  <c r="C25" i="84"/>
  <c r="C24" i="84"/>
  <c r="D17" i="84"/>
  <c r="C17" i="84"/>
  <c r="C18" i="84" s="1"/>
  <c r="D18" i="84" s="1"/>
  <c r="L4" i="84"/>
  <c r="K4" i="84"/>
  <c r="H1" i="84"/>
  <c r="C66" i="9"/>
  <c r="C75" i="9" s="1"/>
  <c r="D35" i="84"/>
  <c r="D34" i="84"/>
  <c r="H109" i="84" l="1"/>
  <c r="D124" i="84" s="1"/>
  <c r="D125" i="84" s="1"/>
  <c r="C92" i="84"/>
  <c r="C94" i="84"/>
  <c r="K120" i="84"/>
  <c r="D121" i="84"/>
  <c r="C77" i="84"/>
  <c r="C74" i="84" s="1"/>
  <c r="H110" i="84"/>
  <c r="G19" i="6"/>
  <c r="D3" i="31" l="1"/>
  <c r="E3" i="31"/>
  <c r="F3" i="31"/>
  <c r="G3" i="31"/>
  <c r="H3" i="31"/>
  <c r="I3" i="31"/>
  <c r="D4" i="31"/>
  <c r="E4" i="31"/>
  <c r="F4" i="31"/>
  <c r="G4" i="31"/>
  <c r="H4" i="31"/>
  <c r="I4" i="31"/>
  <c r="C4" i="31"/>
  <c r="C3" i="31"/>
  <c r="B25" i="31"/>
  <c r="B26" i="31"/>
  <c r="B27" i="31"/>
  <c r="B28" i="31"/>
  <c r="E47" i="33"/>
  <c r="J113" i="83"/>
  <c r="G47" i="33" s="1"/>
  <c r="J114" i="83"/>
  <c r="I47" i="33" s="1"/>
  <c r="J112" i="83"/>
  <c r="AB32" i="1"/>
  <c r="AC32" i="1" s="1"/>
  <c r="Y32" i="1"/>
  <c r="V32" i="1"/>
  <c r="D37" i="43"/>
  <c r="AD6" i="1" l="1"/>
  <c r="AD20" i="1"/>
  <c r="X22" i="1" s="1"/>
  <c r="AD19" i="1"/>
  <c r="AB31" i="1" l="1"/>
  <c r="AC31" i="1" s="1"/>
  <c r="AB30" i="1"/>
  <c r="AC30" i="1" s="1"/>
  <c r="AB29" i="1"/>
  <c r="AC29" i="1" s="1"/>
  <c r="A120" i="82"/>
  <c r="E111" i="82"/>
  <c r="A126" i="82" s="1"/>
  <c r="E109" i="82"/>
  <c r="A124" i="82" s="1"/>
  <c r="E107" i="82"/>
  <c r="A122" i="82" s="1"/>
  <c r="H106" i="82"/>
  <c r="H103" i="82" s="1"/>
  <c r="D120" i="82" s="1"/>
  <c r="H105" i="82"/>
  <c r="H104" i="82"/>
  <c r="D101" i="82"/>
  <c r="C101" i="82"/>
  <c r="C91" i="82"/>
  <c r="E90" i="82"/>
  <c r="D89" i="82"/>
  <c r="C89" i="82" s="1"/>
  <c r="C87" i="82" s="1"/>
  <c r="H77" i="82"/>
  <c r="D77" i="82"/>
  <c r="C76" i="82"/>
  <c r="F59" i="82"/>
  <c r="E59" i="82"/>
  <c r="N55" i="82" s="1"/>
  <c r="F56" i="82"/>
  <c r="O55" i="82"/>
  <c r="K55" i="82"/>
  <c r="J55" i="82"/>
  <c r="I55" i="82"/>
  <c r="F55" i="82"/>
  <c r="O54" i="82"/>
  <c r="N54" i="82"/>
  <c r="O53" i="82"/>
  <c r="N53" i="82"/>
  <c r="K49" i="82"/>
  <c r="E48" i="82"/>
  <c r="N52" i="82" s="1"/>
  <c r="D48" i="82"/>
  <c r="M52" i="82" s="1"/>
  <c r="F33" i="82"/>
  <c r="D27" i="82"/>
  <c r="C25" i="82"/>
  <c r="C24" i="82"/>
  <c r="D17" i="82"/>
  <c r="C17" i="82"/>
  <c r="L4" i="82"/>
  <c r="K4" i="82"/>
  <c r="H1" i="82"/>
  <c r="F38" i="81"/>
  <c r="E37" i="81"/>
  <c r="F36" i="81"/>
  <c r="F35" i="81"/>
  <c r="F21" i="81"/>
  <c r="F40" i="81" s="1"/>
  <c r="C21" i="81"/>
  <c r="F20" i="81"/>
  <c r="F39" i="81" s="1"/>
  <c r="C19" i="81"/>
  <c r="E10" i="81"/>
  <c r="E9" i="81"/>
  <c r="F7" i="81"/>
  <c r="Q72" i="80"/>
  <c r="Q59" i="80"/>
  <c r="K59" i="80"/>
  <c r="P74" i="80" s="1"/>
  <c r="F59" i="80"/>
  <c r="Q58" i="80"/>
  <c r="Q51" i="80"/>
  <c r="J50" i="80"/>
  <c r="M47" i="80"/>
  <c r="D46" i="80"/>
  <c r="F33" i="80"/>
  <c r="F61" i="80" s="1"/>
  <c r="F31" i="80"/>
  <c r="F23" i="80"/>
  <c r="F21" i="80"/>
  <c r="F20" i="80"/>
  <c r="M19" i="80"/>
  <c r="F18" i="80"/>
  <c r="M17" i="80"/>
  <c r="F17" i="80"/>
  <c r="F15" i="80"/>
  <c r="U5" i="43"/>
  <c r="U4" i="43"/>
  <c r="U3" i="43"/>
  <c r="Y31" i="1"/>
  <c r="X30" i="1"/>
  <c r="Y30" i="1" s="1"/>
  <c r="X29" i="1"/>
  <c r="Y29" i="1" s="1"/>
  <c r="V28" i="1"/>
  <c r="N21" i="1"/>
  <c r="N6" i="1" s="1"/>
  <c r="C36" i="33" s="1"/>
  <c r="F19" i="6"/>
  <c r="D35" i="82"/>
  <c r="E2" i="81"/>
  <c r="D34" i="82"/>
  <c r="Y6" i="1" l="1"/>
  <c r="B24" i="31"/>
  <c r="C33" i="33"/>
  <c r="V33" i="1"/>
  <c r="Y28" i="1"/>
  <c r="Y33" i="1" s="1"/>
  <c r="U2" i="43"/>
  <c r="C40" i="81"/>
  <c r="C18" i="82"/>
  <c r="D18" i="82" s="1"/>
  <c r="AC28" i="1"/>
  <c r="AC33" i="1" s="1"/>
  <c r="H109" i="82"/>
  <c r="D124" i="82" s="1"/>
  <c r="D125" i="82" s="1"/>
  <c r="C92" i="82"/>
  <c r="C94" i="82"/>
  <c r="K120" i="82"/>
  <c r="D121" i="82"/>
  <c r="H110" i="82"/>
  <c r="D23" i="80"/>
  <c r="D22" i="80"/>
  <c r="D24" i="80"/>
  <c r="P61" i="80"/>
  <c r="B10" i="74"/>
  <c r="X33" i="1" l="1"/>
  <c r="X35" i="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D28" i="79" s="1"/>
  <c r="AB27" i="79"/>
  <c r="AA27" i="79"/>
  <c r="Z27" i="79"/>
  <c r="N27" i="79"/>
  <c r="U27" i="79" s="1"/>
  <c r="M27" i="79"/>
  <c r="L27" i="79"/>
  <c r="S27" i="79" s="1"/>
  <c r="I27" i="79"/>
  <c r="AB26" i="79"/>
  <c r="AA26" i="79"/>
  <c r="Z26" i="79"/>
  <c r="N26" i="79"/>
  <c r="M26" i="79"/>
  <c r="T26" i="79" s="1"/>
  <c r="W26" i="79" s="1"/>
  <c r="L26" i="79"/>
  <c r="I26" i="79"/>
  <c r="AD26" i="79" s="1"/>
  <c r="AB25" i="79"/>
  <c r="AA25" i="79"/>
  <c r="Z25" i="79"/>
  <c r="N25" i="79"/>
  <c r="U25" i="79" s="1"/>
  <c r="M25" i="79"/>
  <c r="L25" i="79"/>
  <c r="S25" i="79" s="1"/>
  <c r="I25" i="79"/>
  <c r="AB24" i="79"/>
  <c r="AA24" i="79"/>
  <c r="Z24" i="79"/>
  <c r="N24" i="79"/>
  <c r="M24" i="79"/>
  <c r="L24" i="79"/>
  <c r="I24" i="79"/>
  <c r="AD24" i="79" s="1"/>
  <c r="AB23" i="79"/>
  <c r="AA23" i="79"/>
  <c r="AA20" i="79" s="1"/>
  <c r="AD20" i="79" s="1"/>
  <c r="Z23" i="79"/>
  <c r="N23" i="79"/>
  <c r="U23" i="79" s="1"/>
  <c r="M23" i="79"/>
  <c r="L23" i="79"/>
  <c r="S20" i="79" s="1"/>
  <c r="I23" i="79"/>
  <c r="AD23" i="79" s="1"/>
  <c r="AB22" i="79"/>
  <c r="AB20" i="79" s="1"/>
  <c r="AA22" i="79"/>
  <c r="Z22" i="79"/>
  <c r="N22" i="79"/>
  <c r="M22" i="79"/>
  <c r="T22" i="79" s="1"/>
  <c r="W22" i="79" s="1"/>
  <c r="L22" i="79"/>
  <c r="I22" i="79"/>
  <c r="AD22" i="79" s="1"/>
  <c r="T20" i="79"/>
  <c r="W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N11" i="79"/>
  <c r="U11" i="79" s="1"/>
  <c r="M11" i="79"/>
  <c r="L11" i="79"/>
  <c r="S11" i="79" s="1"/>
  <c r="K11" i="79"/>
  <c r="I11" i="79"/>
  <c r="AC10" i="79"/>
  <c r="AB10" i="79"/>
  <c r="AA10" i="79"/>
  <c r="AD10" i="79" s="1"/>
  <c r="Z10" i="79"/>
  <c r="Y10" i="79"/>
  <c r="O10" i="79"/>
  <c r="V10" i="79" s="1"/>
  <c r="N10" i="79"/>
  <c r="M10" i="79"/>
  <c r="P10" i="79" s="1"/>
  <c r="L10" i="79"/>
  <c r="K10" i="79"/>
  <c r="R10" i="79" s="1"/>
  <c r="I10" i="79"/>
  <c r="AD9" i="79"/>
  <c r="AC9" i="79"/>
  <c r="AB9" i="79"/>
  <c r="AA9" i="79"/>
  <c r="Z9" i="79"/>
  <c r="Y9" i="79"/>
  <c r="P9" i="79"/>
  <c r="O9" i="79"/>
  <c r="N9" i="79"/>
  <c r="U9" i="79" s="1"/>
  <c r="M9" i="79"/>
  <c r="L9" i="79"/>
  <c r="S9" i="79" s="1"/>
  <c r="K9" i="79"/>
  <c r="I9" i="79"/>
  <c r="AC8" i="79"/>
  <c r="AB8" i="79"/>
  <c r="AA8" i="79"/>
  <c r="AD8" i="79" s="1"/>
  <c r="Z8" i="79"/>
  <c r="Y8" i="79"/>
  <c r="O8" i="79"/>
  <c r="V8" i="79" s="1"/>
  <c r="N8" i="79"/>
  <c r="M8" i="79"/>
  <c r="P8" i="79" s="1"/>
  <c r="L8" i="79"/>
  <c r="K8" i="79"/>
  <c r="R8" i="79" s="1"/>
  <c r="I8" i="79"/>
  <c r="AC7" i="79"/>
  <c r="AB7" i="79"/>
  <c r="AA7" i="79"/>
  <c r="AD7" i="79" s="1"/>
  <c r="Z7" i="79"/>
  <c r="Y7" i="79"/>
  <c r="O7" i="79"/>
  <c r="N7" i="79"/>
  <c r="U7" i="79" s="1"/>
  <c r="M7" i="79"/>
  <c r="L7" i="79"/>
  <c r="S7" i="79" s="1"/>
  <c r="K7" i="79"/>
  <c r="I7" i="79"/>
  <c r="AC6" i="79"/>
  <c r="AB6" i="79"/>
  <c r="AB3" i="79" s="1"/>
  <c r="AA6" i="79"/>
  <c r="AD6" i="79" s="1"/>
  <c r="Z6" i="79"/>
  <c r="Z3" i="79" s="1"/>
  <c r="Y6" i="79"/>
  <c r="O6" i="79"/>
  <c r="V6" i="79" s="1"/>
  <c r="N6" i="79"/>
  <c r="M6" i="79"/>
  <c r="P6" i="79" s="1"/>
  <c r="L6" i="79"/>
  <c r="K6" i="79"/>
  <c r="R6" i="79" s="1"/>
  <c r="I6" i="79"/>
  <c r="AC5" i="79"/>
  <c r="AC3" i="79" s="1"/>
  <c r="AB5" i="79"/>
  <c r="AA5" i="79"/>
  <c r="AD5" i="79" s="1"/>
  <c r="Z5" i="79"/>
  <c r="Y5" i="79"/>
  <c r="Y3" i="79" s="1"/>
  <c r="O5" i="79"/>
  <c r="N5" i="79"/>
  <c r="M5" i="79"/>
  <c r="L5" i="79"/>
  <c r="S3" i="79" s="1"/>
  <c r="K5" i="79"/>
  <c r="I5" i="79"/>
  <c r="AA3" i="79"/>
  <c r="AD3" i="79" s="1"/>
  <c r="U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R5" i="79"/>
  <c r="T5" i="79"/>
  <c r="W5" i="79" s="1"/>
  <c r="V5" i="79"/>
  <c r="N20" i="79"/>
  <c r="L3" i="79"/>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A6" i="52" s="1"/>
  <c r="B57" i="72" s="1"/>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F86" i="71" s="1"/>
  <c r="E88" i="71"/>
  <c r="E87" i="71" s="1"/>
  <c r="E86" i="71" s="1"/>
  <c r="C88" i="71"/>
  <c r="B88" i="7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C59" i="71" s="1"/>
  <c r="D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P38" i="71"/>
  <c r="AA38" i="71" s="1"/>
  <c r="O38" i="71"/>
  <c r="Y38" i="71" s="1"/>
  <c r="Z38" i="71" s="1"/>
  <c r="N38" i="71"/>
  <c r="X38" i="71" s="1"/>
  <c r="Q37" i="71"/>
  <c r="F38" i="71" s="1"/>
  <c r="P37" i="71"/>
  <c r="O37" i="71"/>
  <c r="C38" i="71" s="1"/>
  <c r="N37" i="71"/>
  <c r="D37" i="71"/>
  <c r="Q36" i="71"/>
  <c r="AB36" i="71" s="1"/>
  <c r="P36" i="71"/>
  <c r="O36" i="71"/>
  <c r="Y36" i="71" s="1"/>
  <c r="Z36" i="71" s="1"/>
  <c r="N36" i="71"/>
  <c r="Q35" i="71"/>
  <c r="P35" i="71"/>
  <c r="O35" i="71"/>
  <c r="Y35" i="71"/>
  <c r="Z35" i="71" s="1"/>
  <c r="N35" i="71"/>
  <c r="Q34" i="71"/>
  <c r="P34" i="71"/>
  <c r="O34" i="71"/>
  <c r="Y34" i="71" s="1"/>
  <c r="Z34" i="71" s="1"/>
  <c r="N34" i="71"/>
  <c r="Q33" i="71"/>
  <c r="F34" i="71" s="1"/>
  <c r="P33" i="71"/>
  <c r="E34" i="71" s="1"/>
  <c r="O33" i="71"/>
  <c r="N33" i="71"/>
  <c r="X32" i="71" s="1"/>
  <c r="D33" i="71"/>
  <c r="Q32" i="71"/>
  <c r="P32" i="71"/>
  <c r="O32" i="71"/>
  <c r="Y32" i="71" s="1"/>
  <c r="Z32" i="71" s="1"/>
  <c r="N32" i="71"/>
  <c r="Q31" i="71"/>
  <c r="P31" i="71"/>
  <c r="O31" i="71"/>
  <c r="Y31" i="71"/>
  <c r="Z31" i="71" s="1"/>
  <c r="N31" i="71"/>
  <c r="Q30" i="71"/>
  <c r="P30" i="71"/>
  <c r="O30" i="71"/>
  <c r="Y30" i="71" s="1"/>
  <c r="Z30" i="71" s="1"/>
  <c r="N30" i="71"/>
  <c r="Q29" i="71"/>
  <c r="P29" i="71"/>
  <c r="O29" i="71"/>
  <c r="Y29" i="71" s="1"/>
  <c r="Z29" i="71" s="1"/>
  <c r="N29" i="71"/>
  <c r="D29" i="71"/>
  <c r="O28" i="71"/>
  <c r="C28" i="71" s="1"/>
  <c r="C27" i="71" s="1"/>
  <c r="N28" i="71"/>
  <c r="B28" i="71" s="1"/>
  <c r="B30" i="71"/>
  <c r="B31" i="71" s="1"/>
  <c r="B32" i="71" s="1"/>
  <c r="S32" i="71" s="1"/>
  <c r="B34" i="71"/>
  <c r="B35" i="71" s="1"/>
  <c r="B36" i="71" s="1"/>
  <c r="S36" i="71" s="1"/>
  <c r="E38" i="71"/>
  <c r="E39" i="71" s="1"/>
  <c r="E40" i="71" s="1"/>
  <c r="U40" i="71" s="1"/>
  <c r="N68" i="71"/>
  <c r="E35" i="71"/>
  <c r="E36" i="71" s="1"/>
  <c r="U36" i="71" s="1"/>
  <c r="C30" i="71"/>
  <c r="D30" i="71" s="1"/>
  <c r="X30" i="71"/>
  <c r="C34" i="71"/>
  <c r="C35" i="71" s="1"/>
  <c r="Y33" i="71"/>
  <c r="Z33" i="71" s="1"/>
  <c r="AA34" i="71"/>
  <c r="Y37" i="71"/>
  <c r="Z37" i="71" s="1"/>
  <c r="F51" i="71"/>
  <c r="F52" i="71" s="1"/>
  <c r="V52" i="71" s="1"/>
  <c r="X27" i="71"/>
  <c r="C31" i="71"/>
  <c r="D31" i="71" s="1"/>
  <c r="D34" i="71"/>
  <c r="D50" i="71"/>
  <c r="P28" i="71"/>
  <c r="E59" i="71"/>
  <c r="E60" i="71" s="1"/>
  <c r="U60" i="71" s="1"/>
  <c r="U68" i="71"/>
  <c r="E67" i="71"/>
  <c r="E66" i="71" s="1"/>
  <c r="Q28" i="71"/>
  <c r="D58" i="71"/>
  <c r="N67" i="71"/>
  <c r="C67" i="71"/>
  <c r="C71" i="71"/>
  <c r="D71" i="71" s="1"/>
  <c r="E71" i="71"/>
  <c r="E70" i="71" s="1"/>
  <c r="D72" i="71"/>
  <c r="E75" i="71"/>
  <c r="E74" i="71" s="1"/>
  <c r="C79" i="71"/>
  <c r="C78" i="71" s="1"/>
  <c r="D78" i="71" s="1"/>
  <c r="E79" i="71"/>
  <c r="E78" i="71"/>
  <c r="D80" i="71"/>
  <c r="C83" i="71"/>
  <c r="D83" i="71" s="1"/>
  <c r="T28" i="71"/>
  <c r="F28" i="71"/>
  <c r="F27" i="71"/>
  <c r="F26" i="71" s="1"/>
  <c r="E28" i="71"/>
  <c r="E27" i="71" s="1"/>
  <c r="E26" i="71" s="1"/>
  <c r="D28" i="71"/>
  <c r="U28" i="71" s="1"/>
  <c r="C82" i="71"/>
  <c r="D82" i="71" s="1"/>
  <c r="D79" i="71"/>
  <c r="C70" i="71"/>
  <c r="D70" i="71" s="1"/>
  <c r="C60" i="71"/>
  <c r="P67" i="71"/>
  <c r="C3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H18" i="36"/>
  <c r="AB18" i="36" s="1"/>
  <c r="F18" i="36"/>
  <c r="C18" i="36"/>
  <c r="Q18" i="35"/>
  <c r="Z18" i="35" s="1"/>
  <c r="D68" i="35"/>
  <c r="E68" i="35" s="1"/>
  <c r="F18" i="35"/>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H19" i="21"/>
  <c r="D83" i="21"/>
  <c r="F21" i="21"/>
  <c r="D81" i="21"/>
  <c r="G20" i="20"/>
  <c r="B88" i="43" s="1"/>
  <c r="C22" i="20"/>
  <c r="C25" i="40"/>
  <c r="S25" i="40"/>
  <c r="U18" i="36"/>
  <c r="H25" i="40"/>
  <c r="J25" i="40"/>
  <c r="H29" i="39"/>
  <c r="AB29" i="39" s="1"/>
  <c r="J29" i="39"/>
  <c r="G66" i="36"/>
  <c r="J18" i="36"/>
  <c r="AC18" i="36" s="1"/>
  <c r="F68" i="35"/>
  <c r="G68" i="35" s="1"/>
  <c r="H18" i="35"/>
  <c r="J18" i="35"/>
  <c r="W18" i="35" s="1"/>
  <c r="H21" i="37"/>
  <c r="U21" i="37" s="1"/>
  <c r="F21" i="37"/>
  <c r="H21" i="34"/>
  <c r="U21" i="34" s="1"/>
  <c r="H21" i="33"/>
  <c r="F21" i="33"/>
  <c r="S21" i="33" s="1"/>
  <c r="E83" i="21"/>
  <c r="H1" i="69"/>
  <c r="AB25" i="40"/>
  <c r="U25" i="40"/>
  <c r="U29" i="39"/>
  <c r="W18" i="36"/>
  <c r="AB21" i="37"/>
  <c r="AA21" i="37"/>
  <c r="S21" i="37"/>
  <c r="AB21" i="34"/>
  <c r="U21" i="33"/>
  <c r="AB21" i="33"/>
  <c r="AC18" i="35"/>
  <c r="J21" i="37"/>
  <c r="AC21" i="37" s="1"/>
  <c r="J21" i="34"/>
  <c r="J21" i="33"/>
  <c r="AC21" i="33" s="1"/>
  <c r="F83" i="21"/>
  <c r="G83" i="21" s="1"/>
  <c r="H21" i="21"/>
  <c r="AB21" i="21" s="1"/>
  <c r="F38" i="69"/>
  <c r="E37" i="69"/>
  <c r="F36" i="69"/>
  <c r="F35" i="69"/>
  <c r="F21" i="69"/>
  <c r="F20" i="69"/>
  <c r="F39" i="69" s="1"/>
  <c r="E10" i="69"/>
  <c r="E9" i="69"/>
  <c r="W21" i="37"/>
  <c r="AC21" i="34"/>
  <c r="W21" i="34"/>
  <c r="U21" i="21"/>
  <c r="J21" i="21"/>
  <c r="AC21" i="21" s="1"/>
  <c r="F38" i="68"/>
  <c r="E37" i="68"/>
  <c r="F36" i="68"/>
  <c r="F35" i="68"/>
  <c r="F21" i="68"/>
  <c r="C40" i="68" s="1"/>
  <c r="F20" i="68"/>
  <c r="F39" i="68" s="1"/>
  <c r="E10" i="68"/>
  <c r="E9" i="68"/>
  <c r="W21" i="21"/>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R95" i="31"/>
  <c r="S95" i="31" s="1"/>
  <c r="R96" i="31"/>
  <c r="S96" i="31" s="1"/>
  <c r="R97" i="31"/>
  <c r="S97" i="31" s="1"/>
  <c r="R98" i="31"/>
  <c r="S98" i="31" s="1"/>
  <c r="R99" i="31"/>
  <c r="S99" i="31" s="1"/>
  <c r="R100" i="31"/>
  <c r="S100" i="31" s="1"/>
  <c r="R101" i="31"/>
  <c r="S101" i="31" s="1"/>
  <c r="R102" i="3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C50" i="33" s="1"/>
  <c r="C15" i="4"/>
  <c r="F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197" i="31"/>
  <c r="S440" i="31"/>
  <c r="S38" i="31"/>
  <c r="S76" i="31"/>
  <c r="S68" i="31"/>
  <c r="S60" i="31"/>
  <c r="S94" i="31"/>
  <c r="S86" i="31"/>
  <c r="S78" i="31"/>
  <c r="S102" i="31"/>
  <c r="S1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R5" i="3" s="1"/>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L555" i="3" s="1"/>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A581" i="3" s="1"/>
  <c r="AZ581" i="3" s="1"/>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E101" i="37" s="1"/>
  <c r="F101" i="37" s="1"/>
  <c r="F34" i="37"/>
  <c r="D99" i="37"/>
  <c r="E99" i="37" s="1"/>
  <c r="F99" i="37" s="1"/>
  <c r="G99" i="37" s="1"/>
  <c r="H99" i="37" s="1"/>
  <c r="I99" i="37" s="1"/>
  <c r="J99" i="37"/>
  <c r="K99" i="37" s="1"/>
  <c r="L99" i="37" s="1"/>
  <c r="M99" i="37" s="1"/>
  <c r="H42" i="34"/>
  <c r="J42" i="34"/>
  <c r="W42" i="34" s="1"/>
  <c r="F42" i="34"/>
  <c r="S42" i="34" s="1"/>
  <c r="J38" i="34"/>
  <c r="D114" i="34"/>
  <c r="E114" i="34" s="1"/>
  <c r="F38" i="34"/>
  <c r="S38" i="34"/>
  <c r="D112" i="34"/>
  <c r="E112" i="34"/>
  <c r="F112" i="34" s="1"/>
  <c r="G112" i="34" s="1"/>
  <c r="H112" i="34" s="1"/>
  <c r="I112" i="34" s="1"/>
  <c r="J112" i="34" s="1"/>
  <c r="K112" i="34"/>
  <c r="L112" i="34" s="1"/>
  <c r="M112" i="34" s="1"/>
  <c r="F40" i="33"/>
  <c r="D113" i="33"/>
  <c r="E113" i="33" s="1"/>
  <c r="F113" i="33" s="1"/>
  <c r="G113" i="33" s="1"/>
  <c r="H113" i="33" s="1"/>
  <c r="I113" i="33" s="1"/>
  <c r="J113" i="33" s="1"/>
  <c r="K113" i="33" s="1"/>
  <c r="L113" i="33" s="1"/>
  <c r="M113" i="33" s="1"/>
  <c r="F37" i="33"/>
  <c r="D111" i="33"/>
  <c r="E111" i="33" s="1"/>
  <c r="F41" i="21"/>
  <c r="AA41" i="21" s="1"/>
  <c r="J41" i="21"/>
  <c r="AC41" i="21" s="1"/>
  <c r="H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D79" i="37"/>
  <c r="E79" i="37" s="1"/>
  <c r="D75" i="37"/>
  <c r="E75" i="37" s="1"/>
  <c r="F75" i="37" s="1"/>
  <c r="G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B95" i="36"/>
  <c r="D83" i="36"/>
  <c r="E83" i="36" s="1"/>
  <c r="F83" i="36" s="1"/>
  <c r="G83" i="36" s="1"/>
  <c r="H83" i="36"/>
  <c r="I83" i="36" s="1"/>
  <c r="J83" i="36" s="1"/>
  <c r="K83" i="36" s="1"/>
  <c r="L83" i="36" s="1"/>
  <c r="M83" i="36" s="1"/>
  <c r="D78" i="36"/>
  <c r="E78" i="36" s="1"/>
  <c r="F78" i="36"/>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F36" i="35" s="1"/>
  <c r="B99" i="35"/>
  <c r="B97" i="35"/>
  <c r="B77" i="35"/>
  <c r="B75" i="35"/>
  <c r="B73" i="35"/>
  <c r="H23" i="35"/>
  <c r="U23" i="35" s="1"/>
  <c r="B57" i="35"/>
  <c r="B61" i="35"/>
  <c r="B59" i="35"/>
  <c r="B131" i="34"/>
  <c r="F47" i="34" s="1"/>
  <c r="S47" i="34" s="1"/>
  <c r="B129" i="34"/>
  <c r="F46" i="34" s="1"/>
  <c r="B127" i="34"/>
  <c r="B99" i="34"/>
  <c r="B97" i="34"/>
  <c r="H31" i="34" s="1"/>
  <c r="AB31" i="34" s="1"/>
  <c r="B95" i="34"/>
  <c r="J30" i="34" s="1"/>
  <c r="B93" i="34"/>
  <c r="B75" i="34"/>
  <c r="F14" i="34" s="1"/>
  <c r="S14" i="34" s="1"/>
  <c r="B73" i="34"/>
  <c r="J13" i="34" s="1"/>
  <c r="W13" i="34" s="1"/>
  <c r="B71" i="34"/>
  <c r="B130" i="33"/>
  <c r="B128" i="33"/>
  <c r="B126" i="33"/>
  <c r="J44" i="33" s="1"/>
  <c r="B98" i="33"/>
  <c r="H31" i="33" s="1"/>
  <c r="B96" i="33"/>
  <c r="J30" i="33" s="1"/>
  <c r="AC30" i="33" s="1"/>
  <c r="B94" i="33"/>
  <c r="H29" i="33" s="1"/>
  <c r="U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c r="L124" i="34" s="1"/>
  <c r="M124" i="34" s="1"/>
  <c r="H43" i="34"/>
  <c r="AB43" i="34"/>
  <c r="D118" i="34"/>
  <c r="E118" i="34"/>
  <c r="F118" i="34" s="1"/>
  <c r="G118" i="34" s="1"/>
  <c r="D116" i="34"/>
  <c r="E116" i="34" s="1"/>
  <c r="F116" i="34" s="1"/>
  <c r="G116" i="34" s="1"/>
  <c r="H116" i="34" s="1"/>
  <c r="I116" i="34"/>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c r="K92" i="34" s="1"/>
  <c r="L92" i="34" s="1"/>
  <c r="M92" i="34" s="1"/>
  <c r="B91" i="34"/>
  <c r="J28" i="34" s="1"/>
  <c r="W28" i="34" s="1"/>
  <c r="B89" i="34"/>
  <c r="D88" i="34"/>
  <c r="E88" i="34" s="1"/>
  <c r="F88" i="34" s="1"/>
  <c r="G88" i="34" s="1"/>
  <c r="H88" i="34" s="1"/>
  <c r="I88" i="34"/>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C21" i="20"/>
  <c r="B56" i="43" s="1"/>
  <c r="C20" i="20"/>
  <c r="C18" i="20"/>
  <c r="B51"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B126" i="21"/>
  <c r="B98" i="21"/>
  <c r="H31" i="21"/>
  <c r="B96" i="21"/>
  <c r="B94" i="21"/>
  <c r="B92" i="21"/>
  <c r="B90" i="21"/>
  <c r="B74" i="21"/>
  <c r="B72" i="21"/>
  <c r="H13" i="21" s="1"/>
  <c r="U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s="1"/>
  <c r="J26" i="21"/>
  <c r="W26" i="21"/>
  <c r="F26" i="21"/>
  <c r="S26" i="21"/>
  <c r="S41" i="21"/>
  <c r="J44" i="39"/>
  <c r="AC44" i="39" s="1"/>
  <c r="F36" i="39"/>
  <c r="S36" i="39" s="1"/>
  <c r="H36" i="39"/>
  <c r="AB36" i="39" s="1"/>
  <c r="F35" i="39"/>
  <c r="J36" i="39"/>
  <c r="W40" i="39"/>
  <c r="W31" i="37"/>
  <c r="F103" i="37"/>
  <c r="G103" i="37" s="1"/>
  <c r="H103" i="37" s="1"/>
  <c r="I103" i="37" s="1"/>
  <c r="J103" i="37" s="1"/>
  <c r="K103" i="37" s="1"/>
  <c r="L103" i="37" s="1"/>
  <c r="M103" i="37" s="1"/>
  <c r="F39" i="37"/>
  <c r="U14" i="37"/>
  <c r="F29" i="36"/>
  <c r="AA29" i="36" s="1"/>
  <c r="F16" i="36"/>
  <c r="AA16" i="36" s="1"/>
  <c r="U9" i="36"/>
  <c r="U31" i="36"/>
  <c r="H22" i="35"/>
  <c r="AB22" i="35" s="1"/>
  <c r="U31" i="35"/>
  <c r="W22" i="35"/>
  <c r="F36" i="34"/>
  <c r="S36" i="34" s="1"/>
  <c r="J35" i="34"/>
  <c r="U34" i="34"/>
  <c r="H39" i="33"/>
  <c r="AB39" i="33"/>
  <c r="S40" i="33"/>
  <c r="H39" i="37"/>
  <c r="F11" i="40"/>
  <c r="H11" i="40"/>
  <c r="AB11" i="40" s="1"/>
  <c r="AA9" i="40"/>
  <c r="U38" i="40"/>
  <c r="F42" i="39"/>
  <c r="AA42" i="39" s="1"/>
  <c r="F41" i="39"/>
  <c r="H40" i="39"/>
  <c r="AB40" i="39" s="1"/>
  <c r="H39" i="39"/>
  <c r="U39" i="39" s="1"/>
  <c r="S38"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AC31" i="39" s="1"/>
  <c r="H27" i="39"/>
  <c r="U27" i="39" s="1"/>
  <c r="J19" i="39"/>
  <c r="AC19" i="39" s="1"/>
  <c r="J17" i="39"/>
  <c r="J27" i="39"/>
  <c r="AC27" i="39" s="1"/>
  <c r="F27" i="39"/>
  <c r="AA27" i="39" s="1"/>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F37" i="39"/>
  <c r="AA37" i="39" s="1"/>
  <c r="U30" i="36"/>
  <c r="J30" i="35"/>
  <c r="W30" i="35" s="1"/>
  <c r="H30" i="35"/>
  <c r="AB30" i="35" s="1"/>
  <c r="F22" i="35"/>
  <c r="AA22" i="35" s="1"/>
  <c r="H10" i="35"/>
  <c r="U10" i="35" s="1"/>
  <c r="W30" i="36"/>
  <c r="H16" i="36"/>
  <c r="AB16" i="36"/>
  <c r="J29" i="36"/>
  <c r="AC29" i="36" s="1"/>
  <c r="F24" i="36"/>
  <c r="AA24" i="36" s="1"/>
  <c r="F14" i="35"/>
  <c r="AA14" i="35" s="1"/>
  <c r="F23" i="35"/>
  <c r="AA23" i="35" s="1"/>
  <c r="J32" i="35"/>
  <c r="AC32" i="35" s="1"/>
  <c r="J16" i="35"/>
  <c r="AC16" i="35"/>
  <c r="H16" i="35"/>
  <c r="U16" i="35"/>
  <c r="F16" i="35"/>
  <c r="S16" i="35"/>
  <c r="H14" i="35"/>
  <c r="AB14" i="35"/>
  <c r="J29" i="35"/>
  <c r="H33" i="35"/>
  <c r="J20" i="35"/>
  <c r="W20" i="35" s="1"/>
  <c r="F35" i="37"/>
  <c r="S35" i="37" s="1"/>
  <c r="G101" i="37"/>
  <c r="H101" i="37" s="1"/>
  <c r="I101" i="37" s="1"/>
  <c r="J101" i="37" s="1"/>
  <c r="K101" i="37" s="1"/>
  <c r="L101" i="37" s="1"/>
  <c r="M101" i="37" s="1"/>
  <c r="J34" i="37"/>
  <c r="W34" i="37"/>
  <c r="AB34" i="37"/>
  <c r="J33" i="37"/>
  <c r="AC33" i="37" s="1"/>
  <c r="U42" i="34"/>
  <c r="H40" i="34"/>
  <c r="U40" i="34" s="1"/>
  <c r="H36" i="34"/>
  <c r="U36" i="34" s="1"/>
  <c r="F37" i="34"/>
  <c r="AA37" i="34" s="1"/>
  <c r="S35" i="34"/>
  <c r="F28" i="34"/>
  <c r="F25" i="34"/>
  <c r="S25" i="34" s="1"/>
  <c r="H23" i="34"/>
  <c r="J23" i="34"/>
  <c r="AC23" i="34" s="1"/>
  <c r="F19" i="34"/>
  <c r="H17" i="34"/>
  <c r="F15" i="34"/>
  <c r="J15" i="34"/>
  <c r="H15" i="34"/>
  <c r="AB15" i="34" s="1"/>
  <c r="F41" i="33"/>
  <c r="AA41" i="33" s="1"/>
  <c r="F32" i="33"/>
  <c r="AA32" i="33"/>
  <c r="J19" i="33"/>
  <c r="AC19" i="33" s="1"/>
  <c r="J15" i="33"/>
  <c r="AC15" i="33" s="1"/>
  <c r="F11" i="33"/>
  <c r="AA11" i="33" s="1"/>
  <c r="F37" i="40"/>
  <c r="AA37" i="40"/>
  <c r="F36" i="40"/>
  <c r="AA36" i="40"/>
  <c r="H28" i="40"/>
  <c r="U28" i="40"/>
  <c r="F23" i="40"/>
  <c r="AA23" i="40"/>
  <c r="F17" i="40"/>
  <c r="AA17" i="40"/>
  <c r="J17" i="40"/>
  <c r="W17" i="40"/>
  <c r="F15" i="40"/>
  <c r="S15" i="40"/>
  <c r="H15" i="40"/>
  <c r="AB15" i="40"/>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H37" i="33"/>
  <c r="AB37" i="33" s="1"/>
  <c r="H15" i="33"/>
  <c r="AB15" i="33" s="1"/>
  <c r="H11" i="33"/>
  <c r="AB11" i="33" s="1"/>
  <c r="F28" i="40"/>
  <c r="AA28" i="40" s="1"/>
  <c r="AA42" i="34"/>
  <c r="AA38" i="34"/>
  <c r="J37" i="34"/>
  <c r="AC37" i="34" s="1"/>
  <c r="J11" i="33"/>
  <c r="W11" i="33" s="1"/>
  <c r="J42" i="21"/>
  <c r="AC42" i="21" s="1"/>
  <c r="H42" i="21"/>
  <c r="U42" i="21" s="1"/>
  <c r="J44" i="34"/>
  <c r="W44" i="34" s="1"/>
  <c r="F44" i="34"/>
  <c r="AA44" i="34" s="1"/>
  <c r="J10" i="35"/>
  <c r="AC10" i="35" s="1"/>
  <c r="F14" i="21"/>
  <c r="S14" i="21" s="1"/>
  <c r="H28" i="21"/>
  <c r="AB28" i="21" s="1"/>
  <c r="F28" i="21"/>
  <c r="AA28" i="21" s="1"/>
  <c r="J28" i="21"/>
  <c r="H30" i="21"/>
  <c r="U30" i="21" s="1"/>
  <c r="F30" i="21"/>
  <c r="S30" i="21" s="1"/>
  <c r="J30" i="21"/>
  <c r="AC30" i="21" s="1"/>
  <c r="J44" i="21"/>
  <c r="AC44" i="21" s="1"/>
  <c r="H46" i="21"/>
  <c r="U46" i="21" s="1"/>
  <c r="J46" i="21"/>
  <c r="W46" i="21" s="1"/>
  <c r="F46" i="21"/>
  <c r="AA46" i="21" s="1"/>
  <c r="F33" i="35"/>
  <c r="S33" i="35"/>
  <c r="J33" i="35"/>
  <c r="AC33" i="35" s="1"/>
  <c r="F30" i="35"/>
  <c r="S30" i="35" s="1"/>
  <c r="H10" i="36"/>
  <c r="AB10" i="36" s="1"/>
  <c r="J14" i="36"/>
  <c r="AC14" i="36" s="1"/>
  <c r="H14" i="36"/>
  <c r="U14" i="36" s="1"/>
  <c r="F28" i="36"/>
  <c r="AA28" i="36" s="1"/>
  <c r="F27" i="21"/>
  <c r="AA27" i="21" s="1"/>
  <c r="J31" i="21"/>
  <c r="AC31" i="21" s="1"/>
  <c r="F31" i="21"/>
  <c r="S31" i="21" s="1"/>
  <c r="F27" i="33"/>
  <c r="AA27" i="33" s="1"/>
  <c r="J13" i="33"/>
  <c r="W13" i="33" s="1"/>
  <c r="F29" i="33"/>
  <c r="S29" i="33" s="1"/>
  <c r="J45" i="33"/>
  <c r="W45" i="33" s="1"/>
  <c r="H14" i="34"/>
  <c r="AB14" i="34" s="1"/>
  <c r="J32" i="34"/>
  <c r="W32" i="34" s="1"/>
  <c r="J26" i="36"/>
  <c r="W26" i="36" s="1"/>
  <c r="H28" i="36"/>
  <c r="U28" i="36" s="1"/>
  <c r="J32" i="36"/>
  <c r="W32" i="36" s="1"/>
  <c r="H11" i="36"/>
  <c r="U11" i="36" s="1"/>
  <c r="H13" i="36"/>
  <c r="AB13" i="36" s="1"/>
  <c r="J13" i="36"/>
  <c r="AC13" i="36" s="1"/>
  <c r="F13" i="36"/>
  <c r="S13" i="36" s="1"/>
  <c r="J29" i="37"/>
  <c r="W29" i="37" s="1"/>
  <c r="F29" i="37"/>
  <c r="S29" i="37" s="1"/>
  <c r="H36" i="37"/>
  <c r="AB36" i="37" s="1"/>
  <c r="J37" i="37"/>
  <c r="AC37" i="37" s="1"/>
  <c r="H37" i="37"/>
  <c r="U37" i="37" s="1"/>
  <c r="H40" i="37"/>
  <c r="U40" i="37" s="1"/>
  <c r="F40" i="37"/>
  <c r="AA40" i="37" s="1"/>
  <c r="AC12" i="40"/>
  <c r="F14" i="33"/>
  <c r="F30" i="33"/>
  <c r="S30" i="33" s="1"/>
  <c r="F44" i="33"/>
  <c r="S44" i="33" s="1"/>
  <c r="H13" i="34"/>
  <c r="F29" i="34"/>
  <c r="S29" i="34" s="1"/>
  <c r="F31" i="34"/>
  <c r="S31" i="34" s="1"/>
  <c r="H47" i="34"/>
  <c r="U47" i="34" s="1"/>
  <c r="J13" i="35"/>
  <c r="AC13" i="35" s="1"/>
  <c r="J25" i="35"/>
  <c r="W25" i="35" s="1"/>
  <c r="F25" i="35"/>
  <c r="S25" i="35" s="1"/>
  <c r="H25" i="35"/>
  <c r="AB25" i="35" s="1"/>
  <c r="J35" i="35"/>
  <c r="AC35" i="35" s="1"/>
  <c r="F35" i="35"/>
  <c r="AA35" i="35" s="1"/>
  <c r="H35" i="35"/>
  <c r="AB35" i="35" s="1"/>
  <c r="J25" i="36"/>
  <c r="W25" i="36" s="1"/>
  <c r="H25" i="36"/>
  <c r="AB25" i="36" s="1"/>
  <c r="H13" i="37"/>
  <c r="AB13" i="37" s="1"/>
  <c r="F13" i="37"/>
  <c r="S13" i="37" s="1"/>
  <c r="J13" i="37"/>
  <c r="W13" i="37" s="1"/>
  <c r="J28" i="37"/>
  <c r="AC28" i="37" s="1"/>
  <c r="F38" i="37"/>
  <c r="S38" i="37" s="1"/>
  <c r="J14" i="39"/>
  <c r="AC14" i="39" s="1"/>
  <c r="F14" i="39"/>
  <c r="H14" i="39"/>
  <c r="AB14" i="39"/>
  <c r="F12" i="40"/>
  <c r="S12" i="40"/>
  <c r="H12" i="40"/>
  <c r="AB12" i="40"/>
  <c r="H30" i="40"/>
  <c r="AB30" i="40"/>
  <c r="J35" i="40"/>
  <c r="AC35" i="40"/>
  <c r="J37" i="40"/>
  <c r="AC37" i="40"/>
  <c r="F14" i="37"/>
  <c r="S14" i="37"/>
  <c r="J13" i="39"/>
  <c r="W13" i="39" s="1"/>
  <c r="H14" i="40"/>
  <c r="AB14" i="40" s="1"/>
  <c r="J14" i="40"/>
  <c r="W14" i="40" s="1"/>
  <c r="F14" i="40"/>
  <c r="J14" i="37"/>
  <c r="AC14" i="37" s="1"/>
  <c r="J36" i="37"/>
  <c r="AC36" i="37" s="1"/>
  <c r="J10" i="36"/>
  <c r="AC10" i="36" s="1"/>
  <c r="AB30" i="21"/>
  <c r="AA14" i="37"/>
  <c r="W13" i="36"/>
  <c r="S44" i="34"/>
  <c r="F17" i="21"/>
  <c r="AA17" i="21" s="1"/>
  <c r="H17" i="21"/>
  <c r="AB17" i="21" s="1"/>
  <c r="F15" i="21"/>
  <c r="S15" i="21" s="1"/>
  <c r="J41" i="39"/>
  <c r="W41" i="39" s="1"/>
  <c r="W44" i="39"/>
  <c r="U36" i="39"/>
  <c r="G544" i="3"/>
  <c r="G504" i="3"/>
  <c r="G568" i="3"/>
  <c r="BL576" i="3"/>
  <c r="BL568" i="3"/>
  <c r="BL554" i="3"/>
  <c r="BL522" i="3"/>
  <c r="BL570" i="3"/>
  <c r="BL562" i="3"/>
  <c r="BL552" i="3"/>
  <c r="BL518" i="3"/>
  <c r="BA580" i="3"/>
  <c r="BA576" i="3"/>
  <c r="BA572" i="3"/>
  <c r="BA568" i="3"/>
  <c r="AZ568" i="3" s="1"/>
  <c r="BA564" i="3"/>
  <c r="BA548" i="3"/>
  <c r="BA542" i="3"/>
  <c r="BA516" i="3"/>
  <c r="BA587" i="3"/>
  <c r="BA575" i="3"/>
  <c r="BA571" i="3"/>
  <c r="BA567" i="3"/>
  <c r="BA553" i="3"/>
  <c r="BA539" i="3"/>
  <c r="BA503" i="3"/>
  <c r="G577" i="3"/>
  <c r="G571" i="3"/>
  <c r="G567" i="3"/>
  <c r="AC557" i="3"/>
  <c r="G557" i="3" s="1"/>
  <c r="BQ557" i="3"/>
  <c r="BQ583" i="3"/>
  <c r="BL583" i="3" s="1"/>
  <c r="BQ581" i="3"/>
  <c r="BL581" i="3"/>
  <c r="BQ579" i="3"/>
  <c r="BL579" i="3"/>
  <c r="BQ577" i="3"/>
  <c r="BQ575" i="3"/>
  <c r="BQ573" i="3"/>
  <c r="BL573" i="3" s="1"/>
  <c r="BQ571" i="3"/>
  <c r="BL571" i="3"/>
  <c r="BQ569" i="3"/>
  <c r="BQ567" i="3"/>
  <c r="BQ565" i="3"/>
  <c r="BQ563" i="3"/>
  <c r="BL563" i="3"/>
  <c r="BQ561" i="3"/>
  <c r="BL561" i="3"/>
  <c r="BQ559" i="3"/>
  <c r="G555" i="3"/>
  <c r="G545" i="3"/>
  <c r="BQ555" i="3"/>
  <c r="BQ553" i="3"/>
  <c r="BQ551" i="3"/>
  <c r="BQ549" i="3"/>
  <c r="BQ547" i="3"/>
  <c r="BQ545" i="3"/>
  <c r="BL545" i="3"/>
  <c r="BQ543" i="3"/>
  <c r="BQ541" i="3"/>
  <c r="BL541" i="3"/>
  <c r="BQ539" i="3"/>
  <c r="BQ537" i="3"/>
  <c r="BQ535" i="3"/>
  <c r="BQ533" i="3"/>
  <c r="BQ531" i="3"/>
  <c r="BQ529" i="3"/>
  <c r="BQ527" i="3"/>
  <c r="BQ525" i="3"/>
  <c r="BL525" i="3"/>
  <c r="BQ523" i="3"/>
  <c r="AC521" i="3"/>
  <c r="BQ521" i="3"/>
  <c r="G513" i="3"/>
  <c r="BQ519" i="3"/>
  <c r="BQ517" i="3"/>
  <c r="BQ515" i="3"/>
  <c r="BQ513" i="3"/>
  <c r="BQ511" i="3"/>
  <c r="AC509" i="3"/>
  <c r="BQ509" i="3"/>
  <c r="G495" i="3"/>
  <c r="BQ507" i="3"/>
  <c r="BL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H23" i="37"/>
  <c r="AB23" i="37" s="1"/>
  <c r="J32" i="37"/>
  <c r="AC32" i="37" s="1"/>
  <c r="F36" i="37"/>
  <c r="AA36" i="37" s="1"/>
  <c r="F37" i="37"/>
  <c r="AA37" i="37" s="1"/>
  <c r="F31" i="40"/>
  <c r="AA31" i="40" s="1"/>
  <c r="F32" i="40"/>
  <c r="S32" i="40" s="1"/>
  <c r="J36" i="40"/>
  <c r="W36" i="40" s="1"/>
  <c r="AA41" i="34"/>
  <c r="H19" i="37"/>
  <c r="AB19" i="37" s="1"/>
  <c r="H42" i="33"/>
  <c r="AB42" i="33" s="1"/>
  <c r="J43" i="33"/>
  <c r="AC43" i="33" s="1"/>
  <c r="U14" i="40"/>
  <c r="AA12" i="35"/>
  <c r="W23" i="35"/>
  <c r="W14" i="37"/>
  <c r="AC36" i="34"/>
  <c r="U19" i="21"/>
  <c r="AC46" i="21"/>
  <c r="AB38" i="21"/>
  <c r="F43" i="33"/>
  <c r="AA43" i="33" s="1"/>
  <c r="W15" i="34"/>
  <c r="AC15" i="34"/>
  <c r="W16" i="35"/>
  <c r="H37" i="21"/>
  <c r="U37" i="21" s="1"/>
  <c r="S42" i="21"/>
  <c r="H19" i="34"/>
  <c r="AB19" i="34" s="1"/>
  <c r="J9" i="37"/>
  <c r="W9" i="37" s="1"/>
  <c r="H12" i="37"/>
  <c r="AB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AA25" i="21"/>
  <c r="H19" i="40"/>
  <c r="U19" i="40"/>
  <c r="F19" i="40"/>
  <c r="S19" i="40"/>
  <c r="W23"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AZ24" i="3"/>
  <c r="AZ28"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G388" i="3"/>
  <c r="BL389" i="3"/>
  <c r="AZ389" i="3" s="1"/>
  <c r="G390" i="3"/>
  <c r="BL391" i="3"/>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59" i="3"/>
  <c r="AZ75" i="3"/>
  <c r="AZ79" i="3"/>
  <c r="AZ136" i="3"/>
  <c r="AZ160" i="3"/>
  <c r="AZ192" i="3"/>
  <c r="AZ89" i="3"/>
  <c r="AZ97" i="3"/>
  <c r="AZ105" i="3"/>
  <c r="AZ120" i="3"/>
  <c r="AZ128" i="3"/>
  <c r="G530"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AZ390" i="3" s="1"/>
  <c r="G391" i="3"/>
  <c r="G394" i="3"/>
  <c r="AZ154" i="3"/>
  <c r="AZ170" i="3"/>
  <c r="AZ186" i="3"/>
  <c r="AZ202" i="3"/>
  <c r="AZ206" i="3"/>
  <c r="BA16" i="3"/>
  <c r="AZ16" i="3" s="1"/>
  <c r="BL303" i="3"/>
  <c r="AZ303" i="3" s="1"/>
  <c r="G304" i="3"/>
  <c r="BA306" i="3"/>
  <c r="AZ306" i="3" s="1"/>
  <c r="BL307" i="3"/>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AZ343" i="3" s="1"/>
  <c r="G344" i="3"/>
  <c r="G348" i="3"/>
  <c r="G355" i="3"/>
  <c r="AZ218" i="3"/>
  <c r="AZ319" i="3"/>
  <c r="G342" i="3"/>
  <c r="BL345" i="3"/>
  <c r="AZ345" i="3" s="1"/>
  <c r="G346" i="3"/>
  <c r="AZ348" i="3"/>
  <c r="BL349" i="3"/>
  <c r="AZ349" i="3" s="1"/>
  <c r="BL352" i="3"/>
  <c r="AZ352" i="3" s="1"/>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33" i="3"/>
  <c r="AZ237" i="3"/>
  <c r="AZ257" i="3"/>
  <c r="AZ261" i="3"/>
  <c r="BA379" i="3"/>
  <c r="AZ379" i="3" s="1"/>
  <c r="BL380" i="3"/>
  <c r="G381" i="3"/>
  <c r="BA383" i="3"/>
  <c r="AZ383" i="3" s="1"/>
  <c r="BL384" i="3"/>
  <c r="AZ384" i="3" s="1"/>
  <c r="G385" i="3"/>
  <c r="BA387" i="3"/>
  <c r="AZ387" i="3" s="1"/>
  <c r="BL388" i="3"/>
  <c r="G389" i="3"/>
  <c r="BA391" i="3"/>
  <c r="AZ391" i="3" s="1"/>
  <c r="BL392" i="3"/>
  <c r="AZ392" i="3" s="1"/>
  <c r="G393" i="3"/>
  <c r="AZ279" i="3"/>
  <c r="AZ283" i="3"/>
  <c r="AZ291" i="3"/>
  <c r="BD5" i="3"/>
  <c r="AZ317" i="3"/>
  <c r="AZ333" i="3"/>
  <c r="G502" i="3"/>
  <c r="BE5" i="3"/>
  <c r="G17" i="3"/>
  <c r="BA17" i="3"/>
  <c r="AZ17" i="3" s="1"/>
  <c r="AZ360" i="3"/>
  <c r="AZ368" i="3"/>
  <c r="BA15" i="3"/>
  <c r="AZ388" i="3"/>
  <c r="AZ396" i="3"/>
  <c r="G509" i="3"/>
  <c r="AZ382" i="3"/>
  <c r="U36" i="40"/>
  <c r="F83" i="43"/>
  <c r="H85" i="43" s="1"/>
  <c r="F50" i="43"/>
  <c r="H54" i="43" s="1"/>
  <c r="G54" i="43" s="1"/>
  <c r="F72" i="43"/>
  <c r="H75" i="43" s="1"/>
  <c r="U17" i="39"/>
  <c r="U43" i="21"/>
  <c r="U35" i="21"/>
  <c r="AC35" i="21"/>
  <c r="G8" i="1"/>
  <c r="G10" i="1"/>
  <c r="W37" i="37"/>
  <c r="AC44" i="34"/>
  <c r="U13" i="37"/>
  <c r="U12" i="40"/>
  <c r="AA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4" i="3"/>
  <c r="C40" i="11"/>
  <c r="AZ215" i="3"/>
  <c r="AZ235" i="3"/>
  <c r="AZ240" i="3"/>
  <c r="AZ248" i="3"/>
  <c r="AZ259" i="3"/>
  <c r="AZ280" i="3"/>
  <c r="AZ288" i="3"/>
  <c r="AZ114" i="3"/>
  <c r="AZ130" i="3"/>
  <c r="AZ29" i="3"/>
  <c r="AZ31" i="3"/>
  <c r="AZ33" i="3"/>
  <c r="AZ37" i="3"/>
  <c r="AZ45" i="3"/>
  <c r="AZ58" i="3"/>
  <c r="AZ61" i="3"/>
  <c r="AZ77" i="3"/>
  <c r="AZ102" i="3"/>
  <c r="AZ110" i="3"/>
  <c r="F23" i="39"/>
  <c r="AA23" i="39"/>
  <c r="H27" i="36"/>
  <c r="U27" i="36" s="1"/>
  <c r="F27" i="36"/>
  <c r="AA27" i="36" s="1"/>
  <c r="H33" i="34"/>
  <c r="U33" i="34"/>
  <c r="F32" i="37"/>
  <c r="AA32" i="37"/>
  <c r="F20" i="36"/>
  <c r="AA20" i="36" s="1"/>
  <c r="J33" i="34"/>
  <c r="AC33" i="34" s="1"/>
  <c r="H23" i="39"/>
  <c r="U23" i="39" s="1"/>
  <c r="K9" i="1"/>
  <c r="M9" i="1" s="1"/>
  <c r="D93" i="9"/>
  <c r="K6" i="1"/>
  <c r="AP6" i="1" s="1"/>
  <c r="W12" i="39"/>
  <c r="AZ412" i="3"/>
  <c r="AZ428" i="3"/>
  <c r="AZ465" i="3"/>
  <c r="AZ437" i="3"/>
  <c r="BL14" i="3"/>
  <c r="AZ266" i="3"/>
  <c r="W28" i="37"/>
  <c r="H12" i="39"/>
  <c r="AB12" i="39" s="1"/>
  <c r="F39" i="40"/>
  <c r="S39" i="40" s="1"/>
  <c r="BA14" i="3"/>
  <c r="AZ213" i="3"/>
  <c r="AZ238" i="3"/>
  <c r="AZ250" i="3"/>
  <c r="AZ281" i="3"/>
  <c r="AZ286" i="3"/>
  <c r="AZ149" i="3"/>
  <c r="AZ165" i="3"/>
  <c r="AZ181" i="3"/>
  <c r="AZ197" i="3"/>
  <c r="AZ26" i="3"/>
  <c r="AZ35" i="3"/>
  <c r="AZ41" i="3"/>
  <c r="B12" i="1"/>
  <c r="E12" i="1"/>
  <c r="B10" i="1"/>
  <c r="E10" i="1"/>
  <c r="K12" i="1"/>
  <c r="M12" i="1" s="1"/>
  <c r="S13" i="1"/>
  <c r="AR13" i="1" s="1"/>
  <c r="R13" i="1"/>
  <c r="J51" i="67"/>
  <c r="C42" i="1"/>
  <c r="AA34" i="33"/>
  <c r="B41" i="1"/>
  <c r="S35" i="40"/>
  <c r="U35" i="40"/>
  <c r="S17" i="40"/>
  <c r="S23" i="40"/>
  <c r="AC17" i="40"/>
  <c r="AC15" i="40"/>
  <c r="S30" i="40"/>
  <c r="AA19" i="40"/>
  <c r="S28" i="40"/>
  <c r="U21" i="40"/>
  <c r="AB19" i="40"/>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3" i="36"/>
  <c r="U26" i="36"/>
  <c r="S33" i="36"/>
  <c r="AA26" i="36"/>
  <c r="AC26" i="36"/>
  <c r="AA22" i="36"/>
  <c r="W14" i="36"/>
  <c r="AB14" i="36"/>
  <c r="U22" i="36"/>
  <c r="S16" i="36"/>
  <c r="U24" i="36"/>
  <c r="U16" i="36"/>
  <c r="S14" i="36"/>
  <c r="AA25" i="35"/>
  <c r="S23" i="35"/>
  <c r="U29" i="35"/>
  <c r="U28" i="35"/>
  <c r="AB27" i="35"/>
  <c r="AA33" i="35"/>
  <c r="AC30" i="35"/>
  <c r="S32" i="35"/>
  <c r="S28" i="35"/>
  <c r="AB16" i="35"/>
  <c r="U22" i="35"/>
  <c r="AC20" i="35"/>
  <c r="S22" i="35"/>
  <c r="U14" i="35"/>
  <c r="W9" i="35"/>
  <c r="F9" i="35"/>
  <c r="S9" i="35" s="1"/>
  <c r="AC29" i="37"/>
  <c r="U29" i="37"/>
  <c r="S32" i="37"/>
  <c r="W30" i="37"/>
  <c r="AA38" i="37"/>
  <c r="U32" i="37"/>
  <c r="AC35" i="37"/>
  <c r="W39" i="37"/>
  <c r="S30" i="37"/>
  <c r="AC15" i="37"/>
  <c r="J17" i="37"/>
  <c r="W17" i="37" s="1"/>
  <c r="G73" i="37"/>
  <c r="F17" i="37"/>
  <c r="AA17" i="37" s="1"/>
  <c r="AB17" i="37"/>
  <c r="F19" i="37"/>
  <c r="AA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U28" i="34"/>
  <c r="S17" i="34"/>
  <c r="AA29" i="34"/>
  <c r="S23" i="34"/>
  <c r="U15" i="34"/>
  <c r="H10" i="34"/>
  <c r="AB10" i="34" s="1"/>
  <c r="F11" i="34"/>
  <c r="S11" i="34" s="1"/>
  <c r="F70" i="34"/>
  <c r="W42" i="33"/>
  <c r="S27" i="33"/>
  <c r="S32" i="33"/>
  <c r="AA29" i="33"/>
  <c r="W38" i="33"/>
  <c r="H41" i="33"/>
  <c r="AB41" i="33" s="1"/>
  <c r="U42" i="33"/>
  <c r="S42" i="33"/>
  <c r="G108" i="33"/>
  <c r="H108" i="33" s="1"/>
  <c r="I108" i="33" s="1"/>
  <c r="J108" i="33" s="1"/>
  <c r="K108" i="33" s="1"/>
  <c r="L108" i="33" s="1"/>
  <c r="M108" i="33" s="1"/>
  <c r="J35" i="33"/>
  <c r="S37" i="33"/>
  <c r="AA37" i="33"/>
  <c r="S39" i="33"/>
  <c r="J32" i="33"/>
  <c r="S43" i="33"/>
  <c r="F91" i="33"/>
  <c r="G91" i="33" s="1"/>
  <c r="H91" i="33" s="1"/>
  <c r="I91" i="33" s="1"/>
  <c r="J91" i="33" s="1"/>
  <c r="K91" i="33" s="1"/>
  <c r="L91" i="33" s="1"/>
  <c r="M91" i="33" s="1"/>
  <c r="H27" i="33"/>
  <c r="AB27" i="33" s="1"/>
  <c r="F87" i="33"/>
  <c r="H25" i="33"/>
  <c r="AB25" i="33" s="1"/>
  <c r="F25" i="33"/>
  <c r="AA25" i="33" s="1"/>
  <c r="J23" i="33"/>
  <c r="W23" i="33" s="1"/>
  <c r="H23" i="33"/>
  <c r="U23" i="33" s="1"/>
  <c r="F81" i="33"/>
  <c r="F19" i="33"/>
  <c r="S19" i="33" s="1"/>
  <c r="W19" i="33"/>
  <c r="J17" i="33"/>
  <c r="AC17" i="33" s="1"/>
  <c r="F79" i="33"/>
  <c r="G79" i="33" s="1"/>
  <c r="W15" i="33"/>
  <c r="J10" i="33"/>
  <c r="W10" i="33" s="1"/>
  <c r="H10" i="33"/>
  <c r="U10" i="33" s="1"/>
  <c r="W43" i="21"/>
  <c r="W41" i="21"/>
  <c r="AB39" i="21"/>
  <c r="AA43" i="21"/>
  <c r="S39" i="21"/>
  <c r="AA38" i="21"/>
  <c r="AC40" i="21"/>
  <c r="J15" i="21"/>
  <c r="W15" i="21"/>
  <c r="F23" i="21"/>
  <c r="S23" i="21"/>
  <c r="E85" i="21"/>
  <c r="AA14" i="21"/>
  <c r="M20" i="67"/>
  <c r="G13" i="3"/>
  <c r="BA13" i="3"/>
  <c r="BL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7" i="33"/>
  <c r="C7" i="21"/>
  <c r="C7" i="40"/>
  <c r="C63" i="40" s="1"/>
  <c r="M47" i="9"/>
  <c r="G23" i="43"/>
  <c r="C48" i="35"/>
  <c r="D48" i="35" s="1"/>
  <c r="L20" i="6"/>
  <c r="K11" i="1"/>
  <c r="M11" i="1" s="1"/>
  <c r="O11" i="1" s="1"/>
  <c r="B9" i="1"/>
  <c r="E9" i="1" s="1"/>
  <c r="K7" i="1"/>
  <c r="G1" i="69"/>
  <c r="W23" i="40"/>
  <c r="S37" i="40"/>
  <c r="AB28" i="40"/>
  <c r="W34" i="40"/>
  <c r="S36" i="40"/>
  <c r="W37" i="40"/>
  <c r="AA15" i="40"/>
  <c r="U11" i="40"/>
  <c r="S31" i="40"/>
  <c r="U15" i="40"/>
  <c r="AB17" i="40"/>
  <c r="U8" i="40"/>
  <c r="S8" i="40"/>
  <c r="AA39" i="39"/>
  <c r="U42" i="39"/>
  <c r="U41" i="39"/>
  <c r="W25" i="39"/>
  <c r="S14" i="39"/>
  <c r="AA14" i="39"/>
  <c r="AB11" i="39"/>
  <c r="U11" i="39"/>
  <c r="S27" i="39"/>
  <c r="W17" i="39"/>
  <c r="AC17" i="39"/>
  <c r="W31" i="39"/>
  <c r="S23" i="39"/>
  <c r="AB39" i="39"/>
  <c r="U38" i="39"/>
  <c r="S20" i="36"/>
  <c r="AC25" i="36"/>
  <c r="AC20" i="36"/>
  <c r="U25" i="36"/>
  <c r="AB28" i="36"/>
  <c r="AA13" i="36"/>
  <c r="W9" i="36"/>
  <c r="W22" i="36"/>
  <c r="AB20" i="35"/>
  <c r="AC25" i="35"/>
  <c r="U25" i="35"/>
  <c r="S35" i="35"/>
  <c r="W35" i="35"/>
  <c r="AA16" i="35"/>
  <c r="AA35" i="37"/>
  <c r="W36" i="37"/>
  <c r="W32" i="37"/>
  <c r="U36" i="37"/>
  <c r="S40" i="37"/>
  <c r="AB37" i="37"/>
  <c r="AC34" i="37"/>
  <c r="AA31" i="37"/>
  <c r="U8" i="37"/>
  <c r="U19" i="34"/>
  <c r="W19" i="34"/>
  <c r="AB33" i="34"/>
  <c r="AA31" i="34"/>
  <c r="U25" i="34"/>
  <c r="AB36" i="34"/>
  <c r="S37" i="34"/>
  <c r="U38" i="34"/>
  <c r="AC40" i="34"/>
  <c r="W40" i="34"/>
  <c r="AA19" i="34"/>
  <c r="S19" i="34"/>
  <c r="AA36" i="34"/>
  <c r="AA8" i="34"/>
  <c r="S8" i="34"/>
  <c r="U14" i="34"/>
  <c r="AC43" i="34"/>
  <c r="W43" i="34"/>
  <c r="W23" i="34"/>
  <c r="AC35" i="34"/>
  <c r="W35" i="34"/>
  <c r="AC37" i="33"/>
  <c r="U39" i="33"/>
  <c r="AB34" i="33"/>
  <c r="AA30" i="33"/>
  <c r="W30" i="33"/>
  <c r="AC13" i="33"/>
  <c r="S11" i="33"/>
  <c r="W9" i="33"/>
  <c r="U28" i="21"/>
  <c r="F33" i="21"/>
  <c r="AA33" i="21" s="1"/>
  <c r="J33" i="21"/>
  <c r="AC33" i="21" s="1"/>
  <c r="H33" i="21"/>
  <c r="AB33" i="21" s="1"/>
  <c r="F37" i="21"/>
  <c r="AA37" i="21" s="1"/>
  <c r="AA26" i="21"/>
  <c r="U40" i="21"/>
  <c r="AB31" i="21"/>
  <c r="U31" i="21"/>
  <c r="AC15" i="21"/>
  <c r="AB13" i="21"/>
  <c r="S35" i="21"/>
  <c r="J37" i="21"/>
  <c r="W37" i="21" s="1"/>
  <c r="H15" i="21"/>
  <c r="U15" i="21"/>
  <c r="J17" i="21"/>
  <c r="AC17" i="21"/>
  <c r="W39" i="21"/>
  <c r="W30" i="21"/>
  <c r="H45" i="21"/>
  <c r="U45" i="21" s="1"/>
  <c r="F29" i="21"/>
  <c r="S29" i="21" s="1"/>
  <c r="F13" i="21"/>
  <c r="AA13" i="21" s="1"/>
  <c r="H32" i="21"/>
  <c r="U32" i="21" s="1"/>
  <c r="J32" i="21"/>
  <c r="W32" i="21" s="1"/>
  <c r="F32" i="21"/>
  <c r="AA31" i="21"/>
  <c r="S9" i="21"/>
  <c r="K141" i="21"/>
  <c r="K144" i="21"/>
  <c r="K143" i="21"/>
  <c r="AA30" i="21"/>
  <c r="W42" i="21"/>
  <c r="F10" i="21"/>
  <c r="AA10" i="21" s="1"/>
  <c r="K145" i="21"/>
  <c r="W17" i="21"/>
  <c r="AA29" i="21"/>
  <c r="S17" i="21"/>
  <c r="AC26" i="21"/>
  <c r="S28" i="21"/>
  <c r="AC34" i="21"/>
  <c r="AB36" i="21"/>
  <c r="W30" i="40"/>
  <c r="C19" i="39"/>
  <c r="C17" i="40"/>
  <c r="C21" i="40"/>
  <c r="U30" i="40"/>
  <c r="B67" i="43"/>
  <c r="B54" i="43"/>
  <c r="B58" i="43"/>
  <c r="B65" i="43"/>
  <c r="B69" i="43"/>
  <c r="D23" i="15"/>
  <c r="D22" i="15"/>
  <c r="E4" i="4"/>
  <c r="B5" i="62" s="1"/>
  <c r="B73" i="72" s="1"/>
  <c r="C4" i="4"/>
  <c r="AA39" i="40"/>
  <c r="J32" i="39"/>
  <c r="W32" i="39" s="1"/>
  <c r="H32" i="39"/>
  <c r="AB32" i="39" s="1"/>
  <c r="AA32" i="39"/>
  <c r="S32" i="39"/>
  <c r="AB21" i="39"/>
  <c r="U21" i="39"/>
  <c r="AA21" i="39"/>
  <c r="S21" i="39"/>
  <c r="J19" i="37"/>
  <c r="AC19" i="37" s="1"/>
  <c r="S19" i="37"/>
  <c r="J23" i="37"/>
  <c r="W23" i="37" s="1"/>
  <c r="G79" i="37"/>
  <c r="J10" i="37"/>
  <c r="W10" i="37" s="1"/>
  <c r="H11" i="37"/>
  <c r="AB11" i="37" s="1"/>
  <c r="G70" i="34"/>
  <c r="H70" i="34" s="1"/>
  <c r="H11" i="34"/>
  <c r="U11" i="34" s="1"/>
  <c r="J10" i="34"/>
  <c r="AC10" i="34" s="1"/>
  <c r="W35" i="33"/>
  <c r="AC35" i="33"/>
  <c r="AC32" i="33"/>
  <c r="W32" i="33"/>
  <c r="U27" i="33"/>
  <c r="J27" i="33"/>
  <c r="AC27" i="33" s="1"/>
  <c r="U25" i="33"/>
  <c r="S25" i="33"/>
  <c r="G87" i="33"/>
  <c r="H87" i="33" s="1"/>
  <c r="I87" i="33" s="1"/>
  <c r="J87" i="33" s="1"/>
  <c r="K87" i="33" s="1"/>
  <c r="L87" i="33" s="1"/>
  <c r="M87" i="33" s="1"/>
  <c r="J25" i="33"/>
  <c r="AB23" i="33"/>
  <c r="F23" i="33"/>
  <c r="AA23" i="33" s="1"/>
  <c r="H19" i="33"/>
  <c r="AB19" i="33" s="1"/>
  <c r="G81" i="33"/>
  <c r="H17" i="33"/>
  <c r="U17" i="33" s="1"/>
  <c r="F17" i="33"/>
  <c r="AA17" i="33" s="1"/>
  <c r="W17" i="33"/>
  <c r="S37" i="21"/>
  <c r="AA23" i="21"/>
  <c r="AB15" i="21"/>
  <c r="J23" i="21"/>
  <c r="F85" i="21"/>
  <c r="G85" i="21" s="1"/>
  <c r="H23" i="21"/>
  <c r="U23" i="21" s="1"/>
  <c r="AP7" i="1"/>
  <c r="AA32" i="21"/>
  <c r="S32" i="21"/>
  <c r="AB32" i="21"/>
  <c r="U32" i="39"/>
  <c r="AC32" i="39"/>
  <c r="W19" i="37"/>
  <c r="AC23" i="37"/>
  <c r="J11" i="37"/>
  <c r="AC11" i="37" s="1"/>
  <c r="I70" i="34"/>
  <c r="J70" i="34" s="1"/>
  <c r="K70" i="34"/>
  <c r="L70" i="34" s="1"/>
  <c r="M70" i="34" s="1"/>
  <c r="J11" i="34"/>
  <c r="W11" i="34" s="1"/>
  <c r="W27" i="33"/>
  <c r="W25" i="33"/>
  <c r="AC25" i="33"/>
  <c r="AB17" i="33"/>
  <c r="AB23" i="21"/>
  <c r="AC23" i="21"/>
  <c r="W23" i="21"/>
  <c r="H109" i="9"/>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B7" i="76"/>
  <c r="B11" i="76"/>
  <c r="B13" i="76"/>
  <c r="D34" i="9"/>
  <c r="E11" i="76"/>
  <c r="F5" i="73"/>
  <c r="D6" i="73"/>
  <c r="D35" i="9"/>
  <c r="E7" i="76"/>
  <c r="E9" i="76"/>
  <c r="B8" i="76"/>
  <c r="B10" i="76"/>
  <c r="B12" i="76"/>
  <c r="B9" i="76"/>
  <c r="F6" i="73"/>
  <c r="E8" i="76"/>
  <c r="E13" i="76"/>
  <c r="E12" i="76"/>
  <c r="E10" i="76"/>
  <c r="F7" i="73"/>
  <c r="E2" i="69"/>
  <c r="AO13" i="1"/>
  <c r="F3" i="73"/>
  <c r="F4" i="73"/>
  <c r="F20" i="31"/>
  <c r="J51" i="15" l="1"/>
  <c r="AB12" i="21"/>
  <c r="U12" i="21"/>
  <c r="AZ544" i="3"/>
  <c r="S36" i="35"/>
  <c r="AA36" i="35"/>
  <c r="I7" i="33"/>
  <c r="E7" i="33"/>
  <c r="G7" i="33"/>
  <c r="F48" i="9"/>
  <c r="O52" i="9" s="1"/>
  <c r="D68" i="84"/>
  <c r="F54" i="84"/>
  <c r="F53" i="84"/>
  <c r="F52" i="84"/>
  <c r="F48" i="84"/>
  <c r="O52" i="84" s="1"/>
  <c r="F53" i="82"/>
  <c r="F30" i="81"/>
  <c r="F32" i="80"/>
  <c r="F60" i="80" s="1"/>
  <c r="F28" i="80"/>
  <c r="C28" i="80" s="1"/>
  <c r="M18" i="80"/>
  <c r="D68" i="82"/>
  <c r="F54" i="82"/>
  <c r="F52" i="82"/>
  <c r="F48" i="82"/>
  <c r="O52" i="82" s="1"/>
  <c r="C24" i="12"/>
  <c r="C77" i="82"/>
  <c r="C74" i="82" s="1"/>
  <c r="AZ380" i="3"/>
  <c r="AB43" i="33"/>
  <c r="U43" i="33"/>
  <c r="AZ545" i="3"/>
  <c r="AZ583" i="3"/>
  <c r="AZ575" i="3"/>
  <c r="AZ542" i="3"/>
  <c r="U13" i="34"/>
  <c r="AB13" i="34"/>
  <c r="S14" i="33"/>
  <c r="AA14" i="33"/>
  <c r="AA11" i="40"/>
  <c r="S11" i="40"/>
  <c r="AA35" i="39"/>
  <c r="S35" i="39"/>
  <c r="AB26" i="21"/>
  <c r="U26" i="21"/>
  <c r="BA586" i="3"/>
  <c r="AZ586" i="3" s="1"/>
  <c r="J14" i="21"/>
  <c r="H14" i="21"/>
  <c r="J45" i="21"/>
  <c r="F45" i="21"/>
  <c r="AA45" i="21" s="1"/>
  <c r="J26" i="33"/>
  <c r="F26" i="33"/>
  <c r="H26" i="33"/>
  <c r="J27" i="34"/>
  <c r="H27" i="34"/>
  <c r="H14" i="33"/>
  <c r="U14" i="33" s="1"/>
  <c r="J14" i="33"/>
  <c r="AC44" i="33"/>
  <c r="W44" i="33"/>
  <c r="J46" i="33"/>
  <c r="H46" i="33"/>
  <c r="J29" i="34"/>
  <c r="H29" i="34"/>
  <c r="AB29" i="34" s="1"/>
  <c r="H45" i="34"/>
  <c r="U45" i="34" s="1"/>
  <c r="F45" i="34"/>
  <c r="F13" i="35"/>
  <c r="AA13" i="35" s="1"/>
  <c r="H13" i="35"/>
  <c r="U13" i="35" s="1"/>
  <c r="J24" i="35"/>
  <c r="H24" i="35"/>
  <c r="AA27" i="35"/>
  <c r="S27" i="35"/>
  <c r="W27" i="35"/>
  <c r="AC27" i="35"/>
  <c r="J11" i="36"/>
  <c r="AC11" i="36" s="1"/>
  <c r="F11" i="36"/>
  <c r="H34" i="36"/>
  <c r="J34" i="36"/>
  <c r="W34" i="36" s="1"/>
  <c r="F34" i="36"/>
  <c r="J12" i="37"/>
  <c r="W12" i="37" s="1"/>
  <c r="F12" i="37"/>
  <c r="S12" i="37" s="1"/>
  <c r="J26" i="37"/>
  <c r="F26" i="37"/>
  <c r="F28" i="37"/>
  <c r="AA28" i="37" s="1"/>
  <c r="H28" i="37"/>
  <c r="U28" i="37" s="1"/>
  <c r="H25" i="37"/>
  <c r="J25" i="37"/>
  <c r="U8" i="39"/>
  <c r="AB8" i="39"/>
  <c r="F13" i="39"/>
  <c r="H13" i="39"/>
  <c r="J43" i="39"/>
  <c r="F43" i="39"/>
  <c r="J31" i="40"/>
  <c r="H31" i="40"/>
  <c r="J33" i="40"/>
  <c r="F33" i="40"/>
  <c r="H33" i="40"/>
  <c r="J39" i="40"/>
  <c r="H39" i="40"/>
  <c r="AC35" i="39"/>
  <c r="W35" i="39"/>
  <c r="BL584" i="3"/>
  <c r="AZ584" i="3" s="1"/>
  <c r="BA583" i="3"/>
  <c r="BA582" i="3"/>
  <c r="AZ582" i="3" s="1"/>
  <c r="BA579" i="3"/>
  <c r="BL578" i="3"/>
  <c r="BA578" i="3"/>
  <c r="BL560" i="3"/>
  <c r="AZ560" i="3" s="1"/>
  <c r="BA557" i="3"/>
  <c r="BL556" i="3"/>
  <c r="BA556" i="3"/>
  <c r="BA555" i="3"/>
  <c r="AZ555" i="3" s="1"/>
  <c r="BA554" i="3"/>
  <c r="AZ554" i="3" s="1"/>
  <c r="BA552" i="3"/>
  <c r="AZ552" i="3" s="1"/>
  <c r="BL551" i="3"/>
  <c r="BA547" i="3"/>
  <c r="AZ547" i="3" s="1"/>
  <c r="BL546" i="3"/>
  <c r="BA546" i="3"/>
  <c r="AZ546" i="3" s="1"/>
  <c r="BL544" i="3"/>
  <c r="BA543" i="3"/>
  <c r="BL538" i="3"/>
  <c r="BL537" i="3"/>
  <c r="BA535" i="3"/>
  <c r="BA531" i="3"/>
  <c r="BL530" i="3"/>
  <c r="BL529" i="3"/>
  <c r="BA528" i="3"/>
  <c r="BA527" i="3"/>
  <c r="BA522" i="3"/>
  <c r="AZ522" i="3" s="1"/>
  <c r="BL517" i="3"/>
  <c r="BA513" i="3"/>
  <c r="BA506" i="3"/>
  <c r="AZ506" i="3" s="1"/>
  <c r="BL503" i="3"/>
  <c r="AZ503" i="3" s="1"/>
  <c r="BL502" i="3"/>
  <c r="BL500" i="3"/>
  <c r="AZ500" i="3" s="1"/>
  <c r="BA495" i="3"/>
  <c r="BP5" i="3"/>
  <c r="BI5" i="3"/>
  <c r="BA494" i="3"/>
  <c r="BT5" i="3"/>
  <c r="BL493" i="3"/>
  <c r="BH5" i="3"/>
  <c r="AA23" i="37"/>
  <c r="AC17" i="37"/>
  <c r="B62" i="43"/>
  <c r="C23" i="40"/>
  <c r="C15" i="40"/>
  <c r="AA15" i="21"/>
  <c r="S27" i="21"/>
  <c r="W25" i="21"/>
  <c r="AB25" i="21"/>
  <c r="S19" i="21"/>
  <c r="H9" i="21"/>
  <c r="AC38" i="21"/>
  <c r="S46" i="21"/>
  <c r="AC19" i="21"/>
  <c r="AB46" i="21"/>
  <c r="AB42" i="21"/>
  <c r="U38" i="33"/>
  <c r="AB47" i="34"/>
  <c r="AB40" i="34"/>
  <c r="U19" i="37"/>
  <c r="AB35" i="37"/>
  <c r="S9" i="36"/>
  <c r="W19" i="40"/>
  <c r="W28" i="40"/>
  <c r="AA36" i="21"/>
  <c r="W36" i="21"/>
  <c r="AC11" i="33"/>
  <c r="U23" i="37"/>
  <c r="S36" i="37"/>
  <c r="AB31" i="37"/>
  <c r="H9" i="35"/>
  <c r="U9" i="35" s="1"/>
  <c r="W13" i="35"/>
  <c r="S20" i="35"/>
  <c r="U32" i="35"/>
  <c r="S24" i="36"/>
  <c r="U12" i="39"/>
  <c r="S37" i="39"/>
  <c r="AB37" i="40"/>
  <c r="AZ14" i="3"/>
  <c r="F12" i="33"/>
  <c r="AC13" i="34"/>
  <c r="AC12" i="33"/>
  <c r="AB23" i="35"/>
  <c r="BM5" i="3"/>
  <c r="AZ305" i="3"/>
  <c r="AA11" i="39"/>
  <c r="S11" i="39"/>
  <c r="F9" i="37"/>
  <c r="S9" i="37" s="1"/>
  <c r="U33" i="37"/>
  <c r="F24" i="35"/>
  <c r="AA24" i="35" s="1"/>
  <c r="BQ5" i="3"/>
  <c r="AZ573" i="3"/>
  <c r="AZ571" i="3"/>
  <c r="AZ576" i="3"/>
  <c r="AA44" i="33"/>
  <c r="AA14" i="40"/>
  <c r="S14" i="40"/>
  <c r="H43" i="39"/>
  <c r="H38" i="37"/>
  <c r="J47" i="34"/>
  <c r="J45" i="34"/>
  <c r="J31" i="34"/>
  <c r="F13" i="34"/>
  <c r="F46" i="33"/>
  <c r="H44" i="33"/>
  <c r="H30" i="33"/>
  <c r="W28" i="21"/>
  <c r="AC28" i="21"/>
  <c r="AA15" i="34"/>
  <c r="S15" i="34"/>
  <c r="F27" i="34"/>
  <c r="S41" i="39"/>
  <c r="AA41" i="39"/>
  <c r="AB39" i="37"/>
  <c r="U39" i="37"/>
  <c r="BL585" i="3"/>
  <c r="J27" i="21"/>
  <c r="H27" i="21"/>
  <c r="H44" i="21"/>
  <c r="F44" i="21"/>
  <c r="AB35" i="33"/>
  <c r="U35" i="33"/>
  <c r="AA38" i="33"/>
  <c r="S38" i="33"/>
  <c r="AC39" i="33"/>
  <c r="W39" i="33"/>
  <c r="AC8" i="34"/>
  <c r="W8" i="34"/>
  <c r="W14" i="35"/>
  <c r="AC14" i="35"/>
  <c r="J12" i="36"/>
  <c r="H12" i="36"/>
  <c r="F12" i="36"/>
  <c r="F25" i="37"/>
  <c r="H26" i="37"/>
  <c r="H27" i="40"/>
  <c r="J27" i="40"/>
  <c r="F27" i="40"/>
  <c r="J32" i="40"/>
  <c r="H32" i="40"/>
  <c r="AB32" i="40" s="1"/>
  <c r="F38" i="40"/>
  <c r="J38" i="40"/>
  <c r="U41" i="21"/>
  <c r="AB41" i="21"/>
  <c r="BL575" i="3"/>
  <c r="BA574" i="3"/>
  <c r="BA573" i="3"/>
  <c r="BL572" i="3"/>
  <c r="AZ572" i="3" s="1"/>
  <c r="BA570" i="3"/>
  <c r="BA569" i="3"/>
  <c r="BL567" i="3"/>
  <c r="AZ567" i="3" s="1"/>
  <c r="BL566" i="3"/>
  <c r="BA566" i="3"/>
  <c r="BA563" i="3"/>
  <c r="AZ563" i="3" s="1"/>
  <c r="BA562" i="3"/>
  <c r="D78" i="9"/>
  <c r="D93" i="84"/>
  <c r="D78" i="84"/>
  <c r="D93" i="82"/>
  <c r="D78" i="82"/>
  <c r="AZ421" i="3"/>
  <c r="AZ458" i="3"/>
  <c r="AZ462" i="3"/>
  <c r="AZ469" i="3"/>
  <c r="T32" i="71"/>
  <c r="D32" i="71"/>
  <c r="T60" i="71"/>
  <c r="D60" i="71"/>
  <c r="O67" i="71"/>
  <c r="C66" i="71"/>
  <c r="D67" i="71"/>
  <c r="X18" i="71"/>
  <c r="AA3" i="71"/>
  <c r="M54" i="43"/>
  <c r="N54" i="43" s="1"/>
  <c r="K54" i="43"/>
  <c r="J54" i="43" s="1"/>
  <c r="AZ307" i="3"/>
  <c r="AZ364" i="3"/>
  <c r="AZ351" i="3"/>
  <c r="AZ346" i="3"/>
  <c r="AZ342" i="3"/>
  <c r="AZ313" i="3"/>
  <c r="AZ175" i="3"/>
  <c r="AZ143" i="3"/>
  <c r="AZ378" i="3"/>
  <c r="AZ341" i="3"/>
  <c r="AZ327" i="3"/>
  <c r="AZ325" i="3"/>
  <c r="AZ309" i="3"/>
  <c r="BL543" i="3"/>
  <c r="BL547" i="3"/>
  <c r="BL553" i="3"/>
  <c r="AZ553" i="3" s="1"/>
  <c r="BL569" i="3"/>
  <c r="BL557" i="3"/>
  <c r="BL586" i="3"/>
  <c r="G582" i="3"/>
  <c r="G579" i="3"/>
  <c r="G576" i="3"/>
  <c r="G575" i="3"/>
  <c r="G566" i="3"/>
  <c r="G563" i="3"/>
  <c r="G560" i="3"/>
  <c r="G559" i="3"/>
  <c r="G552" i="3"/>
  <c r="BA551" i="3"/>
  <c r="AZ551" i="3" s="1"/>
  <c r="BL550" i="3"/>
  <c r="BA550" i="3"/>
  <c r="G550" i="3"/>
  <c r="G526" i="3"/>
  <c r="G525" i="3"/>
  <c r="BA524" i="3"/>
  <c r="G523" i="3"/>
  <c r="G522" i="3"/>
  <c r="BL521" i="3"/>
  <c r="G521" i="3"/>
  <c r="G520" i="3"/>
  <c r="G519" i="3"/>
  <c r="BA518" i="3"/>
  <c r="AZ518" i="3" s="1"/>
  <c r="BA517" i="3"/>
  <c r="G517" i="3"/>
  <c r="G515" i="3"/>
  <c r="BA514" i="3"/>
  <c r="G514" i="3"/>
  <c r="BL512" i="3"/>
  <c r="G512" i="3"/>
  <c r="G511" i="3"/>
  <c r="BL510" i="3"/>
  <c r="G510" i="3"/>
  <c r="BL509" i="3"/>
  <c r="G508" i="3"/>
  <c r="BA507" i="3"/>
  <c r="AZ507" i="3" s="1"/>
  <c r="G507" i="3"/>
  <c r="BL505" i="3"/>
  <c r="G505" i="3"/>
  <c r="BA502" i="3"/>
  <c r="BL501" i="3"/>
  <c r="G501" i="3"/>
  <c r="G500" i="3"/>
  <c r="BL499" i="3"/>
  <c r="BA499" i="3"/>
  <c r="G498" i="3"/>
  <c r="BL497" i="3"/>
  <c r="G497" i="3"/>
  <c r="G496" i="3"/>
  <c r="BL495" i="3"/>
  <c r="BO5" i="3"/>
  <c r="F29" i="6" s="1"/>
  <c r="BL494" i="3"/>
  <c r="BJ5" i="3"/>
  <c r="BF5" i="3"/>
  <c r="BB5" i="3"/>
  <c r="E14" i="6" s="1"/>
  <c r="E63" i="39" s="1"/>
  <c r="H5" i="3"/>
  <c r="BS5" i="3"/>
  <c r="BN5" i="3"/>
  <c r="BK5" i="3"/>
  <c r="BG5" i="3"/>
  <c r="G493" i="3"/>
  <c r="M20" i="15"/>
  <c r="F34" i="80"/>
  <c r="F62" i="80" s="1"/>
  <c r="M20" i="80"/>
  <c r="BL15" i="3"/>
  <c r="AZ15" i="3" s="1"/>
  <c r="F34" i="68"/>
  <c r="F34" i="81"/>
  <c r="G41" i="69"/>
  <c r="G41" i="81"/>
  <c r="G22" i="8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1" i="3"/>
  <c r="AZ441" i="3" s="1"/>
  <c r="BA442" i="3"/>
  <c r="BL442" i="3"/>
  <c r="G444" i="3"/>
  <c r="BL444" i="3"/>
  <c r="AZ444" i="3" s="1"/>
  <c r="BA445" i="3"/>
  <c r="AZ445" i="3" s="1"/>
  <c r="BA446" i="3"/>
  <c r="AZ446" i="3" s="1"/>
  <c r="BL446" i="3"/>
  <c r="BA447" i="3"/>
  <c r="AZ447" i="3" s="1"/>
  <c r="G450" i="3"/>
  <c r="G454" i="3"/>
  <c r="G456" i="3"/>
  <c r="BL456" i="3"/>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AZ489" i="3" s="1"/>
  <c r="BL491" i="3"/>
  <c r="AZ491" i="3" s="1"/>
  <c r="BA492" i="3"/>
  <c r="AZ492" i="3" s="1"/>
  <c r="G313" i="3"/>
  <c r="BA315" i="3"/>
  <c r="AZ315" i="3" s="1"/>
  <c r="BL316" i="3"/>
  <c r="G318" i="3"/>
  <c r="G329" i="3"/>
  <c r="BA331" i="3"/>
  <c r="AZ331" i="3" s="1"/>
  <c r="BL332" i="3"/>
  <c r="G334" i="3"/>
  <c r="AZ247" i="3"/>
  <c r="AZ98" i="3"/>
  <c r="U18" i="35"/>
  <c r="AB18" i="35"/>
  <c r="AC29" i="39"/>
  <c r="W29" i="39"/>
  <c r="AC25" i="40"/>
  <c r="W25" i="40"/>
  <c r="AA21" i="21"/>
  <c r="S21" i="21"/>
  <c r="AA18" i="35"/>
  <c r="S18" i="35"/>
  <c r="AA18" i="36"/>
  <c r="S18" i="36"/>
  <c r="BL346" i="3"/>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AZ217" i="3" s="1"/>
  <c r="BA219" i="3"/>
  <c r="AZ219" i="3" s="1"/>
  <c r="BA221" i="3"/>
  <c r="AZ221" i="3" s="1"/>
  <c r="BA222" i="3"/>
  <c r="AZ222" i="3" s="1"/>
  <c r="BA223" i="3"/>
  <c r="AZ223" i="3" s="1"/>
  <c r="BA224" i="3"/>
  <c r="AZ224"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G247" i="3"/>
  <c r="BL247" i="3"/>
  <c r="BL249" i="3"/>
  <c r="AZ249" i="3" s="1"/>
  <c r="BL251" i="3"/>
  <c r="AZ251" i="3" s="1"/>
  <c r="BA252" i="3"/>
  <c r="AZ252" i="3" s="1"/>
  <c r="BA253" i="3"/>
  <c r="AZ253" i="3" s="1"/>
  <c r="BA254" i="3"/>
  <c r="AZ254" i="3" s="1"/>
  <c r="BL256" i="3"/>
  <c r="AZ256" i="3" s="1"/>
  <c r="G259" i="3"/>
  <c r="G260" i="3"/>
  <c r="BL260" i="3"/>
  <c r="AZ260" i="3" s="1"/>
  <c r="BA262" i="3"/>
  <c r="AZ262" i="3" s="1"/>
  <c r="BA263" i="3"/>
  <c r="AZ263" i="3" s="1"/>
  <c r="BL265" i="3"/>
  <c r="AZ265" i="3" s="1"/>
  <c r="BA267" i="3"/>
  <c r="AZ267" i="3" s="1"/>
  <c r="BA268" i="3"/>
  <c r="AZ268" i="3" s="1"/>
  <c r="BA269" i="3"/>
  <c r="AZ269" i="3" s="1"/>
  <c r="BL271" i="3"/>
  <c r="AZ271" i="3" s="1"/>
  <c r="BA272" i="3"/>
  <c r="AZ272" i="3" s="1"/>
  <c r="BA273" i="3"/>
  <c r="AZ273" i="3" s="1"/>
  <c r="BL275" i="3"/>
  <c r="AZ275" i="3" s="1"/>
  <c r="G277" i="3"/>
  <c r="BL277" i="3"/>
  <c r="AZ277" i="3" s="1"/>
  <c r="G279" i="3"/>
  <c r="G280" i="3"/>
  <c r="G281" i="3"/>
  <c r="G282" i="3"/>
  <c r="BL282" i="3"/>
  <c r="G285" i="3"/>
  <c r="BL285" i="3"/>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AZ25" i="3" s="1"/>
  <c r="G28" i="3"/>
  <c r="G29" i="3"/>
  <c r="G30" i="3"/>
  <c r="BL30" i="3"/>
  <c r="AZ78" i="3"/>
  <c r="AZ104" i="3"/>
  <c r="AA29" i="71"/>
  <c r="AA27" i="71"/>
  <c r="E30" i="71"/>
  <c r="E31" i="71" s="1"/>
  <c r="E32" i="71" s="1"/>
  <c r="U32" i="71" s="1"/>
  <c r="AA25" i="71"/>
  <c r="AB32" i="71"/>
  <c r="AB27" i="71"/>
  <c r="X37" i="71"/>
  <c r="B38" i="71"/>
  <c r="B39" i="71" s="1"/>
  <c r="B40" i="71" s="1"/>
  <c r="S40" i="71" s="1"/>
  <c r="X36" i="71"/>
  <c r="D51" i="71"/>
  <c r="C52" i="71"/>
  <c r="D54" i="71"/>
  <c r="C55" i="71"/>
  <c r="T68" i="71"/>
  <c r="O68" i="71"/>
  <c r="T76" i="71"/>
  <c r="C75" i="71"/>
  <c r="D88" i="71"/>
  <c r="C87" i="71"/>
  <c r="BL32" i="3"/>
  <c r="AZ32" i="3" s="1"/>
  <c r="G35" i="3"/>
  <c r="G36" i="3"/>
  <c r="BL36" i="3"/>
  <c r="G39" i="3"/>
  <c r="G40" i="3"/>
  <c r="BL40" i="3"/>
  <c r="BL42" i="3"/>
  <c r="AZ42" i="3" s="1"/>
  <c r="BL44" i="3"/>
  <c r="AZ44" i="3" s="1"/>
  <c r="BA46" i="3"/>
  <c r="AZ46" i="3" s="1"/>
  <c r="BA47" i="3"/>
  <c r="AZ47" i="3" s="1"/>
  <c r="BA49" i="3"/>
  <c r="AZ49" i="3" s="1"/>
  <c r="BA50" i="3"/>
  <c r="AZ50" i="3" s="1"/>
  <c r="BA51" i="3"/>
  <c r="AZ51" i="3" s="1"/>
  <c r="BL53" i="3"/>
  <c r="AZ53" i="3" s="1"/>
  <c r="BA54" i="3"/>
  <c r="AZ54" i="3" s="1"/>
  <c r="BA55" i="3"/>
  <c r="AZ55" i="3" s="1"/>
  <c r="G58" i="3"/>
  <c r="G59" i="3"/>
  <c r="G60" i="3"/>
  <c r="BL60" i="3"/>
  <c r="AZ60" i="3" s="1"/>
  <c r="BA62" i="3"/>
  <c r="AZ62" i="3" s="1"/>
  <c r="BA63" i="3"/>
  <c r="AZ63"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BA99" i="3"/>
  <c r="AZ99" i="3" s="1"/>
  <c r="BL101" i="3"/>
  <c r="AZ101" i="3" s="1"/>
  <c r="G104" i="3"/>
  <c r="BL104" i="3"/>
  <c r="BA106" i="3"/>
  <c r="AZ106" i="3" s="1"/>
  <c r="BA107" i="3"/>
  <c r="AZ107" i="3" s="1"/>
  <c r="BL109" i="3"/>
  <c r="AZ109" i="3" s="1"/>
  <c r="BL111" i="3"/>
  <c r="AZ111" i="3" s="1"/>
  <c r="BA112" i="3"/>
  <c r="AZ112" i="3" s="1"/>
  <c r="M47" i="84"/>
  <c r="M47" i="82"/>
  <c r="J51" i="80"/>
  <c r="C51" i="10"/>
  <c r="A13" i="51" s="1"/>
  <c r="B11" i="72" s="1"/>
  <c r="A118" i="84"/>
  <c r="A2" i="84"/>
  <c r="A118" i="82"/>
  <c r="A2" i="82"/>
  <c r="AB30" i="71"/>
  <c r="AA30" i="71"/>
  <c r="X31" i="71"/>
  <c r="AB34" i="71"/>
  <c r="AB33" i="71"/>
  <c r="AA33" i="71"/>
  <c r="AA35" i="71"/>
  <c r="AA36" i="71"/>
  <c r="AB38" i="71"/>
  <c r="AB37" i="71"/>
  <c r="D62" i="71"/>
  <c r="C63" i="71"/>
  <c r="Y27" i="71"/>
  <c r="Z27" i="71" s="1"/>
  <c r="Y25" i="71"/>
  <c r="Z25" i="71" s="1"/>
  <c r="AB24" i="71"/>
  <c r="AB25" i="71"/>
  <c r="AA22" i="71"/>
  <c r="AA26" i="71"/>
  <c r="AB29" i="71"/>
  <c r="X29" i="71"/>
  <c r="AB31" i="71"/>
  <c r="F35" i="71"/>
  <c r="F36" i="71" s="1"/>
  <c r="V36" i="71" s="1"/>
  <c r="X33" i="71"/>
  <c r="AB35" i="71"/>
  <c r="F39" i="71"/>
  <c r="F40" i="71" s="1"/>
  <c r="V40" i="71" s="1"/>
  <c r="B59" i="71"/>
  <c r="B60" i="71" s="1"/>
  <c r="S60" i="71" s="1"/>
  <c r="M56" i="9"/>
  <c r="M56" i="84"/>
  <c r="J56" i="84"/>
  <c r="J57" i="84" s="1"/>
  <c r="J59" i="84" s="1"/>
  <c r="J61" i="84" s="1"/>
  <c r="N56" i="84"/>
  <c r="K56" i="84"/>
  <c r="N56" i="82"/>
  <c r="K56" i="82"/>
  <c r="M56" i="82"/>
  <c r="J56" i="82"/>
  <c r="J57" i="82" s="1"/>
  <c r="J59" i="82" s="1"/>
  <c r="J61" i="82" s="1"/>
  <c r="AB21" i="71"/>
  <c r="Y21" i="71"/>
  <c r="Z21" i="71" s="1"/>
  <c r="S33" i="33"/>
  <c r="W33" i="33"/>
  <c r="U41" i="33"/>
  <c r="F3" i="35"/>
  <c r="B7" i="1"/>
  <c r="E7" i="1" s="1"/>
  <c r="G1" i="80"/>
  <c r="G1" i="81"/>
  <c r="F15" i="33"/>
  <c r="AA15" i="33" s="1"/>
  <c r="U15" i="33"/>
  <c r="D16" i="53"/>
  <c r="B34" i="72" s="1"/>
  <c r="M7" i="1"/>
  <c r="M18" i="82"/>
  <c r="B118" i="82" s="1"/>
  <c r="J41" i="33"/>
  <c r="W41" i="33" s="1"/>
  <c r="S41" i="33"/>
  <c r="F111" i="33"/>
  <c r="F36" i="33" s="1"/>
  <c r="H36" i="33"/>
  <c r="U36" i="33" s="1"/>
  <c r="S23" i="33"/>
  <c r="AC23" i="33"/>
  <c r="W21" i="33"/>
  <c r="U19" i="33"/>
  <c r="AA19" i="33"/>
  <c r="S17" i="33"/>
  <c r="F7" i="1"/>
  <c r="G7" i="1" s="1"/>
  <c r="G6" i="1"/>
  <c r="I24" i="43"/>
  <c r="C24" i="43" s="1"/>
  <c r="F11" i="1"/>
  <c r="G11" i="1" s="1"/>
  <c r="C18" i="9"/>
  <c r="D18" i="9" s="1"/>
  <c r="D52" i="43"/>
  <c r="D55" i="43"/>
  <c r="F34" i="15"/>
  <c r="F62" i="15" s="1"/>
  <c r="F34" i="67"/>
  <c r="F62" i="67" s="1"/>
  <c r="F30" i="69"/>
  <c r="F48" i="69" s="1"/>
  <c r="F31" i="12"/>
  <c r="F54" i="9"/>
  <c r="M18" i="15"/>
  <c r="M18" i="67"/>
  <c r="F30" i="11"/>
  <c r="C48" i="11" s="1"/>
  <c r="D68" i="9"/>
  <c r="F28" i="15"/>
  <c r="F32" i="15"/>
  <c r="F60" i="15" s="1"/>
  <c r="F32" i="67"/>
  <c r="F60" i="67" s="1"/>
  <c r="F52" i="9"/>
  <c r="F28" i="67"/>
  <c r="C28" i="67" s="1"/>
  <c r="F30" i="68"/>
  <c r="F48" i="68" s="1"/>
  <c r="G1" i="67"/>
  <c r="G1" i="15"/>
  <c r="B6" i="1"/>
  <c r="E6" i="1" s="1"/>
  <c r="K1" i="12"/>
  <c r="F28" i="6"/>
  <c r="G29" i="6"/>
  <c r="H50" i="43"/>
  <c r="G50" i="43" s="1"/>
  <c r="AZ527" i="3"/>
  <c r="E19" i="71"/>
  <c r="E18" i="71" s="1"/>
  <c r="E17" i="71" s="1"/>
  <c r="E16" i="71" s="1"/>
  <c r="V20" i="71"/>
  <c r="C21" i="71"/>
  <c r="AB31" i="33"/>
  <c r="U31" i="33"/>
  <c r="W30" i="34"/>
  <c r="AC30" i="34"/>
  <c r="S46" i="34"/>
  <c r="AA46" i="34"/>
  <c r="AC27" i="37"/>
  <c r="W27" i="37"/>
  <c r="AC40" i="37"/>
  <c r="W40" i="37"/>
  <c r="AZ499" i="3"/>
  <c r="S13" i="35"/>
  <c r="AB46" i="33"/>
  <c r="U46" i="33"/>
  <c r="AA28" i="34"/>
  <c r="S28" i="34"/>
  <c r="AB33" i="35"/>
  <c r="U33" i="35"/>
  <c r="H13" i="33"/>
  <c r="U13" i="33" s="1"/>
  <c r="F13" i="33"/>
  <c r="J12" i="34"/>
  <c r="F12" i="34"/>
  <c r="H12" i="34"/>
  <c r="AB9" i="39"/>
  <c r="U9" i="39"/>
  <c r="BA549" i="3"/>
  <c r="AZ549" i="3" s="1"/>
  <c r="BA541" i="3"/>
  <c r="AZ541" i="3" s="1"/>
  <c r="BL539" i="3"/>
  <c r="AZ539" i="3" s="1"/>
  <c r="BA537" i="3"/>
  <c r="AZ537" i="3" s="1"/>
  <c r="BL535" i="3"/>
  <c r="AZ535" i="3" s="1"/>
  <c r="BA533" i="3"/>
  <c r="AZ533" i="3" s="1"/>
  <c r="BL531" i="3"/>
  <c r="BA529" i="3"/>
  <c r="AZ529" i="3" s="1"/>
  <c r="BL527" i="3"/>
  <c r="BA525" i="3"/>
  <c r="AZ525" i="3" s="1"/>
  <c r="BL523" i="3"/>
  <c r="AZ523" i="3" s="1"/>
  <c r="BA521" i="3"/>
  <c r="AZ521" i="3" s="1"/>
  <c r="BL519" i="3"/>
  <c r="BA519" i="3"/>
  <c r="AZ519" i="3" s="1"/>
  <c r="BL515" i="3"/>
  <c r="BA515" i="3"/>
  <c r="AZ515" i="3" s="1"/>
  <c r="BL511" i="3"/>
  <c r="BA511" i="3"/>
  <c r="AZ511" i="3" s="1"/>
  <c r="BA510" i="3"/>
  <c r="AZ510" i="3" s="1"/>
  <c r="BA509" i="3"/>
  <c r="AZ509" i="3" s="1"/>
  <c r="BL508" i="3"/>
  <c r="BA508" i="3"/>
  <c r="AZ508" i="3" s="1"/>
  <c r="BL506" i="3"/>
  <c r="BL504" i="3"/>
  <c r="BA504" i="3"/>
  <c r="BA501" i="3"/>
  <c r="AZ501" i="3" s="1"/>
  <c r="BL498" i="3"/>
  <c r="BA498" i="3"/>
  <c r="AZ498" i="3" s="1"/>
  <c r="BA497" i="3"/>
  <c r="BL496" i="3"/>
  <c r="BA496" i="3"/>
  <c r="BA493" i="3"/>
  <c r="AZ493" i="3" s="1"/>
  <c r="H69" i="43"/>
  <c r="AB45" i="21"/>
  <c r="S13" i="21"/>
  <c r="S17" i="37"/>
  <c r="W31" i="21"/>
  <c r="U17" i="21"/>
  <c r="J9" i="21"/>
  <c r="W8" i="33"/>
  <c r="U37" i="33"/>
  <c r="AC32" i="34"/>
  <c r="W33" i="34"/>
  <c r="AB45" i="34"/>
  <c r="AA40" i="34"/>
  <c r="AA29" i="37"/>
  <c r="S28" i="37"/>
  <c r="S24" i="35"/>
  <c r="W29" i="36"/>
  <c r="S8" i="39"/>
  <c r="W34" i="39"/>
  <c r="AC41" i="39"/>
  <c r="AC14" i="40"/>
  <c r="U32" i="40"/>
  <c r="H67" i="43"/>
  <c r="U29" i="34"/>
  <c r="D120" i="9"/>
  <c r="AB14" i="33"/>
  <c r="U9" i="33"/>
  <c r="S15" i="33"/>
  <c r="W43" i="33"/>
  <c r="AB29" i="33"/>
  <c r="AA35" i="33"/>
  <c r="AA25" i="34"/>
  <c r="AC39" i="34"/>
  <c r="U44" i="34"/>
  <c r="S37" i="37"/>
  <c r="W38" i="37"/>
  <c r="AB40" i="37"/>
  <c r="AB13" i="35"/>
  <c r="AB20" i="36"/>
  <c r="AA25" i="36"/>
  <c r="S15" i="39"/>
  <c r="U31" i="39"/>
  <c r="U25" i="39"/>
  <c r="U37" i="39"/>
  <c r="AA32" i="40"/>
  <c r="AC36" i="40"/>
  <c r="AC34" i="33"/>
  <c r="S19" i="39"/>
  <c r="AA47" i="34"/>
  <c r="AA39" i="34"/>
  <c r="S15" i="37"/>
  <c r="AC11" i="39"/>
  <c r="S14" i="35"/>
  <c r="BC5" i="3"/>
  <c r="AC5" i="3"/>
  <c r="AB34" i="39"/>
  <c r="AC12" i="37"/>
  <c r="W44" i="21"/>
  <c r="U11" i="33"/>
  <c r="AC45" i="33"/>
  <c r="U35" i="35"/>
  <c r="AA36" i="39"/>
  <c r="AZ557" i="3"/>
  <c r="AZ579" i="3"/>
  <c r="AZ562" i="3"/>
  <c r="AZ570" i="3"/>
  <c r="AA14" i="34"/>
  <c r="U31" i="34"/>
  <c r="J14" i="34"/>
  <c r="J29" i="33"/>
  <c r="J13" i="21"/>
  <c r="S29" i="35"/>
  <c r="AA29" i="35"/>
  <c r="W40" i="33"/>
  <c r="AB23" i="40"/>
  <c r="U23" i="40"/>
  <c r="S39" i="37"/>
  <c r="AA39" i="37"/>
  <c r="AA34" i="21"/>
  <c r="S34" i="21"/>
  <c r="J29" i="21"/>
  <c r="H29"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H13" i="40"/>
  <c r="J13" i="40"/>
  <c r="F13" i="40"/>
  <c r="W38" i="34"/>
  <c r="AC38" i="34"/>
  <c r="BL580" i="3"/>
  <c r="BL577" i="3"/>
  <c r="BA577" i="3"/>
  <c r="BL574" i="3"/>
  <c r="AZ574" i="3" s="1"/>
  <c r="BL565" i="3"/>
  <c r="BA565" i="3"/>
  <c r="AZ565" i="3" s="1"/>
  <c r="BL564" i="3"/>
  <c r="BA561" i="3"/>
  <c r="AZ561" i="3" s="1"/>
  <c r="BL559" i="3"/>
  <c r="AZ559" i="3" s="1"/>
  <c r="BL558" i="3"/>
  <c r="BA558" i="3"/>
  <c r="G28" i="6"/>
  <c r="E28" i="6" s="1"/>
  <c r="K14" i="1" s="1"/>
  <c r="AZ513" i="3"/>
  <c r="AZ526" i="3"/>
  <c r="AZ564" i="3"/>
  <c r="AZ580" i="3"/>
  <c r="U17" i="34"/>
  <c r="AB17" i="34"/>
  <c r="AC36" i="39"/>
  <c r="W36" i="39"/>
  <c r="W45" i="39"/>
  <c r="AC45" i="39"/>
  <c r="BA585" i="3"/>
  <c r="B94" i="43"/>
  <c r="B73" i="43"/>
  <c r="C21" i="39"/>
  <c r="B99" i="43"/>
  <c r="B76" i="43"/>
  <c r="C27" i="39"/>
  <c r="U12" i="33"/>
  <c r="AB12" i="33"/>
  <c r="AB33" i="33"/>
  <c r="U33" i="33"/>
  <c r="F31" i="33"/>
  <c r="J31" i="33"/>
  <c r="H45" i="33"/>
  <c r="F45" i="33"/>
  <c r="H30" i="34"/>
  <c r="F30" i="34"/>
  <c r="F32" i="34"/>
  <c r="H32" i="34"/>
  <c r="J46" i="34"/>
  <c r="H46" i="34"/>
  <c r="H12" i="35"/>
  <c r="J12" i="35"/>
  <c r="J11" i="35"/>
  <c r="F11" i="35"/>
  <c r="H11" i="35"/>
  <c r="AB11" i="35" s="1"/>
  <c r="H27" i="37"/>
  <c r="F27" i="37"/>
  <c r="BA540" i="3"/>
  <c r="AZ540" i="3" s="1"/>
  <c r="BA538" i="3"/>
  <c r="AZ538" i="3" s="1"/>
  <c r="BL536" i="3"/>
  <c r="BA536" i="3"/>
  <c r="AZ536" i="3" s="1"/>
  <c r="BL534" i="3"/>
  <c r="BA534" i="3"/>
  <c r="AZ534" i="3" s="1"/>
  <c r="BL532" i="3"/>
  <c r="BA532" i="3"/>
  <c r="AZ532" i="3" s="1"/>
  <c r="BA530" i="3"/>
  <c r="AZ530" i="3" s="1"/>
  <c r="BL528" i="3"/>
  <c r="AZ528" i="3" s="1"/>
  <c r="BL526" i="3"/>
  <c r="BL524" i="3"/>
  <c r="AZ524" i="3" s="1"/>
  <c r="BL520" i="3"/>
  <c r="BA520" i="3"/>
  <c r="AZ520" i="3" s="1"/>
  <c r="BL516" i="3"/>
  <c r="AZ516" i="3" s="1"/>
  <c r="BL514" i="3"/>
  <c r="AZ514" i="3" s="1"/>
  <c r="BA512" i="3"/>
  <c r="BA505" i="3"/>
  <c r="AZ505" i="3" s="1"/>
  <c r="U23" i="34"/>
  <c r="AB23" i="34"/>
  <c r="W11" i="40"/>
  <c r="AC11" i="40"/>
  <c r="BL587" i="3"/>
  <c r="AZ587" i="3" s="1"/>
  <c r="F12" i="21"/>
  <c r="J12" i="21"/>
  <c r="B72" i="43"/>
  <c r="C15" i="39"/>
  <c r="B101" i="43"/>
  <c r="B79" i="43"/>
  <c r="B97" i="43"/>
  <c r="B75" i="43"/>
  <c r="AB40" i="33"/>
  <c r="U40" i="33"/>
  <c r="H28" i="33"/>
  <c r="F28" i="33"/>
  <c r="J28" i="33"/>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AZ548" i="3" s="1"/>
  <c r="AZ416" i="3"/>
  <c r="AZ425" i="3"/>
  <c r="AZ432" i="3"/>
  <c r="AZ399" i="3"/>
  <c r="AZ404" i="3"/>
  <c r="AZ430" i="3"/>
  <c r="AZ440" i="3"/>
  <c r="AZ443" i="3"/>
  <c r="AZ451" i="3"/>
  <c r="AZ456" i="3"/>
  <c r="AZ472" i="3"/>
  <c r="AZ475" i="3"/>
  <c r="AZ483" i="3"/>
  <c r="AZ316" i="3"/>
  <c r="AZ332" i="3"/>
  <c r="AZ397" i="3"/>
  <c r="AZ212" i="3"/>
  <c r="AZ220" i="3"/>
  <c r="AZ225" i="3"/>
  <c r="AZ228" i="3"/>
  <c r="AZ264" i="3"/>
  <c r="AZ270" i="3"/>
  <c r="AZ282" i="3"/>
  <c r="AZ285" i="3"/>
  <c r="AZ290" i="3"/>
  <c r="AZ153" i="3"/>
  <c r="AZ169" i="3"/>
  <c r="AZ185" i="3"/>
  <c r="AZ201" i="3"/>
  <c r="AZ207" i="3"/>
  <c r="AZ30" i="3"/>
  <c r="AZ36" i="3"/>
  <c r="AZ40" i="3"/>
  <c r="B13" i="1"/>
  <c r="E13" i="1" s="1"/>
  <c r="K13" i="1"/>
  <c r="M13" i="1" s="1"/>
  <c r="O13" i="1" s="1"/>
  <c r="P13" i="1" s="1"/>
  <c r="D35" i="71"/>
  <c r="C36" i="71"/>
  <c r="B27" i="71"/>
  <c r="B26" i="71" s="1"/>
  <c r="S28" i="71"/>
  <c r="C39" i="71"/>
  <c r="D38" i="71"/>
  <c r="C43" i="71"/>
  <c r="D42" i="71"/>
  <c r="C47" i="71"/>
  <c r="D47" i="71" s="1"/>
  <c r="D46" i="71"/>
  <c r="N65" i="71"/>
  <c r="N66" i="71"/>
  <c r="AZ48" i="3"/>
  <c r="AZ52" i="3"/>
  <c r="AZ64" i="3"/>
  <c r="AZ68" i="3"/>
  <c r="AZ108" i="3"/>
  <c r="F40" i="68"/>
  <c r="C21" i="68"/>
  <c r="F40" i="69"/>
  <c r="C40" i="69"/>
  <c r="AA21" i="33"/>
  <c r="B100" i="43"/>
  <c r="B77" i="43"/>
  <c r="B68" i="43"/>
  <c r="C29" i="39"/>
  <c r="B57" i="43"/>
  <c r="AA21" i="34"/>
  <c r="S21" i="34"/>
  <c r="P66" i="71"/>
  <c r="P65" i="71"/>
  <c r="C26" i="71"/>
  <c r="D26" i="71" s="1"/>
  <c r="D27" i="71"/>
  <c r="F30" i="71"/>
  <c r="F31" i="71" s="1"/>
  <c r="F32" i="71" s="1"/>
  <c r="V32" i="71" s="1"/>
  <c r="Y9" i="71"/>
  <c r="Z9" i="71" s="1"/>
  <c r="AA9" i="71"/>
  <c r="V68" i="71"/>
  <c r="F67" i="71"/>
  <c r="Y22" i="71"/>
  <c r="Z22" i="71" s="1"/>
  <c r="AA23" i="71"/>
  <c r="AB23" i="71"/>
  <c r="X22" i="71"/>
  <c r="X21" i="71"/>
  <c r="AA18" i="71"/>
  <c r="Y18" i="71"/>
  <c r="Z18" i="71" s="1"/>
  <c r="AB18" i="71"/>
  <c r="Y14" i="71"/>
  <c r="Z14" i="71" s="1"/>
  <c r="Y17" i="71"/>
  <c r="Z17" i="71" s="1"/>
  <c r="AB17" i="71"/>
  <c r="AB13" i="71"/>
  <c r="Y10" i="71"/>
  <c r="Z10" i="71" s="1"/>
  <c r="Y13" i="71"/>
  <c r="Z13" i="71" s="1"/>
  <c r="AA13" i="71"/>
  <c r="X12" i="71"/>
  <c r="V28" i="71"/>
  <c r="AA28" i="71"/>
  <c r="AB28" i="71"/>
  <c r="AB26" i="71"/>
  <c r="D76" i="71"/>
  <c r="Q68" i="71"/>
  <c r="D68" i="71"/>
  <c r="X28" i="71"/>
  <c r="X26" i="71"/>
  <c r="Y28" i="71"/>
  <c r="Z28" i="71" s="1"/>
  <c r="Y26" i="71"/>
  <c r="Z26" i="71" s="1"/>
  <c r="X35" i="71"/>
  <c r="X34" i="71"/>
  <c r="AA32" i="71"/>
  <c r="AA31" i="71"/>
  <c r="AA37" i="71"/>
  <c r="X9" i="71"/>
  <c r="X10" i="71"/>
  <c r="Y39" i="71"/>
  <c r="Z39" i="71" s="1"/>
  <c r="AA39" i="71"/>
  <c r="AB9" i="71"/>
  <c r="X24" i="71"/>
  <c r="AA24" i="71"/>
  <c r="Y24" i="71"/>
  <c r="Z24" i="71" s="1"/>
  <c r="Y23" i="71"/>
  <c r="Z23" i="71" s="1"/>
  <c r="AA21" i="71"/>
  <c r="X15" i="71"/>
  <c r="X14" i="71"/>
  <c r="X11" i="71"/>
  <c r="AA15" i="71"/>
  <c r="AA12" i="71"/>
  <c r="AA11" i="71"/>
  <c r="X17" i="71"/>
  <c r="AA17" i="71"/>
  <c r="AB11" i="71"/>
  <c r="AB10" i="71"/>
  <c r="Y11" i="71"/>
  <c r="Z11" i="71" s="1"/>
  <c r="AA10" i="71"/>
  <c r="AA14" i="71"/>
  <c r="X13" i="71"/>
  <c r="AB15" i="71"/>
  <c r="AB12" i="71"/>
  <c r="AB14" i="71"/>
  <c r="Y12" i="71"/>
  <c r="Z12" i="71" s="1"/>
  <c r="H83" i="43"/>
  <c r="D74" i="43"/>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F43" i="80"/>
  <c r="F13" i="80"/>
  <c r="F42" i="80"/>
  <c r="J15" i="80"/>
  <c r="M29" i="15"/>
  <c r="F9" i="15"/>
  <c r="D3" i="73"/>
  <c r="D5" i="73"/>
  <c r="M9" i="80"/>
  <c r="M28" i="80"/>
  <c r="F42" i="67"/>
  <c r="M23" i="67"/>
  <c r="F43" i="15"/>
  <c r="C76" i="67"/>
  <c r="M22" i="80"/>
  <c r="L47" i="15"/>
  <c r="L47" i="67"/>
  <c r="F38" i="67"/>
  <c r="M26" i="67"/>
  <c r="M29" i="80"/>
  <c r="F16" i="80"/>
  <c r="F9" i="80"/>
  <c r="F36" i="15"/>
  <c r="J15" i="15"/>
  <c r="M23" i="15"/>
  <c r="L48" i="15"/>
  <c r="D9" i="81"/>
  <c r="F8" i="80"/>
  <c r="M23" i="80"/>
  <c r="F36" i="67"/>
  <c r="C76" i="15"/>
  <c r="C36" i="68"/>
  <c r="C36" i="81"/>
  <c r="M8" i="80"/>
  <c r="F38" i="15"/>
  <c r="F13" i="15"/>
  <c r="M24" i="15"/>
  <c r="F27" i="81"/>
  <c r="J15" i="67"/>
  <c r="F6" i="67"/>
  <c r="F37" i="15"/>
  <c r="L48" i="80"/>
  <c r="F26" i="67"/>
  <c r="M24" i="80"/>
  <c r="F26" i="80"/>
  <c r="M26" i="15"/>
  <c r="F42" i="15"/>
  <c r="F40" i="15"/>
  <c r="C76" i="80"/>
  <c r="M28" i="15"/>
  <c r="M22" i="15"/>
  <c r="M26" i="80"/>
  <c r="F8" i="15"/>
  <c r="D7" i="73"/>
  <c r="F6" i="80"/>
  <c r="M6" i="80"/>
  <c r="F38" i="80"/>
  <c r="F26" i="15"/>
  <c r="F7" i="15"/>
  <c r="M9" i="15"/>
  <c r="M8" i="15"/>
  <c r="F7" i="80"/>
  <c r="F40" i="80"/>
  <c r="M24" i="67"/>
  <c r="M29" i="67"/>
  <c r="F36" i="80"/>
  <c r="M27" i="80"/>
  <c r="D4" i="73"/>
  <c r="F37" i="80"/>
  <c r="F16" i="15"/>
  <c r="L47" i="80"/>
  <c r="F40" i="67"/>
  <c r="M28" i="67"/>
  <c r="F43" i="67"/>
  <c r="D9" i="68"/>
  <c r="E29" i="6" l="1"/>
  <c r="K15" i="1" s="1"/>
  <c r="F30" i="6"/>
  <c r="K53" i="43"/>
  <c r="J53" i="43" s="1"/>
  <c r="M53" i="43"/>
  <c r="N53" i="43" s="1"/>
  <c r="D53" i="43" s="1"/>
  <c r="K56" i="43"/>
  <c r="J56" i="43" s="1"/>
  <c r="D56" i="43" s="1"/>
  <c r="M56" i="43"/>
  <c r="N56" i="43" s="1"/>
  <c r="K58" i="43"/>
  <c r="M58" i="43"/>
  <c r="N58" i="43" s="1"/>
  <c r="K50" i="43"/>
  <c r="J50" i="43" s="1"/>
  <c r="M50" i="43"/>
  <c r="N50" i="43" s="1"/>
  <c r="C64" i="71"/>
  <c r="D63" i="71"/>
  <c r="D66" i="71"/>
  <c r="O66" i="71"/>
  <c r="O65" i="71"/>
  <c r="AC38" i="40"/>
  <c r="W38" i="40"/>
  <c r="AA27" i="40"/>
  <c r="S27" i="40"/>
  <c r="AB27" i="40"/>
  <c r="U27" i="40"/>
  <c r="AA25" i="37"/>
  <c r="S25" i="37"/>
  <c r="AB12" i="36"/>
  <c r="U12" i="36"/>
  <c r="AA44" i="21"/>
  <c r="S44" i="21"/>
  <c r="AB27" i="21"/>
  <c r="U27" i="21"/>
  <c r="AB30" i="33"/>
  <c r="U30" i="33"/>
  <c r="AA46" i="33"/>
  <c r="S46" i="33"/>
  <c r="AC31" i="34"/>
  <c r="W31" i="34"/>
  <c r="AC47" i="34"/>
  <c r="W47" i="34"/>
  <c r="U43" i="39"/>
  <c r="AB43" i="39"/>
  <c r="U9" i="21"/>
  <c r="AB9" i="21"/>
  <c r="AZ543" i="3"/>
  <c r="AC39" i="40"/>
  <c r="W39" i="40"/>
  <c r="S33" i="40"/>
  <c r="AA33" i="40"/>
  <c r="U31" i="40"/>
  <c r="AB31" i="40"/>
  <c r="AA43" i="39"/>
  <c r="S43" i="39"/>
  <c r="U13" i="39"/>
  <c r="AB13" i="39"/>
  <c r="AC25" i="37"/>
  <c r="W25" i="37"/>
  <c r="AA26" i="37"/>
  <c r="S26" i="37"/>
  <c r="S34" i="36"/>
  <c r="AA34" i="36"/>
  <c r="AB34" i="36"/>
  <c r="U34" i="36"/>
  <c r="AC24" i="35"/>
  <c r="W24" i="35"/>
  <c r="W29" i="34"/>
  <c r="AC29" i="34"/>
  <c r="AC46" i="33"/>
  <c r="W46" i="33"/>
  <c r="W27" i="34"/>
  <c r="AC27" i="34"/>
  <c r="AA26" i="33"/>
  <c r="S26" i="33"/>
  <c r="U14" i="21"/>
  <c r="AB14" i="21"/>
  <c r="F48" i="81"/>
  <c r="C48" i="81"/>
  <c r="C30" i="81"/>
  <c r="K57" i="43"/>
  <c r="J57" i="43" s="1"/>
  <c r="D57" i="43" s="1"/>
  <c r="M57" i="43"/>
  <c r="N57" i="43" s="1"/>
  <c r="M52" i="43"/>
  <c r="N52" i="43" s="1"/>
  <c r="K52" i="43"/>
  <c r="J52" i="43" s="1"/>
  <c r="M55" i="43"/>
  <c r="N55" i="43" s="1"/>
  <c r="K55" i="43"/>
  <c r="J55" i="43" s="1"/>
  <c r="F26" i="43"/>
  <c r="E10" i="6"/>
  <c r="E15" i="6"/>
  <c r="E64" i="39" s="1"/>
  <c r="E8" i="6"/>
  <c r="F27" i="6" s="1"/>
  <c r="C30" i="11"/>
  <c r="M51" i="43"/>
  <c r="N51" i="43" s="1"/>
  <c r="K51" i="43"/>
  <c r="G30" i="6"/>
  <c r="G31" i="6" s="1"/>
  <c r="AA12" i="37"/>
  <c r="AZ512" i="3"/>
  <c r="AZ585" i="3"/>
  <c r="AB28" i="37"/>
  <c r="S45" i="21"/>
  <c r="AZ497" i="3"/>
  <c r="AZ531" i="3"/>
  <c r="C86" i="71"/>
  <c r="D86" i="71" s="1"/>
  <c r="D87" i="71"/>
  <c r="C74" i="71"/>
  <c r="D74" i="71" s="1"/>
  <c r="D75" i="71"/>
  <c r="D55" i="71"/>
  <c r="C56" i="71"/>
  <c r="T52" i="71"/>
  <c r="D52" i="71"/>
  <c r="AZ477" i="3"/>
  <c r="AZ459" i="3"/>
  <c r="AZ442" i="3"/>
  <c r="AZ406" i="3"/>
  <c r="AZ495" i="3"/>
  <c r="AZ502" i="3"/>
  <c r="AZ517" i="3"/>
  <c r="AZ550" i="3"/>
  <c r="AZ569" i="3"/>
  <c r="AZ566" i="3"/>
  <c r="AA38" i="40"/>
  <c r="S38" i="40"/>
  <c r="AC32" i="40"/>
  <c r="W32" i="40"/>
  <c r="AC27" i="40"/>
  <c r="W27" i="40"/>
  <c r="AB26" i="37"/>
  <c r="U26" i="37"/>
  <c r="S12" i="36"/>
  <c r="AA12" i="36"/>
  <c r="AC12" i="36"/>
  <c r="W12" i="36"/>
  <c r="U44" i="21"/>
  <c r="AB44" i="21"/>
  <c r="W27" i="21"/>
  <c r="AC27" i="21"/>
  <c r="AA27" i="34"/>
  <c r="S27" i="34"/>
  <c r="U44" i="33"/>
  <c r="AB44" i="33"/>
  <c r="AA13" i="34"/>
  <c r="S13" i="34"/>
  <c r="W45" i="34"/>
  <c r="AC45" i="34"/>
  <c r="AB38" i="37"/>
  <c r="U38" i="37"/>
  <c r="AA12" i="33"/>
  <c r="S12" i="33"/>
  <c r="AZ494" i="3"/>
  <c r="AZ556" i="3"/>
  <c r="AZ578" i="3"/>
  <c r="U39" i="40"/>
  <c r="AB39" i="40"/>
  <c r="U33" i="40"/>
  <c r="AB33" i="40"/>
  <c r="W33" i="40"/>
  <c r="AC33" i="40"/>
  <c r="AC31" i="40"/>
  <c r="W31" i="40"/>
  <c r="W43" i="39"/>
  <c r="AC43" i="39"/>
  <c r="AA13" i="39"/>
  <c r="S13" i="39"/>
  <c r="U25" i="37"/>
  <c r="AB25" i="37"/>
  <c r="AC26" i="37"/>
  <c r="W26" i="37"/>
  <c r="AA11" i="36"/>
  <c r="S11" i="36"/>
  <c r="AB24" i="35"/>
  <c r="U24" i="35"/>
  <c r="S45" i="34"/>
  <c r="AA45" i="34"/>
  <c r="AC14" i="33"/>
  <c r="W14" i="33"/>
  <c r="AB27" i="34"/>
  <c r="U27" i="34"/>
  <c r="AB26" i="33"/>
  <c r="U26" i="33"/>
  <c r="AC26" i="33"/>
  <c r="W26" i="33"/>
  <c r="W45" i="21"/>
  <c r="AC45" i="21"/>
  <c r="W14" i="21"/>
  <c r="AC14" i="21"/>
  <c r="F65" i="80"/>
  <c r="F66" i="80"/>
  <c r="Q71" i="80"/>
  <c r="C27" i="80"/>
  <c r="F68" i="80"/>
  <c r="F51" i="80"/>
  <c r="F64" i="80"/>
  <c r="C6" i="80"/>
  <c r="C33" i="80" s="1"/>
  <c r="N59" i="80"/>
  <c r="L59" i="80"/>
  <c r="M59" i="80"/>
  <c r="M7" i="80"/>
  <c r="J6" i="80" s="1"/>
  <c r="J18" i="80" s="1"/>
  <c r="F50" i="80"/>
  <c r="F71" i="80"/>
  <c r="C29" i="81"/>
  <c r="D27" i="81" s="1"/>
  <c r="F45" i="81"/>
  <c r="C47" i="81"/>
  <c r="D45" i="81" s="1"/>
  <c r="C9" i="81"/>
  <c r="O7" i="1"/>
  <c r="P7" i="1" s="1"/>
  <c r="J19" i="80"/>
  <c r="AC41" i="33"/>
  <c r="AA36" i="33"/>
  <c r="S36" i="33"/>
  <c r="AB36" i="33"/>
  <c r="J36" i="33"/>
  <c r="G111" i="33"/>
  <c r="H111" i="33" s="1"/>
  <c r="I111" i="33" s="1"/>
  <c r="J111" i="33" s="1"/>
  <c r="K111" i="33" s="1"/>
  <c r="L111" i="33" s="1"/>
  <c r="M111" i="33" s="1"/>
  <c r="L58" i="80"/>
  <c r="Q73" i="80" s="1"/>
  <c r="J57" i="80"/>
  <c r="J55" i="80" s="1"/>
  <c r="J58" i="80" s="1"/>
  <c r="Q50" i="80" s="1"/>
  <c r="J59" i="80"/>
  <c r="J53" i="80"/>
  <c r="Q52" i="80" s="1"/>
  <c r="L60" i="80"/>
  <c r="Q57" i="80" s="1"/>
  <c r="L57" i="80"/>
  <c r="J60" i="80"/>
  <c r="Q48" i="80" s="1"/>
  <c r="L56" i="80"/>
  <c r="I54" i="80"/>
  <c r="F70" i="15"/>
  <c r="F11" i="80"/>
  <c r="M11" i="80"/>
  <c r="J10" i="80" s="1"/>
  <c r="N370" i="46"/>
  <c r="G26" i="43"/>
  <c r="C30" i="68"/>
  <c r="L59" i="67"/>
  <c r="Q61" i="67" s="1"/>
  <c r="M59" i="67"/>
  <c r="N59" i="67"/>
  <c r="F71" i="67"/>
  <c r="C27" i="67"/>
  <c r="F68" i="67"/>
  <c r="F66" i="67"/>
  <c r="F64" i="67"/>
  <c r="Q71" i="67"/>
  <c r="J53" i="15"/>
  <c r="L56" i="15" s="1"/>
  <c r="I54" i="15"/>
  <c r="J57" i="15"/>
  <c r="J55" i="15" s="1"/>
  <c r="J58" i="15" s="1"/>
  <c r="Q50" i="15" s="1"/>
  <c r="F65" i="15"/>
  <c r="F50" i="15"/>
  <c r="M7" i="15"/>
  <c r="C27" i="15"/>
  <c r="Q71" i="15"/>
  <c r="F51" i="15"/>
  <c r="C49" i="15" s="1"/>
  <c r="N59" i="15"/>
  <c r="M59" i="15"/>
  <c r="L59" i="15"/>
  <c r="Q61" i="15" s="1"/>
  <c r="L58" i="15"/>
  <c r="Q60" i="15" s="1"/>
  <c r="F66" i="15"/>
  <c r="F64" i="15"/>
  <c r="F71" i="15"/>
  <c r="F68" i="15"/>
  <c r="N94" i="46"/>
  <c r="E26" i="43"/>
  <c r="J26" i="43"/>
  <c r="P6" i="1"/>
  <c r="C13" i="12" s="1"/>
  <c r="K16" i="1"/>
  <c r="G16" i="1"/>
  <c r="F10" i="39" s="1"/>
  <c r="AA10" i="39" s="1"/>
  <c r="Q16" i="1"/>
  <c r="F27" i="69" s="1"/>
  <c r="C47" i="69" s="1"/>
  <c r="D45" i="69" s="1"/>
  <c r="H16" i="1"/>
  <c r="K1" i="7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21" i="3"/>
  <c r="E329" i="3"/>
  <c r="E205" i="3"/>
  <c r="E16" i="3"/>
  <c r="E296" i="3"/>
  <c r="E188" i="3"/>
  <c r="E140" i="3"/>
  <c r="E223" i="3"/>
  <c r="E116" i="3"/>
  <c r="E173" i="3"/>
  <c r="E105" i="3"/>
  <c r="E369" i="3"/>
  <c r="T6" i="3"/>
  <c r="E543"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AC6" i="3" s="1"/>
  <c r="E50" i="3"/>
  <c r="E102" i="3"/>
  <c r="E20" i="3"/>
  <c r="E80" i="3"/>
  <c r="E62" i="3"/>
  <c r="E113" i="3"/>
  <c r="E176" i="3"/>
  <c r="E158" i="3"/>
  <c r="E218" i="3"/>
  <c r="E287" i="3"/>
  <c r="E265" i="3"/>
  <c r="E326" i="3"/>
  <c r="E22" i="3"/>
  <c r="E101" i="3"/>
  <c r="E83" i="3"/>
  <c r="E19" i="3"/>
  <c r="E342" i="3"/>
  <c r="E365" i="3"/>
  <c r="E494" i="3"/>
  <c r="E137" i="3"/>
  <c r="E524" i="3"/>
  <c r="E564" i="3"/>
  <c r="E383" i="3"/>
  <c r="E521" i="3"/>
  <c r="E517" i="3"/>
  <c r="E512" i="3"/>
  <c r="E4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93" i="3"/>
  <c r="E340" i="3"/>
  <c r="E15" i="3"/>
  <c r="E197" i="3"/>
  <c r="E356" i="3"/>
  <c r="E540" i="3"/>
  <c r="E534" i="3"/>
  <c r="E308" i="3"/>
  <c r="E360" i="3"/>
  <c r="E525" i="3"/>
  <c r="E522" i="3"/>
  <c r="E520" i="3"/>
  <c r="E507" i="3"/>
  <c r="E498" i="3"/>
  <c r="E49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66" i="71"/>
  <c r="Q67" i="71"/>
  <c r="T36" i="71"/>
  <c r="D36" i="71"/>
  <c r="AB33" i="36"/>
  <c r="U33" i="36"/>
  <c r="AB23" i="36"/>
  <c r="U23" i="36"/>
  <c r="W36" i="35"/>
  <c r="AC36" i="35"/>
  <c r="W28" i="33"/>
  <c r="AC28" i="33"/>
  <c r="U28" i="33"/>
  <c r="AB28" i="33"/>
  <c r="S12" i="21"/>
  <c r="AA12" i="21"/>
  <c r="S27" i="37"/>
  <c r="AA27" i="37"/>
  <c r="W11" i="35"/>
  <c r="AC11" i="35"/>
  <c r="U12" i="35"/>
  <c r="AB12" i="35"/>
  <c r="W46" i="34"/>
  <c r="AC46" i="34"/>
  <c r="S32" i="34"/>
  <c r="AA32" i="34"/>
  <c r="U30" i="34"/>
  <c r="AB30" i="34"/>
  <c r="U45" i="33"/>
  <c r="AB45" i="33"/>
  <c r="AA31" i="33"/>
  <c r="S31" i="33"/>
  <c r="BA5" i="3"/>
  <c r="E27" i="6" s="1"/>
  <c r="K26" i="6" s="1"/>
  <c r="M26" i="6" s="1"/>
  <c r="I26" i="6" s="1"/>
  <c r="S26" i="6" s="1"/>
  <c r="S13" i="40"/>
  <c r="AA13" i="40"/>
  <c r="AB13" i="40"/>
  <c r="U13" i="40"/>
  <c r="U45" i="39"/>
  <c r="AB45" i="39"/>
  <c r="S32" i="36"/>
  <c r="AA32" i="36"/>
  <c r="U34" i="35"/>
  <c r="AB34" i="35"/>
  <c r="AB9" i="34"/>
  <c r="U9" i="34"/>
  <c r="AC9" i="34"/>
  <c r="W9" i="34"/>
  <c r="AC29" i="21"/>
  <c r="W29" i="21"/>
  <c r="AC13" i="21"/>
  <c r="W13" i="21"/>
  <c r="W14" i="34"/>
  <c r="AC14" i="34"/>
  <c r="D121" i="9"/>
  <c r="D7" i="52" s="1"/>
  <c r="D6" i="52"/>
  <c r="BL5" i="3"/>
  <c r="U12" i="34"/>
  <c r="AB12" i="34"/>
  <c r="W12" i="34"/>
  <c r="AC12" i="34"/>
  <c r="B15" i="71"/>
  <c r="B14" i="71" s="1"/>
  <c r="B13" i="71" s="1"/>
  <c r="B12" i="71" s="1"/>
  <c r="S16" i="71"/>
  <c r="F7" i="36"/>
  <c r="S7" i="36" s="1"/>
  <c r="J7" i="37"/>
  <c r="AC7" i="37" s="1"/>
  <c r="V42" i="37" s="1"/>
  <c r="I42" i="37" s="1"/>
  <c r="H7" i="36"/>
  <c r="AB7" i="36" s="1"/>
  <c r="T36" i="36" s="1"/>
  <c r="G36" i="36" s="1"/>
  <c r="E59" i="40"/>
  <c r="U11" i="35"/>
  <c r="D43" i="71"/>
  <c r="C44" i="71"/>
  <c r="D39" i="71"/>
  <c r="C40" i="71"/>
  <c r="AA23" i="36"/>
  <c r="S23" i="36"/>
  <c r="AC23" i="36"/>
  <c r="W23" i="36"/>
  <c r="AB36" i="35"/>
  <c r="U36" i="35"/>
  <c r="S28" i="33"/>
  <c r="AA28" i="33"/>
  <c r="AC12" i="21"/>
  <c r="W12" i="21"/>
  <c r="U27" i="37"/>
  <c r="AB27" i="37"/>
  <c r="S11" i="35"/>
  <c r="AA11" i="35"/>
  <c r="W12" i="35"/>
  <c r="AC12" i="35"/>
  <c r="U46" i="34"/>
  <c r="AB46" i="34"/>
  <c r="U32" i="34"/>
  <c r="AB32" i="34"/>
  <c r="S30" i="34"/>
  <c r="AA30" i="34"/>
  <c r="AA45" i="33"/>
  <c r="S45" i="33"/>
  <c r="W31" i="33"/>
  <c r="AC31" i="33"/>
  <c r="AZ558" i="3"/>
  <c r="AZ577" i="3"/>
  <c r="W13" i="40"/>
  <c r="AC13" i="40"/>
  <c r="S45" i="39"/>
  <c r="AA45" i="39"/>
  <c r="AB32" i="36"/>
  <c r="U32" i="36"/>
  <c r="S34" i="35"/>
  <c r="AA34" i="35"/>
  <c r="AC34" i="35"/>
  <c r="W34" i="35"/>
  <c r="U29" i="21"/>
  <c r="AB29" i="21"/>
  <c r="AC29" i="33"/>
  <c r="W29" i="33"/>
  <c r="W9" i="21"/>
  <c r="AC9" i="21"/>
  <c r="AZ496" i="3"/>
  <c r="AZ504" i="3"/>
  <c r="S12" i="34"/>
  <c r="AA12" i="34"/>
  <c r="S13" i="33"/>
  <c r="AA13" i="33"/>
  <c r="D21" i="71"/>
  <c r="C20" i="7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16" i="6"/>
  <c r="H6" i="3"/>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AA7" i="36"/>
  <c r="R36" i="36" s="1"/>
  <c r="W7" i="37"/>
  <c r="U7" i="36"/>
  <c r="F7" i="33"/>
  <c r="E58" i="21"/>
  <c r="AC7" i="36"/>
  <c r="V36" i="36" s="1"/>
  <c r="I36" i="36" s="1"/>
  <c r="W7" i="36"/>
  <c r="F7" i="37"/>
  <c r="M17" i="67"/>
  <c r="M17" i="15"/>
  <c r="F59" i="15"/>
  <c r="P28" i="43"/>
  <c r="B66" i="40" s="1"/>
  <c r="P25" i="43"/>
  <c r="P29" i="43"/>
  <c r="P27" i="43"/>
  <c r="B70" i="39" s="1"/>
  <c r="M11" i="67"/>
  <c r="J10" i="67" s="1"/>
  <c r="F11" i="15"/>
  <c r="M11" i="15"/>
  <c r="F11" i="67"/>
  <c r="AE11" i="1"/>
  <c r="AE9" i="1"/>
  <c r="AE8" i="1"/>
  <c r="AE12" i="1"/>
  <c r="AE10" i="1"/>
  <c r="F9" i="67"/>
  <c r="M9" i="67"/>
  <c r="M22" i="67"/>
  <c r="C16" i="80"/>
  <c r="F37" i="67"/>
  <c r="L48" i="67"/>
  <c r="F13" i="67"/>
  <c r="F16" i="67"/>
  <c r="M6" i="67"/>
  <c r="G1" i="73"/>
  <c r="F7" i="67"/>
  <c r="C16" i="15"/>
  <c r="M8" i="67"/>
  <c r="F8" i="67"/>
  <c r="F45" i="69" l="1"/>
  <c r="F51" i="67"/>
  <c r="C6" i="67"/>
  <c r="C32" i="67" s="1"/>
  <c r="L58" i="67"/>
  <c r="Q73" i="67" s="1"/>
  <c r="I54" i="67"/>
  <c r="L56" i="67"/>
  <c r="J57" i="67"/>
  <c r="J55" i="67" s="1"/>
  <c r="J58" i="67" s="1"/>
  <c r="Q50" i="67" s="1"/>
  <c r="J53" i="67"/>
  <c r="F1" i="67" s="1"/>
  <c r="F65" i="67"/>
  <c r="M7" i="67"/>
  <c r="J6" i="67" s="1"/>
  <c r="J18" i="67" s="1"/>
  <c r="F50" i="67"/>
  <c r="T64" i="71"/>
  <c r="D64" i="71"/>
  <c r="J58" i="43"/>
  <c r="D58" i="43"/>
  <c r="E51" i="40"/>
  <c r="E30" i="6"/>
  <c r="AZ5" i="3"/>
  <c r="E3" i="6" s="1"/>
  <c r="D26" i="43"/>
  <c r="C25" i="43" s="1"/>
  <c r="T56" i="71"/>
  <c r="D56" i="71"/>
  <c r="J51" i="43"/>
  <c r="D51" i="43"/>
  <c r="E50" i="43" s="1"/>
  <c r="B48" i="43" s="1"/>
  <c r="C28" i="43" s="1"/>
  <c r="C32" i="80"/>
  <c r="J5" i="80"/>
  <c r="J24" i="80" s="1"/>
  <c r="C49" i="80"/>
  <c r="C61" i="80" s="1"/>
  <c r="Q74" i="80"/>
  <c r="Q61" i="80"/>
  <c r="S10" i="39"/>
  <c r="H10" i="40"/>
  <c r="AB10" i="40" s="1"/>
  <c r="Q60" i="80"/>
  <c r="W36" i="33"/>
  <c r="AC36" i="33"/>
  <c r="F1" i="80"/>
  <c r="Q66" i="80"/>
  <c r="F10" i="40"/>
  <c r="S10" i="40" s="1"/>
  <c r="L46" i="80"/>
  <c r="J10" i="39"/>
  <c r="W10" i="39" s="1"/>
  <c r="H10" i="39"/>
  <c r="U10" i="39" s="1"/>
  <c r="C53" i="80"/>
  <c r="C10" i="80"/>
  <c r="C5" i="80" s="1"/>
  <c r="Q73" i="15"/>
  <c r="Q74" i="67"/>
  <c r="F1" i="15"/>
  <c r="Q74" i="15"/>
  <c r="F28" i="12"/>
  <c r="C29" i="12" s="1"/>
  <c r="D28" i="12" s="1"/>
  <c r="Q52" i="15"/>
  <c r="F27" i="11"/>
  <c r="C29" i="11" s="1"/>
  <c r="D27" i="11" s="1"/>
  <c r="C29" i="69"/>
  <c r="D27" i="69" s="1"/>
  <c r="B40" i="1"/>
  <c r="F22" i="81" s="1"/>
  <c r="AY6" i="3"/>
  <c r="AY83" i="3" s="1"/>
  <c r="E11" i="71"/>
  <c r="E10" i="71" s="1"/>
  <c r="E9" i="71" s="1"/>
  <c r="E8" i="71" s="1"/>
  <c r="E7" i="71" s="1"/>
  <c r="E6" i="71" s="1"/>
  <c r="E5" i="71" s="1"/>
  <c r="V12" i="71"/>
  <c r="B11" i="71"/>
  <c r="B10" i="71" s="1"/>
  <c r="B9" i="71" s="1"/>
  <c r="B8" i="71" s="1"/>
  <c r="B7" i="71" s="1"/>
  <c r="B6" i="71" s="1"/>
  <c r="B5" i="71" s="1"/>
  <c r="S12" i="71"/>
  <c r="Q66" i="71"/>
  <c r="Q65" i="71"/>
  <c r="E65" i="39"/>
  <c r="C19" i="71"/>
  <c r="T20" i="71"/>
  <c r="D20" i="71"/>
  <c r="U20" i="71" s="1"/>
  <c r="T40" i="71"/>
  <c r="D40" i="71"/>
  <c r="T44" i="71"/>
  <c r="D44"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E6" i="3"/>
  <c r="K21" i="6"/>
  <c r="S8" i="1" s="1"/>
  <c r="E8" i="70" s="1"/>
  <c r="K25" i="6"/>
  <c r="K20" i="6"/>
  <c r="K23" i="6"/>
  <c r="K22" i="6"/>
  <c r="E31" i="6"/>
  <c r="V22" i="1" s="1"/>
  <c r="K24" i="6"/>
  <c r="K19" i="6"/>
  <c r="S6" i="1" s="1"/>
  <c r="O14" i="1"/>
  <c r="O16" i="1" s="1"/>
  <c r="M16"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D3" i="33"/>
  <c r="W10" i="40"/>
  <c r="U7" i="37"/>
  <c r="G67" i="39"/>
  <c r="F69" i="39"/>
  <c r="F58" i="21"/>
  <c r="R37" i="36"/>
  <c r="E36" i="36"/>
  <c r="F63" i="40"/>
  <c r="E65" i="40"/>
  <c r="W7" i="33"/>
  <c r="AC7" i="33"/>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3" i="15"/>
  <c r="C48" i="15" s="1"/>
  <c r="C66" i="15" s="1"/>
  <c r="F27" i="68"/>
  <c r="C16" i="67"/>
  <c r="M27" i="67"/>
  <c r="AE6" i="1"/>
  <c r="F41" i="15"/>
  <c r="AE7" i="1"/>
  <c r="T15" i="43" l="1"/>
  <c r="V15" i="43" s="1"/>
  <c r="T9" i="43"/>
  <c r="V9" i="43" s="1"/>
  <c r="T12" i="43"/>
  <c r="V12" i="43" s="1"/>
  <c r="T3" i="43"/>
  <c r="V3" i="43" s="1"/>
  <c r="C33" i="43"/>
  <c r="C42" i="43"/>
  <c r="E42" i="43" s="1"/>
  <c r="C6" i="81" s="1"/>
  <c r="T13" i="43"/>
  <c r="V13" i="43" s="1"/>
  <c r="T16" i="43"/>
  <c r="V16" i="43" s="1"/>
  <c r="T8" i="43"/>
  <c r="V8" i="43" s="1"/>
  <c r="T6" i="43"/>
  <c r="V6" i="43" s="1"/>
  <c r="C37" i="43"/>
  <c r="C49" i="67"/>
  <c r="Q60" i="67"/>
  <c r="J5" i="67"/>
  <c r="J24" i="67" s="1"/>
  <c r="Q52" i="67"/>
  <c r="J26" i="80"/>
  <c r="M18" i="84"/>
  <c r="B118" i="84" s="1"/>
  <c r="L18" i="84"/>
  <c r="E6" i="6"/>
  <c r="D20" i="12" s="1"/>
  <c r="C20" i="12" s="1"/>
  <c r="D14" i="12"/>
  <c r="D17" i="12" s="1"/>
  <c r="C17" i="12" s="1"/>
  <c r="D3" i="34"/>
  <c r="L18" i="9"/>
  <c r="D3" i="21"/>
  <c r="D37" i="11"/>
  <c r="M18" i="9"/>
  <c r="B118" i="9" s="1"/>
  <c r="D19" i="11"/>
  <c r="C19" i="11" s="1"/>
  <c r="C17" i="4"/>
  <c r="B4" i="52" s="1"/>
  <c r="B43" i="72" s="1"/>
  <c r="D3" i="37"/>
  <c r="C5" i="67"/>
  <c r="C38" i="67" s="1"/>
  <c r="C38" i="43"/>
  <c r="C39" i="43"/>
  <c r="E39" i="43"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W22" i="1"/>
  <c r="U6" i="1" s="1"/>
  <c r="W24" i="1"/>
  <c r="Z6" i="1" s="1"/>
  <c r="C41" i="43"/>
  <c r="E41" i="43" s="1"/>
  <c r="C40" i="43"/>
  <c r="T5" i="43"/>
  <c r="V5" i="43" s="1"/>
  <c r="T2" i="43"/>
  <c r="V2" i="43" s="1"/>
  <c r="T4" i="43"/>
  <c r="V4" i="43" s="1"/>
  <c r="T10" i="43"/>
  <c r="V10" i="43" s="1"/>
  <c r="T14" i="43"/>
  <c r="V14" i="43" s="1"/>
  <c r="T7" i="43"/>
  <c r="V7" i="43" s="1"/>
  <c r="T11" i="43"/>
  <c r="V11" i="43" s="1"/>
  <c r="V48" i="33"/>
  <c r="I48" i="33" s="1"/>
  <c r="G53" i="33" s="1"/>
  <c r="H53" i="33" s="1"/>
  <c r="AA10" i="40"/>
  <c r="C48" i="80"/>
  <c r="C60" i="80" s="1"/>
  <c r="AC10" i="39"/>
  <c r="U10" i="40"/>
  <c r="AB10" i="39"/>
  <c r="C47" i="11"/>
  <c r="D45" i="11" s="1"/>
  <c r="B14" i="74"/>
  <c r="B1" i="74" s="1"/>
  <c r="C48" i="67"/>
  <c r="C66" i="67" s="1"/>
  <c r="AG6" i="1"/>
  <c r="F41" i="81"/>
  <c r="C24" i="81"/>
  <c r="C44" i="81"/>
  <c r="D41" i="81" s="1"/>
  <c r="C26" i="81"/>
  <c r="D22" i="81" s="1"/>
  <c r="C66" i="80"/>
  <c r="F22" i="69"/>
  <c r="F41" i="69" s="1"/>
  <c r="F24" i="80"/>
  <c r="C38" i="80"/>
  <c r="C47" i="68"/>
  <c r="D45" i="68" s="1"/>
  <c r="F45" i="68"/>
  <c r="C29" i="68"/>
  <c r="D27" i="68" s="1"/>
  <c r="F24" i="67"/>
  <c r="C24" i="67" s="1"/>
  <c r="D116" i="43"/>
  <c r="F22" i="68"/>
  <c r="F41" i="68" s="1"/>
  <c r="F25" i="12"/>
  <c r="C26" i="12" s="1"/>
  <c r="D25" i="12" s="1"/>
  <c r="G54" i="34"/>
  <c r="H54" i="34" s="1"/>
  <c r="C18" i="71"/>
  <c r="D19" i="71"/>
  <c r="F24" i="15"/>
  <c r="C24" i="15" s="1"/>
  <c r="F22" i="11"/>
  <c r="C44" i="11" s="1"/>
  <c r="D41" i="11" s="1"/>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M21" i="6"/>
  <c r="I21" i="6" s="1"/>
  <c r="S21" i="6" s="1"/>
  <c r="E6" i="70"/>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5" i="6"/>
  <c r="D22" i="6"/>
  <c r="D24" i="6"/>
  <c r="M19" i="9"/>
  <c r="C118" i="9" s="1"/>
  <c r="B2" i="74" s="1"/>
  <c r="D8" i="6"/>
  <c r="D6" i="6"/>
  <c r="D10" i="6"/>
  <c r="D29" i="6"/>
  <c r="H22" i="6"/>
  <c r="H24" i="6"/>
  <c r="C18" i="4"/>
  <c r="D5" i="6"/>
  <c r="D11" i="6"/>
  <c r="D28" i="6"/>
  <c r="D30" i="6" s="1"/>
  <c r="H26" i="6"/>
  <c r="P14" i="1"/>
  <c r="P16" i="1" s="1"/>
  <c r="C11" i="12" s="1"/>
  <c r="N16" i="1"/>
  <c r="F50" i="81" s="1"/>
  <c r="L16" i="1"/>
  <c r="G42" i="43"/>
  <c r="I42" i="43" s="1"/>
  <c r="H67" i="39"/>
  <c r="G69" i="39"/>
  <c r="E37" i="43"/>
  <c r="G37" i="43"/>
  <c r="I37" i="43" s="1"/>
  <c r="G38" i="43"/>
  <c r="I38" i="43" s="1"/>
  <c r="E38" i="43"/>
  <c r="E40" i="43"/>
  <c r="G40" i="43"/>
  <c r="I40" i="43" s="1"/>
  <c r="G39" i="43"/>
  <c r="I39" i="43" s="1"/>
  <c r="E54" i="34"/>
  <c r="F54" i="34" s="1"/>
  <c r="E53" i="34"/>
  <c r="F53" i="34" s="1"/>
  <c r="R49" i="33"/>
  <c r="E48" i="33"/>
  <c r="I52" i="33"/>
  <c r="J52" i="33" s="1"/>
  <c r="E40" i="36"/>
  <c r="F40" i="36" s="1"/>
  <c r="E41" i="36"/>
  <c r="F41" i="36" s="1"/>
  <c r="I54" i="34"/>
  <c r="J54" i="34" s="1"/>
  <c r="G52" i="33"/>
  <c r="H52" i="33" s="1"/>
  <c r="H48" i="35"/>
  <c r="C49" i="34"/>
  <c r="C50" i="34"/>
  <c r="I41" i="36"/>
  <c r="J41" i="36" s="1"/>
  <c r="R43" i="37"/>
  <c r="E42" i="37"/>
  <c r="G63" i="40"/>
  <c r="F65" i="40"/>
  <c r="C37" i="36"/>
  <c r="C36" i="36"/>
  <c r="G58" i="21"/>
  <c r="C60" i="15"/>
  <c r="D10" i="69"/>
  <c r="C34" i="69"/>
  <c r="F41" i="67"/>
  <c r="C17" i="67"/>
  <c r="D10" i="81"/>
  <c r="M6" i="15"/>
  <c r="D10" i="68"/>
  <c r="C14" i="67"/>
  <c r="F41" i="80"/>
  <c r="F6" i="15"/>
  <c r="C17" i="15"/>
  <c r="M27" i="15"/>
  <c r="C17" i="80"/>
  <c r="G41" i="43" l="1"/>
  <c r="I41" i="43" s="1"/>
  <c r="C6" i="68"/>
  <c r="C7" i="68" s="1"/>
  <c r="C34" i="43"/>
  <c r="E34" i="43" s="1"/>
  <c r="C31" i="43" s="1"/>
  <c r="C6" i="15"/>
  <c r="C32" i="15" s="1"/>
  <c r="J6" i="15"/>
  <c r="F69" i="67"/>
  <c r="M19" i="84"/>
  <c r="C118" i="84" s="1"/>
  <c r="L19" i="84"/>
  <c r="E61" i="40"/>
  <c r="D13" i="6"/>
  <c r="D12" i="6"/>
  <c r="D23" i="6"/>
  <c r="D19" i="6"/>
  <c r="H21" i="6"/>
  <c r="H25" i="6"/>
  <c r="L19" i="9"/>
  <c r="D9" i="6"/>
  <c r="D16" i="6" s="1"/>
  <c r="D14" i="6"/>
  <c r="D26" i="6"/>
  <c r="D20" i="6"/>
  <c r="D21" i="6"/>
  <c r="R21" i="6" s="1"/>
  <c r="R8" i="1" s="1"/>
  <c r="D15" i="6"/>
  <c r="I53" i="33"/>
  <c r="J53" i="33" s="1"/>
  <c r="C10" i="81"/>
  <c r="C8" i="81" s="1"/>
  <c r="D19" i="81"/>
  <c r="D37" i="81" s="1"/>
  <c r="C37" i="81" s="1"/>
  <c r="E7" i="70"/>
  <c r="M19" i="82"/>
  <c r="C118" i="82" s="1"/>
  <c r="L19" i="82"/>
  <c r="S20" i="6"/>
  <c r="L18" i="82"/>
  <c r="C60" i="67"/>
  <c r="J29" i="80"/>
  <c r="F69" i="80"/>
  <c r="C26" i="69"/>
  <c r="D22" i="69" s="1"/>
  <c r="C7" i="81"/>
  <c r="C44" i="69"/>
  <c r="D41" i="69" s="1"/>
  <c r="C24" i="80"/>
  <c r="C23" i="11"/>
  <c r="C25" i="11"/>
  <c r="C26" i="68"/>
  <c r="D22" i="68" s="1"/>
  <c r="C44" i="68"/>
  <c r="D41" i="68" s="1"/>
  <c r="C26" i="11"/>
  <c r="D22" i="11" s="1"/>
  <c r="C24" i="11"/>
  <c r="C17" i="71"/>
  <c r="D18" i="71"/>
  <c r="C18" i="67"/>
  <c r="C15" i="67"/>
  <c r="H23" i="6"/>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R23" i="6"/>
  <c r="R10" i="1" s="1"/>
  <c r="D27" i="6"/>
  <c r="D31" i="6" s="1"/>
  <c r="D7" i="74"/>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67"/>
  <c r="J19" i="67"/>
  <c r="B6" i="76"/>
  <c r="C34" i="68"/>
  <c r="C34" i="81"/>
  <c r="E6" i="76"/>
  <c r="C14" i="80"/>
  <c r="C14" i="15"/>
  <c r="C5" i="68" l="1"/>
  <c r="C23" i="68" s="1"/>
  <c r="C10" i="15"/>
  <c r="C5" i="15" s="1"/>
  <c r="C38" i="15" s="1"/>
  <c r="C33" i="15"/>
  <c r="J18" i="15"/>
  <c r="J10" i="15"/>
  <c r="J5" i="15" s="1"/>
  <c r="J24" i="15" s="1"/>
  <c r="C5" i="81"/>
  <c r="C20" i="81" s="1"/>
  <c r="C25" i="81" s="1"/>
  <c r="C18" i="80"/>
  <c r="C15" i="80"/>
  <c r="C35" i="81"/>
  <c r="C38" i="81"/>
  <c r="C18" i="12"/>
  <c r="C22" i="11"/>
  <c r="C31" i="11" s="1"/>
  <c r="C16" i="71"/>
  <c r="M23" i="43" s="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9" i="80" l="1"/>
  <c r="C20" i="80" s="1"/>
  <c r="C23" i="80" s="1"/>
  <c r="C23" i="81"/>
  <c r="C22" i="81" s="1"/>
  <c r="C33" i="81"/>
  <c r="C39" i="81" s="1"/>
  <c r="C43" i="81" s="1"/>
  <c r="C28" i="81"/>
  <c r="C27" i="81" s="1"/>
  <c r="J7"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C42" i="81"/>
  <c r="C41" i="81" s="1"/>
  <c r="C26" i="80"/>
  <c r="C29" i="80" s="1"/>
  <c r="C46" i="81"/>
  <c r="C45" i="81" s="1"/>
  <c r="C31" i="8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80"/>
  <c r="F35" i="80"/>
  <c r="F35" i="67"/>
  <c r="M21" i="67"/>
  <c r="F35" i="15"/>
  <c r="M21" i="15"/>
  <c r="AC7" i="35" l="1"/>
  <c r="V38" i="35" s="1"/>
  <c r="I38" i="35" s="1"/>
  <c r="C49" i="81"/>
  <c r="C51" i="81" s="1"/>
  <c r="C52" i="81" s="1"/>
  <c r="B2" i="81" s="1"/>
  <c r="C13" i="80"/>
  <c r="C57" i="80"/>
  <c r="C64" i="80" s="1"/>
  <c r="J14" i="80"/>
  <c r="Q49" i="80"/>
  <c r="C36" i="80"/>
  <c r="J20" i="80"/>
  <c r="J17" i="80" s="1"/>
  <c r="F63" i="80"/>
  <c r="C62" i="80" s="1"/>
  <c r="C59" i="80" s="1"/>
  <c r="C34" i="80"/>
  <c r="C31" i="80" s="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1"/>
  <c r="C19" i="82"/>
  <c r="C57" i="81" l="1"/>
  <c r="C56" i="81" s="1"/>
  <c r="J22" i="80"/>
  <c r="J13" i="80"/>
  <c r="J23" i="80" s="1"/>
  <c r="Q70" i="80"/>
  <c r="C56" i="80"/>
  <c r="C65" i="80" s="1"/>
  <c r="C58" i="80" s="1"/>
  <c r="C67" i="80" s="1"/>
  <c r="C68" i="80" s="1"/>
  <c r="C71" i="80" s="1"/>
  <c r="C75" i="80"/>
  <c r="C37" i="80"/>
  <c r="C30" i="80" s="1"/>
  <c r="C39" i="80" s="1"/>
  <c r="C102" i="82"/>
  <c r="C21" i="82"/>
  <c r="D13" i="7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2"/>
  <c r="D2" i="21"/>
  <c r="L51" i="80"/>
  <c r="C103" i="82" l="1"/>
  <c r="J16" i="80"/>
  <c r="J25" i="80" s="1"/>
  <c r="C80" i="80"/>
  <c r="C79" i="80" s="1"/>
  <c r="C40" i="80"/>
  <c r="Q47" i="80" s="1"/>
  <c r="Q53" i="80" s="1"/>
  <c r="Q69" i="80"/>
  <c r="Q68" i="80" s="1"/>
  <c r="Q67" i="80"/>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C43" i="80" l="1"/>
  <c r="C83" i="80"/>
  <c r="C82" i="80" s="1"/>
  <c r="B2" i="80"/>
  <c r="B3" i="80" s="1"/>
  <c r="C46" i="80"/>
  <c r="Q65" i="80"/>
  <c r="Q75" i="80" s="1"/>
  <c r="Q56" i="80"/>
  <c r="Q62" i="80" s="1"/>
  <c r="Q67" i="67"/>
  <c r="L57" i="67"/>
  <c r="L60" i="67" s="1"/>
  <c r="L46" i="67" s="1"/>
  <c r="D2" i="67" s="1"/>
  <c r="B2" i="67" s="1"/>
  <c r="C10" i="71"/>
  <c r="D11" i="71"/>
  <c r="Q65" i="67"/>
  <c r="B2" i="33"/>
  <c r="B3" i="33" s="1"/>
  <c r="C83" i="67"/>
  <c r="C82" i="67" s="1"/>
  <c r="Q47" i="67"/>
  <c r="Q53" i="67" s="1"/>
  <c r="C46" i="67"/>
  <c r="Q56" i="67"/>
  <c r="C43" i="67"/>
  <c r="C80" i="15"/>
  <c r="C79" i="15" s="1"/>
  <c r="C40" i="15"/>
  <c r="C46" i="15" s="1"/>
  <c r="H7" i="39"/>
  <c r="J7" i="39"/>
  <c r="S7" i="39"/>
  <c r="AA7" i="39"/>
  <c r="R47" i="39" s="1"/>
  <c r="O63" i="40"/>
  <c r="O65" i="40" s="1"/>
  <c r="N65" i="40"/>
  <c r="D2" i="36"/>
  <c r="E2" i="68"/>
  <c r="D2" i="34"/>
  <c r="D2" i="35"/>
  <c r="L51" i="15"/>
  <c r="D2" i="37"/>
  <c r="Q66" i="67" l="1"/>
  <c r="Q75" i="67" s="1"/>
  <c r="Q57" i="67"/>
  <c r="Q62" i="67" s="1"/>
  <c r="B2" i="68"/>
  <c r="D10" i="71"/>
  <c r="C9" i="7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19" i="86"/>
  <c r="AO10" i="1"/>
  <c r="AO7" i="1"/>
  <c r="D19" i="84"/>
  <c r="AO12" i="1"/>
  <c r="AO9" i="1"/>
  <c r="AO8" i="1"/>
  <c r="AO11" i="1"/>
  <c r="B3" i="68"/>
  <c r="D102" i="86" l="1"/>
  <c r="D21" i="86"/>
  <c r="D21" i="84"/>
  <c r="D102" i="84"/>
  <c r="L46" i="15"/>
  <c r="B2" i="15" s="1"/>
  <c r="C8" i="71"/>
  <c r="D9"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2"/>
  <c r="AO6" i="1"/>
  <c r="D20" i="86"/>
  <c r="D19" i="9"/>
  <c r="D20" i="84"/>
  <c r="D103" i="86" l="1"/>
  <c r="D103" i="84"/>
  <c r="D21" i="82"/>
  <c r="D102" i="82"/>
  <c r="D22" i="82"/>
  <c r="G19" i="82"/>
  <c r="G21" i="82" s="1"/>
  <c r="D102" i="9"/>
  <c r="D21" i="9"/>
  <c r="B3" i="15"/>
  <c r="B6" i="70"/>
  <c r="B2" i="70" s="1"/>
  <c r="B3" i="70" s="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2"/>
  <c r="D20" i="9"/>
  <c r="D103" i="82" l="1"/>
  <c r="G20" i="82"/>
  <c r="C32" i="82" s="1"/>
  <c r="D103" i="9"/>
  <c r="C6" i="71"/>
  <c r="D7" i="71"/>
  <c r="C42" i="40"/>
  <c r="C43" i="40"/>
  <c r="E47" i="40"/>
  <c r="F47" i="40" s="1"/>
  <c r="E46" i="40"/>
  <c r="F46" i="40" s="1"/>
  <c r="I47" i="40"/>
  <c r="J47" i="40" s="1"/>
  <c r="C35" i="82" l="1"/>
  <c r="C34" i="82" s="1"/>
  <c r="D6" i="71"/>
  <c r="C5" i="71"/>
  <c r="D5" i="71" s="1"/>
  <c r="B58" i="40"/>
  <c r="F58" i="40" s="1"/>
  <c r="B54" i="40"/>
  <c r="F54" i="40" s="1"/>
  <c r="B53" i="40"/>
  <c r="F53" i="40" s="1"/>
  <c r="B59" i="40"/>
  <c r="F59" i="40" s="1"/>
  <c r="B52" i="40"/>
  <c r="F52" i="40" s="1"/>
  <c r="B56" i="40"/>
  <c r="F56" i="40" s="1"/>
  <c r="B60" i="40"/>
  <c r="F60" i="40" s="1"/>
  <c r="B57" i="40"/>
  <c r="F57" i="40" s="1"/>
  <c r="B51" i="40"/>
  <c r="F51" i="40" s="1"/>
  <c r="F61" i="40"/>
  <c r="B2" i="40" s="1"/>
  <c r="B3" i="40" s="1"/>
  <c r="M24" i="43" l="1"/>
  <c r="S24" i="31"/>
  <c r="R28" i="31"/>
  <c r="S28" i="31" s="1"/>
  <c r="R27" i="31"/>
  <c r="S27" i="31" s="1"/>
  <c r="R26" i="31"/>
  <c r="S26" i="31" s="1"/>
  <c r="R25" i="31"/>
  <c r="S25" i="31" s="1"/>
  <c r="S22" i="31" l="1"/>
  <c r="R22" i="31" l="1"/>
  <c r="B20" i="31"/>
  <c r="C19" i="9"/>
  <c r="C19" i="86"/>
  <c r="C19" i="84"/>
  <c r="C21" i="86" l="1"/>
  <c r="C102" i="86"/>
  <c r="G19" i="86"/>
  <c r="D22" i="86"/>
  <c r="C21" i="84"/>
  <c r="C102" i="84"/>
  <c r="G19" i="84"/>
  <c r="D22" i="84"/>
  <c r="C21" i="9"/>
  <c r="C102" i="9"/>
  <c r="D22" i="9"/>
  <c r="G19" i="9"/>
  <c r="B21" i="31"/>
  <c r="C20" i="86"/>
  <c r="C20" i="9"/>
  <c r="C20" i="84"/>
  <c r="C103" i="86" l="1"/>
  <c r="G20" i="86"/>
  <c r="G21" i="86"/>
  <c r="C32" i="86"/>
  <c r="U24" i="31"/>
  <c r="V24" i="31" s="1"/>
  <c r="C103" i="84"/>
  <c r="G20" i="84"/>
  <c r="C103" i="9"/>
  <c r="G20" i="9"/>
  <c r="C32" i="84"/>
  <c r="G21" i="84"/>
  <c r="G21" i="9"/>
  <c r="C32" i="9"/>
  <c r="C35" i="86" l="1"/>
  <c r="F118" i="86" s="1"/>
  <c r="H118" i="86"/>
  <c r="U26" i="31"/>
  <c r="V26" i="31" s="1"/>
  <c r="U25" i="31"/>
  <c r="V25" i="31" s="1"/>
  <c r="U28" i="31"/>
  <c r="V28" i="31" s="1"/>
  <c r="D45" i="86" s="1"/>
  <c r="U27" i="31"/>
  <c r="V27" i="31" s="1"/>
  <c r="C35" i="9"/>
  <c r="H118" i="9"/>
  <c r="H118" i="84"/>
  <c r="C35" i="84"/>
  <c r="F118" i="84" s="1"/>
  <c r="D59" i="9"/>
  <c r="M55" i="9" s="1"/>
  <c r="C34" i="86" l="1"/>
  <c r="D118" i="86" s="1"/>
  <c r="D119" i="86" s="1"/>
  <c r="F119" i="86"/>
  <c r="G118" i="86"/>
  <c r="I118" i="86"/>
  <c r="H119" i="86"/>
  <c r="C104" i="86"/>
  <c r="H101" i="86"/>
  <c r="H107" i="86" s="1"/>
  <c r="V22" i="31"/>
  <c r="U22" i="31" s="1"/>
  <c r="C64" i="86"/>
  <c r="C63" i="86" s="1"/>
  <c r="C67" i="86" s="1"/>
  <c r="C68" i="86" s="1"/>
  <c r="D54" i="86" s="1"/>
  <c r="D48" i="86" s="1"/>
  <c r="M52" i="86" s="1"/>
  <c r="D55" i="86"/>
  <c r="M53" i="86" s="1"/>
  <c r="M49" i="86"/>
  <c r="M48" i="86"/>
  <c r="C93" i="86"/>
  <c r="C86" i="86" s="1"/>
  <c r="C85" i="86"/>
  <c r="C72" i="86"/>
  <c r="D52" i="86"/>
  <c r="D53" i="86"/>
  <c r="C78" i="86"/>
  <c r="C73" i="86" s="1"/>
  <c r="D45" i="84"/>
  <c r="M48" i="84" s="1"/>
  <c r="V30" i="31"/>
  <c r="U30" i="31" s="1"/>
  <c r="C34" i="84"/>
  <c r="D118" i="84" s="1"/>
  <c r="D119" i="84" s="1"/>
  <c r="G118" i="84"/>
  <c r="F119" i="84"/>
  <c r="D14" i="74"/>
  <c r="H4" i="52"/>
  <c r="I118" i="9"/>
  <c r="H119" i="9"/>
  <c r="H5" i="52" s="1"/>
  <c r="H101" i="9"/>
  <c r="C104" i="9"/>
  <c r="C104" i="84"/>
  <c r="H101" i="84"/>
  <c r="H107" i="84" s="1"/>
  <c r="I118" i="84"/>
  <c r="H119" i="84"/>
  <c r="C34" i="9"/>
  <c r="D118" i="9" s="1"/>
  <c r="F118" i="9"/>
  <c r="D122" i="86" l="1"/>
  <c r="D123" i="86" s="1"/>
  <c r="C105" i="86"/>
  <c r="E118" i="86"/>
  <c r="H102" i="86"/>
  <c r="H108" i="86" s="1"/>
  <c r="C95" i="86"/>
  <c r="C96" i="86" s="1"/>
  <c r="E96" i="86" s="1"/>
  <c r="E97" i="86" s="1"/>
  <c r="D52" i="84"/>
  <c r="C93" i="84"/>
  <c r="C86" i="84" s="1"/>
  <c r="D55" i="84"/>
  <c r="M53" i="84" s="1"/>
  <c r="D53" i="84"/>
  <c r="M49" i="84"/>
  <c r="L67" i="84" s="1"/>
  <c r="M67" i="84" s="1"/>
  <c r="C79" i="86"/>
  <c r="L68" i="86"/>
  <c r="M68" i="86" s="1"/>
  <c r="L66" i="86"/>
  <c r="M66" i="86" s="1"/>
  <c r="L64" i="86"/>
  <c r="M64" i="86" s="1"/>
  <c r="L67" i="86"/>
  <c r="M67" i="86" s="1"/>
  <c r="L63" i="86"/>
  <c r="M63" i="86" s="1"/>
  <c r="L65" i="86"/>
  <c r="M65" i="86" s="1"/>
  <c r="C85" i="84"/>
  <c r="C78" i="84"/>
  <c r="C73" i="84" s="1"/>
  <c r="C64" i="84"/>
  <c r="C63" i="84" s="1"/>
  <c r="C67" i="84" s="1"/>
  <c r="C68" i="84" s="1"/>
  <c r="D54" i="84" s="1"/>
  <c r="D48" i="84" s="1"/>
  <c r="M52" i="84" s="1"/>
  <c r="C72" i="84"/>
  <c r="G118" i="9"/>
  <c r="G4" i="52" s="1"/>
  <c r="B52" i="72" s="1"/>
  <c r="F4" i="52"/>
  <c r="B51" i="72" s="1"/>
  <c r="F119" i="9"/>
  <c r="F5" i="52" s="1"/>
  <c r="B53" i="72" s="1"/>
  <c r="D122" i="84"/>
  <c r="D123" i="84" s="1"/>
  <c r="D4" i="52"/>
  <c r="B47" i="72" s="1"/>
  <c r="D119" i="9"/>
  <c r="D5" i="52" s="1"/>
  <c r="B49" i="72" s="1"/>
  <c r="C105" i="84"/>
  <c r="E118" i="84"/>
  <c r="H102" i="84"/>
  <c r="H108" i="84" s="1"/>
  <c r="H107" i="9"/>
  <c r="G14" i="74" s="1"/>
  <c r="B6" i="74" s="1"/>
  <c r="D6" i="74" s="1"/>
  <c r="D45" i="9"/>
  <c r="M48" i="9"/>
  <c r="D5" i="53"/>
  <c r="H102" i="9"/>
  <c r="D7" i="53" s="1"/>
  <c r="B21" i="72" s="1"/>
  <c r="I4" i="52"/>
  <c r="C105" i="9"/>
  <c r="F14" i="74"/>
  <c r="E14" i="74"/>
  <c r="C79" i="84" l="1"/>
  <c r="C95" i="84"/>
  <c r="C96" i="84" s="1"/>
  <c r="E96" i="84" s="1"/>
  <c r="E97" i="84" s="1"/>
  <c r="L65" i="84"/>
  <c r="M65" i="84" s="1"/>
  <c r="L68" i="84"/>
  <c r="M68" i="84" s="1"/>
  <c r="L64" i="84"/>
  <c r="M64" i="84" s="1"/>
  <c r="M69" i="86"/>
  <c r="N69" i="86" s="1"/>
  <c r="L66" i="84"/>
  <c r="M66" i="84" s="1"/>
  <c r="L63" i="84"/>
  <c r="M63" i="84" s="1"/>
  <c r="C97" i="86"/>
  <c r="C80" i="86"/>
  <c r="E80" i="86" s="1"/>
  <c r="E81" i="86" s="1"/>
  <c r="C80" i="84"/>
  <c r="E80" i="84" s="1"/>
  <c r="E81" i="84" s="1"/>
  <c r="E118" i="9"/>
  <c r="E4" i="52" s="1"/>
  <c r="B48" i="72" s="1"/>
  <c r="M49" i="9"/>
  <c r="H108" i="9"/>
  <c r="D122" i="9"/>
  <c r="D13" i="53"/>
  <c r="B20" i="72"/>
  <c r="D6" i="53"/>
  <c r="B22" i="72" s="1"/>
  <c r="D52" i="9"/>
  <c r="C93" i="9"/>
  <c r="C86" i="9" s="1"/>
  <c r="C85" i="9"/>
  <c r="D55" i="9"/>
  <c r="M53" i="9" s="1"/>
  <c r="C78" i="9"/>
  <c r="C73" i="9" s="1"/>
  <c r="C72" i="9"/>
  <c r="D53" i="9"/>
  <c r="C64" i="9"/>
  <c r="C63" i="9" s="1"/>
  <c r="C67" i="9" s="1"/>
  <c r="C68" i="9" s="1"/>
  <c r="D54" i="9" s="1"/>
  <c r="D48" i="9" s="1"/>
  <c r="M52" i="9" s="1"/>
  <c r="F118" i="82"/>
  <c r="F119" i="82" s="1"/>
  <c r="D118" i="82"/>
  <c r="D119" i="82" s="1"/>
  <c r="H118" i="82"/>
  <c r="C97" i="84" l="1"/>
  <c r="C81" i="86"/>
  <c r="D58" i="86" s="1"/>
  <c r="D56" i="86" s="1"/>
  <c r="M54" i="86" s="1"/>
  <c r="N57" i="86" s="1"/>
  <c r="N58" i="86" s="1"/>
  <c r="M69" i="84"/>
  <c r="N69" i="84" s="1"/>
  <c r="C81" i="84"/>
  <c r="D58" i="84" s="1"/>
  <c r="D56" i="84" s="1"/>
  <c r="M54" i="84" s="1"/>
  <c r="N57" i="84" s="1"/>
  <c r="P57" i="84" s="1"/>
  <c r="C79" i="9"/>
  <c r="C80" i="9" s="1"/>
  <c r="E80" i="9" s="1"/>
  <c r="E81" i="9" s="1"/>
  <c r="D14" i="53"/>
  <c r="B32" i="72" s="1"/>
  <c r="B30" i="72"/>
  <c r="D15" i="53"/>
  <c r="B31" i="72" s="1"/>
  <c r="C6" i="74"/>
  <c r="C95" i="9"/>
  <c r="D8" i="52"/>
  <c r="D123" i="9"/>
  <c r="D9" i="52" s="1"/>
  <c r="L64" i="9"/>
  <c r="M64" i="9" s="1"/>
  <c r="L68" i="9"/>
  <c r="M68" i="9" s="1"/>
  <c r="L63" i="9"/>
  <c r="M63" i="9" s="1"/>
  <c r="L65" i="9"/>
  <c r="M65" i="9" s="1"/>
  <c r="L67" i="9"/>
  <c r="M67" i="9" s="1"/>
  <c r="L66" i="9"/>
  <c r="M66" i="9" s="1"/>
  <c r="H119" i="82"/>
  <c r="G118" i="82"/>
  <c r="H101" i="82"/>
  <c r="I118" i="82"/>
  <c r="C104" i="82"/>
  <c r="P57" i="86" l="1"/>
  <c r="N59" i="86"/>
  <c r="N61" i="86" s="1"/>
  <c r="H112" i="86" s="1"/>
  <c r="N58" i="84"/>
  <c r="N60" i="86"/>
  <c r="N59" i="84"/>
  <c r="C96" i="9"/>
  <c r="E96" i="9" s="1"/>
  <c r="E97" i="9" s="1"/>
  <c r="M69" i="9"/>
  <c r="N69" i="9" s="1"/>
  <c r="C81" i="9"/>
  <c r="D58" i="9" s="1"/>
  <c r="D56" i="9" s="1"/>
  <c r="M54" i="9" s="1"/>
  <c r="N57" i="9" s="1"/>
  <c r="E15" i="74"/>
  <c r="F15" i="74"/>
  <c r="B5" i="74"/>
  <c r="H102" i="82"/>
  <c r="C105" i="82"/>
  <c r="E118" i="82"/>
  <c r="D45" i="82"/>
  <c r="M48" i="82"/>
  <c r="H107" i="82"/>
  <c r="M49" i="82" s="1"/>
  <c r="H111" i="86" l="1"/>
  <c r="D126" i="86" s="1"/>
  <c r="D127" i="86" s="1"/>
  <c r="N61" i="84"/>
  <c r="H112" i="84" s="1"/>
  <c r="B9" i="85"/>
  <c r="H111" i="84"/>
  <c r="D126" i="84" s="1"/>
  <c r="D127" i="84" s="1"/>
  <c r="N60" i="84"/>
  <c r="C97" i="9"/>
  <c r="N58" i="9"/>
  <c r="N59" i="9"/>
  <c r="P57" i="9"/>
  <c r="L66" i="82"/>
  <c r="M66" i="82" s="1"/>
  <c r="L64" i="82"/>
  <c r="M64" i="82" s="1"/>
  <c r="L63" i="82"/>
  <c r="M63" i="82" s="1"/>
  <c r="M69" i="82" s="1"/>
  <c r="N69" i="82" s="1"/>
  <c r="L65" i="82"/>
  <c r="M65" i="82" s="1"/>
  <c r="L68" i="82"/>
  <c r="M68" i="82" s="1"/>
  <c r="L67" i="82"/>
  <c r="M67" i="82" s="1"/>
  <c r="D5" i="74"/>
  <c r="C5" i="74"/>
  <c r="D122" i="82"/>
  <c r="D123" i="82" s="1"/>
  <c r="H108" i="82"/>
  <c r="D52" i="82"/>
  <c r="C78" i="82"/>
  <c r="C73" i="82" s="1"/>
  <c r="D55" i="82"/>
  <c r="M53" i="82" s="1"/>
  <c r="D53" i="82"/>
  <c r="C72" i="82"/>
  <c r="C64" i="82"/>
  <c r="C63" i="82" s="1"/>
  <c r="C67" i="82" s="1"/>
  <c r="C93" i="82"/>
  <c r="C86" i="82" s="1"/>
  <c r="C85" i="82"/>
  <c r="C9" i="85" l="1"/>
  <c r="C11" i="85" s="1"/>
  <c r="B11" i="85"/>
  <c r="I14" i="74"/>
  <c r="H111" i="9"/>
  <c r="N61" i="9"/>
  <c r="H112" i="9" s="1"/>
  <c r="N60" i="9"/>
  <c r="C79" i="82"/>
  <c r="C80" i="82" s="1"/>
  <c r="E80" i="82" s="1"/>
  <c r="E81" i="82" s="1"/>
  <c r="C95" i="82"/>
  <c r="C68" i="82"/>
  <c r="D54" i="82" s="1"/>
  <c r="D59" i="82"/>
  <c r="M55" i="82" s="1"/>
  <c r="D9" i="85" l="1"/>
  <c r="D11" i="85" s="1"/>
  <c r="B8" i="74"/>
  <c r="D8" i="74" s="1"/>
  <c r="D21" i="53"/>
  <c r="B39" i="72" s="1"/>
  <c r="D19" i="53"/>
  <c r="D126" i="9"/>
  <c r="C81" i="82"/>
  <c r="C96" i="82"/>
  <c r="E96" i="82" s="1"/>
  <c r="E97" i="82" s="1"/>
  <c r="C8" i="74" l="1"/>
  <c r="D12" i="52"/>
  <c r="D127" i="9"/>
  <c r="D13" i="52" s="1"/>
  <c r="B38" i="72"/>
  <c r="D20" i="53"/>
  <c r="B40" i="72" s="1"/>
  <c r="C97" i="82"/>
  <c r="D58" i="82" s="1"/>
  <c r="D56" i="82" s="1"/>
  <c r="M54" i="82" s="1"/>
  <c r="N57" i="82" s="1"/>
  <c r="N59" i="82" l="1"/>
  <c r="H111" i="82" s="1"/>
  <c r="D126" i="82" s="1"/>
  <c r="D127" i="82" s="1"/>
  <c r="P57" i="82"/>
  <c r="N58" i="82"/>
  <c r="N61" i="82" l="1"/>
  <c r="H112" i="82" s="1"/>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<sst xmlns="http://schemas.openxmlformats.org/spreadsheetml/2006/main" count="9381" uniqueCount="3484">
  <si>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</si>
  <si>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</si>
  <si>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</si>
  <si>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</si>
  <si>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</si>
  <si>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</si>
  <si>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</si>
  <si>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</si>
  <si>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</si>
  <si>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</si>
  <si>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</si>
  <si>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</si>
  <si>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</si>
  <si>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</si>
  <si>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</si>
  <si>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</si>
  <si>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</si>
  <si>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</si>
  <si>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</si>
  <si>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</si>
  <si>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</si>
  <si>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</si>
  <si>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</si>
  <si>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</si>
  <si>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</si>
  <si>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</si>
  <si>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</si>
  <si>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</si>
  <si>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</si>
  <si>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</si>
  <si>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</si>
  <si>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</si>
  <si>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</si>
  <si>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</si>
  <si>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</si>
  <si>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</si>
  <si>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</si>
  <si>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</si>
  <si>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</si>
  <si>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</si>
  <si>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</si>
  <si>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</si>
  <si>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</si>
  <si>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</si>
  <si>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</si>
  <si>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</si>
  <si>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</si>
  <si>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</si>
  <si>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</si>
  <si>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</si>
  <si>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</si>
  <si>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</si>
  <si>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</si>
  <si>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</si>
  <si>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</si>
  <si>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</si>
  <si>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</si>
  <si>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</si>
  <si>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</si>
  <si>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</si>
  <si>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</si>
  <si>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</si>
  <si>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</si>
  <si>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</si>
  <si>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</si>
  <si>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</si>
  <si>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</si>
  <si>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</si>
  <si>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</si>
  <si>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</si>
  <si>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</si>
  <si>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</si>
  <si>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</si>
  <si>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</si>
  <si>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</si>
  <si>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</si>
  <si>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</si>
  <si>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</si>
  <si>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</si>
  <si>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</si>
  <si>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</si>
  <si>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</si>
  <si>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</si>
  <si>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</si>
  <si>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</si>
  <si>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</si>
  <si>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</si>
  <si>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</si>
  <si>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</si>
  <si>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</si>
  <si>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</si>
  <si>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</si>
  <si>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</si>
  <si>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</si>
  <si>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</si>
  <si>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</si>
  <si>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</si>
  <si>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</si>
  <si>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</si>
  <si>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</si>
  <si>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</si>
  <si>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</si>
  <si>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</si>
  <si>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</si>
  <si>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</si>
  <si>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</si>
  <si>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</si>
  <si>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</si>
  <si>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</si>
  <si>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</si>
  <si>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</si>
  <si>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</si>
  <si>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</si>
  <si>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</si>
  <si>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</si>
  <si>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</si>
  <si>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</si>
  <si>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</si>
  <si>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</si>
  <si>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</si>
  <si>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</si>
  <si>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</si>
  <si>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</si>
  <si>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</si>
  <si>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</si>
  <si>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</si>
  <si>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</si>
  <si>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</si>
  <si>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</si>
  <si>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</si>
  <si>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</si>
  <si>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</si>
  <si>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</si>
  <si>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</si>
  <si>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</si>
  <si>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</si>
  <si>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</si>
  <si>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</si>
  <si>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</si>
  <si>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</si>
  <si>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</si>
  <si>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</si>
  <si>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</si>
  <si>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</si>
  <si>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</si>
  <si>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</si>
  <si>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</si>
  <si>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</si>
  <si>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</si>
  <si>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</si>
  <si>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</si>
  <si>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</si>
  <si>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</si>
  <si>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</si>
  <si>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</si>
  <si>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</si>
  <si>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</si>
  <si>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</si>
  <si>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</si>
  <si>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</si>
  <si>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</si>
  <si>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</si>
  <si>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</si>
  <si>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</si>
  <si>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</si>
  <si>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</si>
  <si>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</si>
  <si>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</si>
  <si>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</si>
  <si>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</si>
  <si>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</si>
  <si>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</si>
  <si>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</si>
  <si>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</si>
  <si>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</si>
  <si>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</si>
  <si>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</si>
  <si>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</si>
  <si>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</si>
  <si>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</si>
  <si>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</si>
  <si>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</si>
  <si>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</si>
  <si>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</si>
  <si>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</si>
  <si>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</si>
  <si>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</si>
  <si>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</si>
  <si>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</si>
  <si>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</si>
  <si>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</si>
  <si>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</si>
  <si>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</si>
  <si>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</si>
  <si>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</si>
  <si>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</si>
  <si>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</si>
  <si>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</si>
  <si>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</si>
  <si>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</si>
  <si>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</si>
  <si>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</si>
  <si>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</si>
  <si>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</si>
  <si>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</si>
  <si>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</si>
  <si>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</si>
  <si>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</si>
  <si>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</si>
  <si>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</si>
  <si>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</si>
  <si>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</si>
  <si>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</si>
  <si>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</si>
  <si>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</si>
  <si>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</si>
  <si>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</si>
  <si>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</si>
  <si>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</si>
  <si>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</si>
  <si>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</si>
  <si>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</si>
  <si>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</si>
  <si>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</si>
  <si>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</si>
  <si>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</si>
  <si>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</si>
  <si>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</si>
  <si>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</si>
  <si>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</si>
  <si>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</si>
  <si>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</si>
  <si>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</si>
  <si>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</si>
  <si>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</si>
  <si>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</si>
  <si>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</si>
  <si>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</si>
  <si>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</si>
  <si>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</si>
  <si>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</si>
  <si>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</si>
  <si>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</si>
  <si>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</si>
  <si>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</si>
  <si>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</si>
  <si>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</si>
  <si>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</si>
  <si>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</si>
  <si>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</si>
  <si>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</si>
  <si>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</si>
  <si>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</si>
  <si>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</si>
  <si>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</si>
  <si>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</si>
  <si>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</si>
  <si>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</si>
  <si>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</si>
  <si>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</si>
  <si>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</si>
  <si>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</si>
  <si>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</si>
  <si>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</si>
  <si>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</si>
  <si>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</si>
  <si>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</si>
  <si>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</si>
  <si>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</si>
  <si>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</si>
  <si>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</si>
  <si>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</si>
  <si>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</si>
  <si>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</si>
  <si>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</si>
  <si>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</si>
  <si>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</si>
  <si>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</si>
  <si>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</si>
  <si>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</si>
  <si>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</si>
  <si>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</si>
  <si>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</si>
  <si>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</si>
  <si>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</si>
  <si>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</si>
  <si>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</si>
  <si>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</si>
  <si>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</si>
  <si>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</si>
  <si>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</si>
  <si>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</si>
  <si>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</si>
  <si>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</si>
  <si>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</si>
  <si>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</si>
  <si>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</si>
  <si>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</si>
  <si>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</si>
  <si>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</si>
  <si>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</si>
  <si>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</si>
  <si>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</si>
  <si>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</si>
  <si>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</si>
  <si>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</si>
  <si>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</si>
  <si>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</si>
  <si>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</si>
  <si>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</si>
  <si>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</si>
  <si>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</si>
  <si>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</si>
  <si>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</si>
  <si>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</si>
  <si>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</si>
  <si>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</si>
  <si>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</si>
  <si>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</si>
  <si>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</si>
  <si>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</si>
  <si>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</si>
  <si>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</si>
  <si>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</si>
  <si>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</si>
  <si>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</si>
  <si>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</si>
  <si>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</si>
  <si>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</si>
  <si>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</si>
  <si>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</si>
  <si>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</si>
  <si>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</si>
  <si>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</si>
  <si>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</si>
  <si>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</si>
  <si>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</si>
  <si>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</si>
  <si>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</si>
  <si>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</si>
  <si>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</si>
  <si>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</si>
  <si>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</si>
  <si>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</si>
  <si>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</si>
  <si>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</si>
  <si>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</si>
  <si>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</si>
  <si>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</si>
  <si>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</si>
  <si>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</si>
  <si>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</si>
  <si>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</si>
  <si>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</si>
  <si>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</si>
  <si>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</si>
  <si>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</si>
  <si>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</si>
  <si>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</si>
  <si>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</si>
  <si>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</si>
  <si>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</si>
  <si>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</si>
  <si>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</si>
  <si>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</si>
  <si>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</si>
  <si>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</si>
  <si>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</si>
  <si>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</si>
  <si>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</si>
  <si>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</si>
  <si>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</si>
  <si>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</si>
  <si>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</si>
  <si>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</si>
  <si>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</si>
  <si>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</si>
  <si>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</si>
  <si>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</si>
  <si>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</si>
  <si>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</si>
  <si>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</si>
  <si>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</si>
  <si>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</si>
  <si>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</si>
  <si>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</si>
  <si>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</si>
  <si>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</si>
  <si>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</si>
  <si>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</si>
  <si>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</si>
  <si>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</si>
  <si>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</si>
  <si>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</si>
  <si>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</si>
  <si>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</si>
  <si>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</si>
  <si>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</si>
  <si>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</si>
  <si>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</si>
  <si>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</si>
  <si>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</si>
  <si>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</si>
  <si>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</si>
  <si>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</si>
  <si>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</si>
  <si>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</si>
  <si>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</si>
  <si>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</si>
  <si>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</si>
  <si>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</si>
  <si>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</si>
  <si>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</si>
  <si>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</si>
  <si>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</si>
  <si>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</si>
  <si>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</si>
  <si>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</si>
  <si>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</si>
  <si>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</si>
  <si>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</si>
  <si>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</si>
  <si>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</si>
  <si>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</si>
  <si>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</si>
  <si>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</si>
  <si>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</si>
  <si>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</si>
  <si>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</si>
  <si>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</si>
  <si>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</si>
  <si>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</si>
  <si>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</si>
  <si>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</si>
  <si>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</si>
  <si>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</si>
  <si>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</si>
  <si>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</si>
  <si>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</si>
  <si>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</si>
  <si>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</si>
  <si>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</si>
  <si>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</si>
  <si>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</si>
  <si>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</si>
  <si>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</si>
  <si>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</si>
  <si>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</si>
  <si>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</si>
  <si>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</si>
  <si>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</si>
  <si>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</si>
  <si>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</si>
  <si>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</si>
  <si>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</si>
  <si>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</si>
  <si>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</si>
  <si>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</si>
  <si>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</si>
  <si>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</si>
  <si>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</si>
  <si>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</si>
  <si>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</si>
  <si>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</si>
  <si>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</si>
  <si>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</si>
  <si>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</si>
  <si>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</si>
  <si>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</si>
  <si>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</si>
  <si>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</si>
  <si>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</si>
  <si>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</si>
  <si>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</si>
  <si>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</si>
  <si>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</si>
  <si>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</si>
  <si>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</si>
  <si>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</si>
  <si>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</si>
  <si>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</si>
  <si>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</si>
  <si>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</si>
  <si>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</si>
  <si>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</si>
  <si>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</si>
  <si>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</si>
  <si>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</si>
  <si>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</si>
  <si>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</si>
  <si>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</si>
  <si>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</si>
  <si>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</si>
  <si>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</si>
  <si>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</si>
  <si>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</si>
  <si>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</si>
  <si>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</si>
  <si>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</si>
  <si>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</si>
  <si>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</si>
  <si>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</si>
  <si>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</si>
  <si>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</si>
  <si>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</si>
  <si>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</si>
  <si>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</si>
  <si>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</si>
  <si>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</si>
  <si>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</si>
  <si>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</si>
  <si>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</si>
  <si>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</si>
  <si>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</si>
  <si>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</si>
  <si>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</si>
  <si>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</si>
  <si>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</si>
  <si>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</si>
  <si>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</si>
  <si>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</si>
  <si>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</si>
  <si>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</si>
  <si>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</si>
  <si>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</si>
  <si>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</si>
  <si>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</si>
  <si>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</si>
  <si>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</si>
  <si>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</si>
  <si>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</si>
  <si>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</si>
  <si>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</si>
  <si>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</si>
  <si>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</si>
  <si>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</si>
  <si>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</si>
  <si>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</si>
  <si>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</si>
  <si>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</si>
  <si>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</si>
  <si>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</si>
  <si>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</si>
  <si>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</si>
  <si>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</si>
  <si>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</si>
  <si>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</si>
  <si>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</si>
  <si>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</si>
  <si>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</si>
  <si>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</si>
  <si>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</si>
  <si>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</si>
  <si>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</si>
  <si>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</si>
  <si>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</si>
  <si>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</si>
  <si>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</si>
  <si>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</si>
  <si>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</si>
  <si>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</si>
  <si>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</si>
  <si>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</si>
  <si>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</si>
  <si>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</si>
  <si>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</si>
  <si>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</si>
  <si>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</si>
  <si>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</si>
  <si>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</si>
  <si>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</si>
  <si>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</si>
  <si>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</si>
  <si>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</si>
  <si>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</si>
  <si>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</si>
  <si>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</si>
  <si>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</si>
  <si>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</si>
  <si>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</si>
  <si>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</si>
  <si>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</si>
  <si>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</si>
  <si>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</si>
  <si>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</si>
  <si>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</si>
  <si>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</si>
  <si>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</si>
  <si>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</si>
  <si>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</si>
  <si>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</si>
  <si>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</si>
  <si>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</si>
  <si>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</si>
  <si>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</si>
  <si>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</si>
  <si>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</si>
  <si>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</si>
  <si>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</si>
  <si>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</si>
  <si>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</si>
  <si>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</si>
  <si>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</si>
  <si>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</si>
  <si>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</si>
  <si>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</si>
  <si>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</si>
  <si>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</si>
  <si>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</si>
  <si>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</si>
  <si>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</si>
  <si>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</si>
  <si>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</si>
  <si>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</si>
  <si>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</si>
  <si>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</si>
  <si>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</si>
  <si>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</si>
  <si>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</si>
  <si>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</si>
  <si>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</si>
  <si>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</si>
  <si>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</si>
  <si>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</si>
  <si>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</si>
  <si>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</si>
  <si>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</si>
  <si>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</si>
  <si>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</si>
  <si>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</si>
  <si>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</si>
  <si>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</si>
  <si>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</si>
  <si>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</si>
  <si>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</si>
  <si>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</si>
  <si>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</si>
  <si>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</si>
  <si>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</si>
  <si>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</si>
  <si>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</si>
  <si>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</si>
  <si>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</si>
  <si>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</si>
  <si>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</si>
  <si>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</si>
  <si>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</si>
  <si>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</si>
  <si>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</si>
  <si>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</si>
  <si>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</si>
  <si>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</si>
  <si>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</si>
  <si>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</si>
  <si>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</si>
  <si>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</si>
  <si>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</si>
  <si>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</si>
  <si>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</si>
  <si>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</si>
  <si>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</si>
  <si>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</si>
  <si>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</si>
  <si>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</si>
  <si>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</si>
  <si>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</si>
  <si>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</si>
  <si>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</si>
  <si>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</si>
  <si>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</si>
  <si>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</si>
  <si>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</si>
  <si>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</si>
  <si>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</si>
  <si>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</si>
  <si>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</si>
  <si>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</si>
  <si>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</si>
  <si>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</si>
  <si>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</si>
  <si>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</si>
  <si>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</si>
  <si>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</si>
  <si>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</si>
  <si>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</si>
  <si>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</si>
  <si>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</si>
  <si>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</si>
  <si>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</si>
  <si>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</si>
  <si>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</si>
  <si>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</si>
  <si>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</si>
  <si>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</si>
  <si>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</si>
  <si>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</si>
  <si>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</si>
  <si>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</si>
  <si>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</si>
  <si>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</si>
  <si>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</si>
  <si>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</si>
  <si>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</si>
  <si>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</si>
  <si>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</si>
  <si>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</si>
  <si>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</si>
  <si>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</si>
  <si>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</si>
  <si>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</si>
  <si>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</si>
  <si>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</si>
  <si>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</si>
  <si>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</si>
  <si>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</si>
  <si>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</si>
  <si>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</si>
  <si>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</si>
  <si>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</si>
  <si>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</si>
  <si>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</si>
  <si>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</si>
  <si>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</si>
  <si>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</si>
  <si>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</si>
  <si>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</si>
  <si>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</si>
  <si>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</si>
  <si>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</si>
  <si>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</si>
  <si>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</si>
  <si>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</si>
  <si>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</si>
  <si>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</si>
  <si>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</si>
  <si>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</si>
  <si>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</si>
  <si>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</si>
  <si>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</si>
  <si>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</si>
  <si>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</si>
  <si>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</si>
  <si>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</si>
  <si>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</si>
  <si>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</si>
  <si>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</si>
  <si>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</si>
  <si>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</si>
  <si>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</si>
  <si>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</si>
  <si>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</si>
  <si>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</si>
  <si>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</si>
  <si>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</si>
  <si>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</si>
  <si>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</si>
  <si>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</si>
  <si>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</si>
  <si>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</si>
  <si>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</si>
  <si>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</si>
  <si>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</si>
  <si>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</si>
  <si>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</si>
  <si>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</si>
  <si>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</si>
  <si>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</si>
  <si>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</si>
  <si>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</si>
  <si>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</si>
  <si>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</si>
  <si>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</si>
  <si>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</si>
  <si>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</si>
  <si>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</si>
  <si>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</si>
  <si>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</si>
  <si>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</si>
  <si>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</si>
  <si>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</si>
  <si>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</si>
  <si>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</si>
  <si>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</si>
  <si>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</si>
  <si>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</si>
  <si>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</si>
  <si>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</si>
  <si>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</si>
  <si>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</si>
  <si>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</si>
  <si>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</si>
  <si>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</si>
  <si>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</si>
  <si>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</si>
  <si>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</si>
  <si>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</si>
  <si>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</si>
  <si>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</si>
  <si>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</si>
  <si>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</si>
  <si>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</si>
  <si>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</si>
  <si>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</si>
  <si>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</si>
  <si>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</si>
  <si>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</si>
  <si>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</si>
  <si>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</si>
  <si>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</si>
  <si>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</si>
  <si>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</si>
  <si>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</si>
  <si>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</si>
  <si>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</si>
  <si>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</si>
  <si>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</si>
  <si>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</si>
  <si>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</si>
  <si>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</si>
  <si>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</si>
  <si>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</si>
  <si>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</si>
  <si>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</si>
  <si>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</si>
  <si>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</si>
  <si>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</si>
  <si>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</si>
  <si>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</si>
  <si>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</si>
  <si>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</si>
  <si>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</si>
  <si>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</si>
  <si>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</si>
  <si>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</si>
  <si>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</si>
  <si>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</si>
  <si>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</si>
  <si>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</si>
  <si>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</si>
  <si>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</si>
  <si>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</si>
  <si>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</si>
  <si>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</si>
  <si>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</si>
  <si>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</si>
  <si>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</si>
  <si>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</si>
  <si>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</si>
  <si>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</si>
  <si>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</si>
  <si>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</si>
  <si>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</si>
  <si>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</si>
  <si>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</si>
  <si>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</si>
  <si>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</si>
  <si>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</si>
  <si>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</si>
  <si>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</si>
  <si>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</si>
  <si>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</si>
  <si>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</si>
  <si>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</si>
  <si>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</si>
  <si>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</si>
  <si>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</si>
  <si>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</si>
  <si>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</si>
  <si>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</si>
  <si>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</si>
  <si>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</si>
  <si>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</si>
  <si>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</si>
  <si>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</si>
  <si>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</si>
  <si>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</si>
  <si>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</si>
  <si>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</si>
  <si>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</si>
  <si>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</si>
  <si>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</si>
  <si>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</si>
  <si>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</si>
  <si>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</si>
  <si>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</si>
  <si>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</si>
  <si>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</si>
  <si>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</si>
  <si>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</si>
  <si>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</si>
  <si>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</si>
  <si>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</si>
  <si>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</si>
  <si>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</si>
  <si>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</si>
  <si>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</si>
  <si>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</si>
  <si>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</si>
  <si>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</si>
  <si>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</si>
  <si>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</si>
  <si>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</si>
  <si>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</si>
  <si>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</si>
  <si>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</si>
  <si>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</si>
  <si>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</si>
  <si>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</si>
  <si>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</si>
  <si>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</si>
  <si>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</si>
  <si>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</si>
  <si>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</si>
  <si>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</si>
  <si>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</si>
  <si>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</si>
  <si>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</si>
  <si>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</si>
  <si>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</si>
  <si>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</si>
  <si>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</si>
  <si>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</si>
  <si>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</si>
  <si>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</si>
  <si>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</si>
  <si>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</si>
  <si>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</si>
  <si>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</si>
  <si>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</si>
  <si>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</si>
  <si>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</si>
  <si>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</si>
  <si>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</si>
  <si>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</si>
  <si>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</si>
  <si>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</si>
  <si>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</si>
  <si>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</si>
  <si>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</si>
  <si>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</si>
  <si>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</si>
  <si>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</si>
  <si>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</si>
  <si>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</si>
  <si>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</si>
  <si>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</si>
  <si>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</si>
  <si>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</si>
  <si>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</si>
  <si>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</si>
  <si>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</si>
  <si>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</si>
  <si>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</si>
  <si>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</si>
  <si>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</si>
  <si>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</si>
  <si>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</si>
  <si>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</si>
  <si>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</si>
  <si>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</si>
  <si>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</si>
  <si>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</si>
  <si>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</si>
  <si>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</si>
  <si>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</si>
  <si>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</si>
  <si>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</si>
  <si>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</si>
  <si>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</si>
  <si>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</si>
  <si>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</si>
  <si>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</si>
  <si>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</si>
  <si>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</si>
  <si>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</si>
  <si>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</si>
  <si>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</si>
  <si>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</si>
  <si>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</si>
  <si>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</si>
  <si>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</si>
  <si>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</si>
  <si>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</si>
  <si>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</si>
  <si>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</si>
  <si>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</si>
  <si>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</si>
  <si>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</si>
  <si>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</si>
  <si>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</si>
  <si>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</si>
  <si>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</si>
  <si>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</si>
  <si>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</si>
  <si>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</si>
  <si>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</si>
  <si>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</si>
  <si>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</si>
  <si>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</si>
  <si>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</si>
  <si>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</si>
  <si>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</si>
  <si>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</si>
  <si>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</si>
  <si>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</si>
  <si>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</si>
  <si>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</si>
  <si>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</si>
  <si>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</si>
  <si>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</si>
  <si>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</si>
  <si>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</si>
  <si>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</si>
  <si>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</si>
  <si>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</si>
  <si>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</si>
  <si>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</si>
  <si>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</si>
  <si>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</si>
  <si>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</si>
  <si>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</si>
  <si>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</si>
  <si>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</si>
  <si>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</si>
  <si>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</si>
  <si>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</si>
  <si>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</si>
  <si>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</si>
  <si>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</si>
  <si>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</si>
  <si>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</si>
  <si>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</si>
  <si>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</si>
  <si>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</si>
  <si>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</si>
  <si>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</si>
  <si>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</si>
  <si>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</si>
  <si>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</si>
  <si>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</si>
  <si>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</si>
  <si>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</si>
  <si>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</si>
  <si>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</si>
  <si>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</si>
  <si>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</si>
  <si>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</si>
  <si>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</si>
  <si>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</si>
  <si>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</si>
  <si>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</si>
  <si>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</si>
  <si>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</si>
  <si>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</si>
  <si>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</si>
  <si>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</si>
  <si>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</si>
  <si>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</si>
  <si>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</si>
  <si>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</si>
  <si>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</si>
  <si>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</si>
  <si>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</si>
  <si>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</si>
  <si>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</si>
  <si>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</si>
  <si>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</si>
  <si>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</si>
  <si>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</si>
  <si>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</si>
  <si>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</si>
  <si>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</si>
  <si>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</si>
  <si>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</si>
  <si>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</si>
  <si>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</si>
  <si>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</si>
  <si>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</si>
  <si>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</si>
  <si>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</si>
  <si>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</si>
  <si>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</si>
  <si>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</si>
  <si>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</si>
  <si>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</si>
  <si>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</si>
  <si>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</si>
  <si>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</si>
  <si>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</si>
  <si>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</si>
  <si>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</si>
  <si>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</si>
  <si>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</si>
  <si>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</si>
  <si>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</si>
  <si>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</si>
  <si>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</si>
  <si>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</si>
  <si>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</si>
  <si>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</si>
  <si>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</si>
  <si>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</si>
  <si>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</si>
  <si>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</si>
  <si>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</si>
  <si>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</si>
  <si>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</si>
  <si>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</si>
  <si>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</si>
  <si>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</si>
  <si>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</si>
  <si>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</si>
  <si>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</si>
  <si>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</si>
  <si>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</si>
  <si>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</si>
  <si>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</si>
  <si>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</si>
  <si>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</si>
  <si>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</si>
  <si>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</si>
  <si>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</si>
  <si>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</si>
  <si>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</si>
  <si>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</si>
  <si>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</si>
  <si>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</si>
  <si>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</si>
  <si>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</si>
  <si>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</si>
  <si>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</si>
  <si>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</si>
  <si>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</si>
  <si>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</si>
  <si>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</si>
  <si>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</si>
  <si>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</si>
  <si>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</si>
  <si>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</si>
  <si>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</si>
  <si>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</si>
  <si>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</si>
  <si>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</si>
  <si>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</si>
  <si>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</si>
  <si>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</si>
  <si>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</si>
  <si>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</si>
  <si>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</si>
  <si>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</si>
  <si>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</si>
  <si>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</si>
  <si>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</si>
  <si>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</si>
  <si>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</si>
  <si>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</si>
  <si>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</si>
  <si>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</si>
  <si>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</si>
  <si>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</si>
  <si>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</si>
  <si>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</si>
  <si>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</si>
  <si>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</si>
  <si>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</si>
  <si>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</si>
  <si>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</si>
  <si>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</si>
  <si>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</si>
  <si>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</si>
  <si>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</si>
  <si>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</si>
  <si>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</si>
  <si>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</si>
  <si>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</si>
  <si>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</si>
  <si>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</si>
  <si>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</si>
  <si>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</si>
  <si>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</si>
  <si>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</si>
  <si>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</si>
  <si>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</si>
  <si>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</si>
  <si>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</si>
  <si>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</si>
  <si>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</si>
  <si>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</si>
  <si>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</si>
  <si>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</si>
  <si>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</si>
  <si>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</si>
  <si>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</si>
  <si>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</si>
  <si>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</si>
  <si>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</si>
  <si>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</si>
  <si>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</si>
  <si>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</si>
  <si>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</si>
  <si>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</si>
  <si>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</si>
  <si>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</si>
  <si>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</si>
  <si>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</si>
  <si>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</si>
  <si>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</si>
  <si>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</si>
  <si>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</si>
  <si>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</si>
  <si>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</si>
  <si>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</si>
  <si>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</si>
  <si>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</si>
  <si>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</si>
  <si>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</si>
  <si>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</si>
  <si>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</si>
  <si>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</si>
  <si>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</si>
  <si>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</si>
  <si>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</si>
  <si>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</si>
  <si>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</si>
  <si>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</si>
  <si>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</si>
  <si>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</si>
  <si>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</si>
  <si>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</si>
  <si>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</si>
  <si>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</si>
  <si>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</si>
  <si>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</si>
  <si>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</si>
  <si>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</si>
  <si>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</si>
  <si>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</si>
  <si>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</si>
  <si>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</si>
  <si>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</si>
  <si>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</si>
  <si>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</si>
  <si>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</si>
  <si>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</si>
  <si>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</si>
  <si>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</si>
  <si>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</si>
  <si>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</si>
  <si>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</si>
  <si>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</si>
  <si>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</si>
  <si>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</si>
  <si>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</si>
  <si>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</si>
  <si>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</si>
  <si>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</si>
  <si>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</si>
  <si>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</si>
  <si>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</si>
  <si>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</si>
  <si>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</si>
  <si>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</si>
  <si>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</si>
  <si>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</si>
  <si>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</si>
  <si>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</si>
  <si>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</si>
  <si>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</si>
  <si>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</si>
  <si>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</si>
  <si>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</si>
  <si>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</si>
  <si>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</si>
  <si>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</si>
  <si>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</si>
  <si>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</si>
  <si>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</si>
  <si>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</si>
  <si>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</si>
  <si>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</si>
  <si>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</si>
  <si>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</si>
  <si>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</si>
  <si>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</si>
  <si>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</si>
  <si>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</si>
  <si>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</si>
  <si>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</si>
  <si>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</si>
  <si>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</si>
  <si>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</si>
  <si>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</si>
  <si>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</si>
  <si>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</si>
  <si>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</si>
  <si>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</si>
  <si>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</si>
  <si>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</si>
  <si>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</si>
  <si>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</si>
  <si>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</si>
  <si>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</si>
  <si>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</si>
  <si>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</si>
  <si>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</si>
  <si>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</si>
  <si>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</si>
  <si>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</si>
  <si>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</si>
  <si>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</si>
  <si>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</si>
  <si>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</si>
  <si>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</si>
  <si>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</si>
  <si>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</si>
  <si>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</si>
  <si>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</si>
  <si>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</si>
  <si>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</si>
  <si>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</si>
  <si>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</si>
  <si>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</si>
  <si>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</si>
  <si>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</si>
  <si>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</si>
  <si>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</si>
  <si>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</si>
  <si>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</si>
  <si>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</si>
  <si>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</si>
  <si>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</si>
  <si>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</si>
  <si>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</si>
  <si>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</si>
  <si>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</si>
  <si>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</si>
  <si>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</si>
  <si>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</si>
  <si>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</si>
  <si>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</si>
  <si>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</si>
  <si>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</si>
  <si>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</si>
  <si>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</si>
  <si>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</si>
  <si>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</si>
  <si>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</si>
  <si>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</si>
  <si>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</si>
  <si>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</si>
  <si>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</si>
  <si>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</si>
  <si>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</si>
  <si>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</si>
  <si>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</si>
  <si>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</si>
  <si>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</si>
  <si>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</si>
  <si>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</si>
  <si>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</si>
  <si>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</si>
  <si>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</si>
  <si>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</si>
  <si>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</si>
  <si>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</si>
  <si>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</si>
  <si>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</si>
  <si>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</si>
  <si>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</si>
  <si>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</si>
  <si>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</si>
  <si>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</si>
  <si>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</si>
  <si>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</si>
  <si>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</si>
  <si>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</si>
  <si>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</si>
  <si>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</si>
  <si>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</si>
  <si>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</si>
  <si>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</si>
  <si>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</si>
  <si>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</si>
  <si>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</si>
  <si>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</si>
  <si>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</si>
  <si>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</si>
  <si>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</si>
  <si>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</si>
  <si>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</si>
  <si>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</si>
  <si>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</si>
  <si>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</si>
  <si>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</si>
  <si>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</si>
  <si>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</si>
  <si>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</si>
  <si>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</si>
  <si>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</si>
  <si>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</si>
  <si>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</si>
  <si>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</si>
  <si>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</si>
  <si>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</si>
  <si>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</si>
  <si>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</si>
  <si>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</si>
  <si>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</si>
  <si>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</si>
  <si>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</si>
  <si>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</si>
  <si>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</si>
  <si>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</si>
  <si>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</si>
  <si>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</si>
  <si>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</si>
  <si>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</si>
  <si>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</si>
  <si>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</si>
  <si>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</si>
  <si>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</si>
  <si>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</si>
  <si>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</si>
  <si>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</si>
  <si>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</si>
  <si>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</si>
  <si>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</si>
  <si>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</si>
  <si>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</si>
  <si>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</si>
  <si>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</si>
  <si>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</si>
  <si>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</si>
  <si>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</si>
  <si>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</si>
  <si>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</si>
  <si>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</si>
  <si>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</si>
  <si>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</si>
  <si>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</si>
  <si>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</si>
  <si>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</si>
  <si>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</si>
  <si>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</si>
  <si>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</si>
  <si>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</si>
  <si>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</si>
  <si>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</si>
  <si>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</si>
  <si>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</si>
  <si>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</si>
  <si>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</si>
  <si>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</si>
  <si>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</si>
  <si>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</si>
  <si>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</si>
  <si>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</si>
  <si>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</si>
  <si>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</si>
  <si>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</si>
  <si>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</si>
  <si>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</si>
  <si>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</si>
  <si>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</si>
  <si>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</si>
  <si>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</si>
  <si>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</si>
  <si>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</si>
  <si>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</si>
  <si>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</si>
  <si>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</si>
  <si>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</si>
  <si>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</si>
  <si>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</si>
  <si>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</si>
  <si>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</si>
  <si>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</si>
  <si>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</si>
  <si>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</si>
  <si>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</si>
  <si>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</si>
  <si>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</si>
  <si>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</si>
  <si>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</si>
  <si>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</si>
  <si>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</si>
  <si>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</si>
  <si>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</si>
  <si>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</si>
  <si>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</si>
  <si>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</si>
  <si>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</si>
  <si>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</si>
  <si>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</si>
  <si>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</si>
  <si>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</si>
  <si>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</si>
  <si>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</si>
  <si>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</si>
  <si>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</si>
  <si>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</si>
  <si>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</si>
  <si>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</si>
  <si>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</si>
  <si>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</si>
  <si>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</si>
  <si>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</si>
  <si>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</si>
  <si>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</si>
  <si>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</si>
  <si>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</si>
  <si>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</si>
  <si>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</si>
  <si>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</si>
  <si>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</si>
  <si>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</si>
  <si>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</si>
  <si>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</si>
  <si>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</si>
  <si>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</si>
  <si>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</si>
  <si>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</si>
  <si>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</si>
  <si>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</si>
  <si>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</si>
  <si>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</si>
  <si>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</si>
  <si>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</si>
  <si>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</si>
  <si>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</si>
  <si>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</si>
  <si>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</si>
  <si>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</si>
  <si>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</si>
  <si>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</si>
  <si>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</si>
  <si>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</si>
  <si>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</si>
  <si>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</si>
  <si>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</si>
  <si>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</si>
  <si>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</si>
  <si>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</si>
  <si>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</si>
  <si>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</si>
  <si>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</si>
  <si>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</si>
  <si>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</si>
  <si>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</si>
  <si>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</si>
  <si>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</si>
  <si>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</si>
  <si>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</si>
  <si>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</si>
  <si>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</si>
  <si>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</si>
  <si>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</si>
  <si>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</si>
  <si>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</si>
  <si>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</si>
  <si>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</si>
  <si>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</si>
  <si>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</si>
  <si>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</si>
  <si>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</si>
  <si>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</si>
  <si>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</si>
  <si>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</si>
  <si>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</si>
  <si>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</si>
  <si>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</si>
  <si>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</si>
  <si>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</si>
  <si>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</si>
  <si>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</si>
  <si>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</si>
  <si>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</si>
  <si>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</si>
  <si>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</si>
  <si>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</si>
  <si>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</si>
  <si>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</si>
  <si>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</si>
  <si>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</si>
  <si>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</si>
  <si>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</si>
  <si>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</si>
  <si>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</si>
  <si>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</si>
  <si>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</si>
  <si>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</si>
  <si>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</si>
  <si>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</si>
  <si>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</si>
  <si>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</si>
  <si>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</si>
  <si>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</si>
  <si>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</si>
  <si>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</si>
  <si>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</si>
  <si>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</si>
  <si>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</si>
  <si>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</si>
  <si>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</si>
  <si>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</si>
  <si>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</si>
  <si>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</si>
  <si>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</si>
  <si>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</si>
  <si>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</si>
  <si>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</si>
  <si>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</si>
  <si>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</si>
  <si>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</si>
  <si>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</si>
  <si>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</si>
  <si>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</si>
  <si>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</si>
  <si>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</si>
  <si>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</si>
  <si>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</si>
  <si>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</si>
  <si>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</si>
  <si>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</si>
  <si>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</si>
  <si>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</si>
  <si>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</si>
  <si>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</si>
  <si>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</si>
  <si>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</si>
  <si>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</si>
  <si>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</si>
  <si>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</si>
  <si>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</si>
  <si>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</si>
  <si>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</si>
  <si>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</si>
  <si>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</si>
  <si>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</si>
  <si>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</si>
  <si>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</si>
  <si>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</si>
  <si>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</si>
  <si>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</si>
  <si>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</si>
  <si>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</si>
  <si>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</si>
  <si>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</si>
  <si>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</si>
  <si>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</si>
  <si>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</si>
  <si>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</si>
  <si>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</si>
  <si>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</si>
  <si>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</si>
  <si>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</si>
  <si>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</si>
  <si>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</si>
  <si>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</si>
  <si>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</si>
  <si>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</si>
  <si>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</si>
  <si>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</si>
  <si>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</si>
  <si>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</si>
  <si>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</si>
  <si>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</si>
  <si>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</si>
  <si>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</si>
  <si>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</si>
  <si>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</si>
  <si>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</si>
  <si>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</si>
  <si>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</si>
  <si>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</si>
  <si>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</si>
  <si>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</si>
  <si>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</si>
  <si>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</si>
  <si>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</si>
  <si>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</si>
  <si>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</si>
  <si>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</si>
  <si>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</si>
  <si>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</si>
  <si>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</si>
  <si>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</si>
  <si>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</si>
  <si>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</si>
  <si>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</si>
  <si>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</si>
  <si>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</si>
  <si>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</si>
  <si>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</si>
  <si>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</si>
  <si>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</si>
  <si>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</si>
  <si>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</si>
  <si>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</si>
  <si>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</si>
  <si>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</si>
  <si>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</si>
  <si>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</si>
  <si>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</si>
  <si>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</si>
  <si>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</si>
  <si>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</si>
  <si>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</si>
  <si>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</si>
  <si>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</si>
  <si>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</si>
  <si>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</si>
  <si>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</si>
  <si>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</si>
  <si>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</si>
  <si>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</si>
  <si>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</si>
  <si>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</si>
  <si>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</si>
  <si>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</si>
  <si>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</si>
  <si>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</si>
  <si>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</si>
  <si>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</si>
  <si>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</si>
  <si>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</si>
  <si>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</si>
  <si>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</si>
  <si>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</si>
  <si>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</si>
  <si>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</si>
  <si>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</si>
  <si>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</si>
  <si>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</si>
  <si>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</si>
  <si>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</si>
  <si>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</si>
  <si>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</si>
  <si>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</si>
  <si>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</si>
  <si>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</si>
  <si>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</si>
  <si>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</si>
  <si>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</si>
  <si>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</si>
  <si>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</si>
  <si>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</si>
  <si>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</si>
  <si>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</si>
  <si>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</si>
  <si>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</si>
  <si>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</si>
  <si>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</si>
  <si>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</si>
  <si>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</si>
  <si>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</si>
  <si>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</si>
  <si>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</si>
  <si>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</si>
  <si>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</si>
  <si>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</si>
  <si>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</si>
  <si>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</si>
  <si>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</si>
  <si>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</si>
  <si>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</si>
  <si>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</si>
  <si>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</si>
  <si>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</si>
  <si>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</si>
  <si>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</si>
  <si>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</si>
  <si>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</si>
  <si>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</si>
  <si>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</si>
  <si>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</si>
  <si>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</si>
  <si>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</si>
  <si>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</si>
  <si>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</si>
  <si>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</si>
  <si>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</si>
  <si>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</si>
  <si>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</si>
  <si>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</si>
  <si>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</si>
  <si>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</si>
  <si>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</si>
  <si>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</si>
  <si>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</si>
  <si>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</si>
  <si>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</si>
  <si>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</si>
  <si>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</si>
  <si>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</si>
  <si>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</si>
  <si>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</si>
  <si>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</si>
  <si>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</si>
  <si>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</si>
  <si>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</si>
  <si>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</si>
  <si>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</si>
  <si>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</si>
  <si>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</si>
  <si>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</si>
  <si>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</si>
  <si>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</si>
  <si>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</si>
  <si>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</si>
  <si>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</si>
  <si>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</si>
  <si>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</si>
  <si>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</si>
  <si>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</si>
  <si>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</si>
  <si>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</si>
  <si>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</si>
  <si>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</si>
  <si>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</si>
  <si>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</si>
  <si>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</si>
  <si>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</si>
  <si>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</si>
  <si>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</si>
  <si>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</si>
  <si>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</si>
  <si>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</si>
  <si>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</si>
  <si>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</si>
  <si>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</si>
  <si>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</si>
  <si>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</si>
  <si>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</si>
  <si>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</si>
  <si>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</si>
  <si>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</si>
  <si>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</si>
  <si>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</si>
  <si>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</si>
  <si>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</si>
  <si>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</si>
  <si>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</si>
  <si>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</si>
  <si>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</si>
  <si>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</si>
  <si>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</si>
  <si>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</si>
  <si>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</si>
  <si>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</si>
  <si>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</si>
  <si>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</si>
  <si>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</si>
  <si>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</si>
  <si>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</si>
  <si>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</si>
  <si>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</si>
  <si>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</si>
  <si>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</si>
  <si>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</si>
  <si>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</si>
  <si>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</si>
  <si>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</si>
  <si>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</si>
  <si>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</si>
  <si>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</si>
  <si>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</si>
  <si>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</si>
  <si>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</si>
  <si>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</si>
  <si>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</si>
  <si>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</si>
  <si>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</si>
  <si>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</si>
  <si>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</si>
  <si>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</si>
  <si>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</si>
  <si>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</si>
  <si>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</si>
  <si>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</si>
  <si>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</si>
  <si>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</si>
  <si>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</si>
  <si>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</si>
  <si>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</si>
  <si>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</si>
  <si>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</si>
  <si>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</si>
  <si>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</si>
  <si>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</si>
  <si>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</si>
  <si>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</si>
  <si>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</si>
  <si>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</si>
  <si>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</si>
  <si>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</si>
  <si>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</si>
  <si>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</si>
  <si>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</si>
  <si>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</si>
  <si>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</si>
  <si>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</si>
  <si>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</si>
  <si>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</si>
  <si>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</si>
  <si>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</si>
  <si>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</si>
  <si>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</si>
  <si>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</si>
  <si>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</si>
  <si>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</si>
  <si>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</si>
  <si>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</si>
  <si>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</si>
  <si>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</si>
  <si>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</si>
  <si>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</si>
  <si>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</si>
  <si>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</si>
  <si>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</si>
  <si>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</si>
  <si>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</si>
  <si>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</si>
  <si>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</si>
  <si>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</si>
  <si>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</si>
  <si>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</si>
  <si>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</si>
  <si>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</si>
  <si>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</si>
  <si>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</si>
  <si>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</si>
  <si>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</si>
  <si>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</si>
  <si>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</si>
  <si>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</si>
  <si>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</si>
  <si>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</si>
  <si>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</si>
  <si>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</si>
  <si>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</si>
  <si>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</si>
  <si>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</si>
  <si>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</si>
  <si>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</si>
  <si>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</si>
  <si>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</si>
  <si>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</si>
  <si>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</si>
  <si>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</si>
  <si>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</si>
  <si>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</si>
  <si>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</si>
  <si>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</si>
  <si>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</si>
  <si>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</si>
  <si>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</si>
  <si>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</si>
  <si>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</si>
  <si>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</si>
  <si>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</si>
  <si>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</si>
  <si>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</si>
  <si>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</si>
  <si>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</si>
  <si>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</si>
  <si>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</si>
  <si>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</si>
  <si>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</si>
  <si>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</si>
  <si>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</si>
  <si>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</si>
  <si>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</si>
  <si>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</si>
  <si>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</si>
  <si>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</si>
  <si>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</si>
  <si>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</si>
  <si>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</si>
  <si>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</si>
  <si>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</si>
  <si>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</si>
  <si>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</si>
  <si>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</si>
  <si>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</si>
  <si>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</si>
  <si>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</si>
  <si>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</si>
  <si>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</si>
  <si>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</si>
  <si>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</si>
  <si>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</si>
  <si>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</si>
  <si>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</si>
  <si>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</si>
  <si>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</si>
  <si>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</si>
  <si>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</si>
  <si>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</si>
  <si>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</si>
  <si>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</si>
  <si>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</si>
  <si>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</si>
  <si>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</si>
  <si>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</si>
  <si>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</si>
  <si>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</si>
  <si>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</si>
  <si>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</si>
  <si>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</si>
  <si>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</si>
  <si>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</si>
  <si>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</si>
  <si>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</si>
  <si>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</si>
  <si>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</si>
  <si>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</si>
  <si>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</si>
  <si>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</si>
  <si>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</si>
  <si>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</si>
  <si>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</si>
  <si>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</si>
  <si>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</si>
  <si>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</si>
  <si>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</si>
  <si>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</si>
  <si>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</si>
  <si>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</si>
  <si>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</si>
  <si>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</si>
  <si>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</si>
  <si>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</si>
  <si>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</si>
  <si>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</si>
  <si>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</si>
  <si>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</si>
  <si>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</si>
  <si>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</si>
  <si>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</si>
  <si>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</si>
  <si>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</si>
  <si>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</si>
  <si>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</si>
  <si>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</si>
  <si>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</si>
  <si>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</si>
  <si>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</si>
  <si>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</si>
  <si>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</si>
  <si>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</si>
  <si>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</si>
  <si>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</si>
  <si>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</si>
  <si>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</si>
  <si>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</si>
  <si>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</si>
  <si>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</si>
  <si>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</si>
  <si>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</si>
  <si>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</si>
  <si>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</si>
  <si>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</si>
  <si>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</si>
  <si>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</si>
  <si>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</si>
  <si>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</si>
  <si>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</si>
  <si>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</si>
  <si>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</si>
  <si>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</si>
  <si>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</si>
  <si>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</si>
  <si>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</si>
  <si>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</si>
  <si>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</si>
  <si>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</si>
  <si>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</si>
  <si>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</si>
  <si>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</si>
  <si>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</si>
  <si>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</si>
  <si>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</si>
  <si>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</si>
  <si>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</si>
  <si>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</si>
  <si>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</si>
  <si>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</si>
  <si>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</si>
  <si>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</si>
  <si>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</si>
  <si>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</si>
  <si>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</si>
  <si>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</si>
  <si>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</si>
  <si>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</si>
  <si>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</si>
  <si>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</si>
  <si>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</si>
  <si>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</si>
  <si>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</si>
  <si>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</si>
  <si>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</si>
  <si>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</si>
  <si>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</si>
  <si>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</si>
  <si>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</si>
  <si>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</si>
  <si>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</si>
  <si>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</si>
  <si>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</si>
  <si>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</si>
  <si>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</si>
  <si>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</si>
  <si>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</si>
  <si>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</si>
  <si>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</si>
  <si>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</si>
  <si>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</si>
  <si>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</si>
  <si>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</si>
  <si>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</si>
  <si>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</si>
  <si>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</si>
  <si>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</si>
  <si>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</si>
  <si>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</si>
  <si>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</si>
  <si>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</si>
  <si>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</si>
  <si>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</si>
  <si>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</si>
  <si>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</si>
  <si>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</si>
  <si>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</si>
  <si>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</si>
  <si>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</si>
  <si>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</si>
  <si>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</si>
  <si>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</si>
  <si>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</si>
  <si>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</si>
  <si>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</si>
  <si>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</si>
  <si>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</si>
  <si>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</si>
  <si>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</si>
  <si>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</si>
  <si>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</si>
  <si>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</si>
  <si>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</si>
  <si>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</si>
  <si>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</si>
  <si>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</si>
  <si>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</si>
  <si>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</si>
  <si>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</si>
  <si>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</si>
  <si>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</si>
  <si>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</si>
  <si>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</si>
  <si>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</si>
  <si>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</si>
  <si>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</si>
  <si>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</si>
  <si>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</si>
  <si>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</si>
  <si>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</si>
  <si>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</si>
  <si>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</si>
  <si>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</si>
  <si>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</si>
  <si>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</si>
  <si>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</si>
  <si>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</si>
  <si>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</si>
  <si>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</si>
  <si>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</si>
  <si>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</si>
  <si>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</si>
  <si>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</si>
  <si>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</si>
  <si>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</si>
  <si>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</si>
  <si>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</si>
  <si>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</si>
  <si>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</si>
  <si>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</si>
  <si>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</si>
  <si>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</si>
  <si>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</si>
  <si>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</si>
  <si>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</si>
  <si>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</si>
  <si>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</si>
  <si>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</si>
  <si>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</si>
  <si>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</si>
  <si>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</si>
  <si>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</si>
  <si>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</si>
  <si>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</si>
  <si>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</si>
  <si>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</si>
  <si>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</si>
  <si>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</si>
  <si>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</si>
  <si>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</si>
  <si>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</si>
  <si>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</si>
  <si>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</si>
  <si>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</si>
  <si>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</si>
  <si>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</si>
  <si>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</si>
  <si>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</si>
  <si>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</si>
  <si>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</si>
  <si>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</si>
  <si>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</si>
  <si>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</si>
  <si>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</si>
  <si>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</si>
  <si>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</si>
  <si>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</si>
  <si>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</si>
  <si>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</si>
  <si>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</si>
  <si>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</si>
  <si>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</si>
  <si>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</si>
  <si>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</si>
  <si>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</si>
  <si>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</si>
  <si>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</si>
  <si>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</si>
  <si>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</si>
  <si>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</si>
  <si>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</si>
  <si>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</si>
  <si>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</si>
  <si>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</si>
  <si>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</si>
  <si>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</si>
  <si>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</si>
  <si>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</si>
  <si>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</si>
  <si>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</si>
  <si>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</si>
  <si>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</si>
  <si>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</si>
  <si>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</si>
  <si>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</si>
  <si>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</si>
  <si>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</si>
  <si>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</si>
  <si>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</si>
  <si>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</si>
  <si>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</si>
  <si>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</si>
  <si>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</si>
  <si>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</si>
  <si>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</si>
  <si>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</si>
  <si>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</si>
  <si>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</si>
  <si>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</si>
  <si>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</si>
  <si>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</si>
  <si>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</si>
  <si>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</si>
  <si>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</si>
  <si>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</si>
  <si>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</si>
  <si>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</si>
  <si>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</si>
  <si>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</si>
  <si>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</si>
  <si>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</si>
  <si>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</si>
  <si>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</si>
  <si>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</si>
  <si>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</si>
  <si>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</si>
  <si>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</si>
  <si>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</si>
  <si>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</si>
  <si>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</si>
  <si>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</si>
  <si>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</si>
  <si>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</si>
  <si>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</si>
  <si>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</si>
  <si>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</si>
  <si>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</si>
  <si>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</si>
  <si>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</si>
  <si>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</si>
  <si>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</si>
  <si>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</si>
  <si>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</si>
  <si>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</si>
  <si>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</si>
  <si>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</si>
  <si>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</si>
  <si>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</si>
  <si>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</si>
  <si>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</si>
  <si>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</si>
  <si>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</si>
  <si>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</si>
  <si>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</si>
  <si>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</si>
  <si>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</si>
  <si>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</si>
  <si>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</si>
  <si>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</si>
  <si>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</si>
  <si>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</si>
  <si>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</si>
  <si>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</si>
  <si>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</si>
  <si>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</si>
  <si>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</si>
  <si>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</si>
  <si>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</si>
  <si>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</si>
  <si>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</si>
  <si>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</si>
  <si>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</si>
  <si>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</si>
  <si>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</si>
  <si>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</si>
  <si>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</si>
  <si>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</si>
  <si>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</si>
  <si>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</si>
  <si>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</si>
  <si>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</si>
  <si>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</si>
  <si>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</si>
  <si>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</si>
  <si>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</si>
  <si>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</si>
  <si>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</si>
  <si>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</si>
  <si>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</si>
  <si>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</si>
  <si>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</si>
  <si>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</si>
  <si>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</si>
  <si>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</si>
  <si>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</si>
  <si>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</si>
  <si>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</si>
  <si>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</si>
  <si>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</si>
  <si>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</si>
  <si>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</si>
  <si>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</si>
  <si>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</si>
  <si>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</si>
  <si>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</si>
  <si>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</si>
  <si>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</si>
  <si>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</si>
  <si>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</si>
  <si>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</si>
  <si>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</si>
  <si>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</si>
  <si>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</si>
  <si>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</si>
  <si>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</si>
  <si>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</si>
  <si>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</si>
  <si>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</si>
  <si>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</si>
  <si>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</si>
  <si>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</si>
  <si>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</si>
  <si>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</si>
  <si>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</si>
  <si>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</si>
  <si>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</si>
  <si>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</si>
  <si>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</si>
  <si>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</si>
  <si>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</si>
  <si>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</si>
  <si>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</si>
  <si>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</si>
  <si>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</si>
  <si>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</si>
  <si>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</si>
  <si>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</si>
  <si>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</si>
  <si>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</si>
  <si>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</si>
  <si>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</si>
  <si>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</si>
  <si>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</si>
  <si>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</si>
  <si>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</si>
  <si>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</si>
  <si>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</si>
  <si>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</si>
  <si>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</si>
  <si>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</si>
  <si>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</si>
  <si>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</si>
  <si>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</si>
  <si>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</si>
  <si>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</si>
  <si>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</si>
  <si>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</si>
  <si>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</si>
  <si>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</si>
  <si>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</si>
  <si>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</si>
  <si>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</si>
  <si>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</si>
  <si>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</si>
  <si>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</si>
  <si>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</si>
  <si>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</si>
  <si>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</si>
  <si>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</si>
  <si>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</si>
  <si>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</si>
  <si>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</si>
  <si>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</si>
  <si>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</si>
  <si>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</si>
  <si>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</si>
  <si>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</si>
  <si>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</si>
  <si>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</si>
  <si>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</si>
  <si>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</si>
  <si>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</si>
  <si>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</si>
  <si>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</si>
  <si>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</si>
  <si>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</si>
  <si>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</si>
  <si>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</si>
  <si>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</si>
  <si>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</si>
  <si>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</si>
  <si>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</si>
  <si>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</si>
  <si>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</si>
  <si>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</si>
  <si>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</si>
  <si>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</si>
  <si>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</si>
  <si>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</si>
  <si>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</si>
  <si>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</si>
  <si>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</si>
  <si>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</si>
  <si>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</si>
  <si>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</si>
  <si>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</si>
  <si>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</si>
  <si>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</si>
  <si>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</si>
  <si>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</si>
  <si>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</si>
  <si>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</si>
  <si>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</si>
  <si>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</si>
  <si>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</si>
  <si>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</si>
  <si>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</si>
  <si>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</si>
  <si>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</si>
  <si>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</si>
  <si>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</si>
  <si>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</si>
  <si>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</si>
  <si>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</si>
  <si>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</si>
  <si>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</si>
  <si>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</si>
  <si>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</si>
  <si>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</si>
  <si>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</si>
  <si>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</si>
  <si>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</si>
  <si>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</si>
  <si>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</si>
  <si>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</si>
  <si>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</si>
  <si>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</si>
  <si>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</si>
  <si>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</si>
  <si>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</si>
  <si>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</si>
  <si>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</si>
  <si>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</si>
  <si>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</si>
  <si>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</si>
  <si>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</si>
  <si>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</si>
  <si>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</si>
  <si>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</si>
  <si>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</si>
  <si>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</si>
  <si>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</si>
  <si>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</si>
  <si>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</si>
  <si>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</si>
  <si>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</si>
  <si>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</si>
  <si>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</si>
  <si>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</si>
  <si>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</si>
  <si>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</si>
  <si>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</si>
  <si>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</si>
  <si>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</si>
  <si>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</si>
  <si>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</si>
  <si>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</si>
  <si>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</si>
  <si>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</si>
  <si>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</si>
  <si>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</si>
  <si>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</si>
  <si>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</si>
  <si>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</si>
  <si>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</si>
  <si>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</si>
  <si>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</si>
  <si>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</si>
  <si>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</si>
  <si>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</si>
  <si>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</si>
  <si>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</si>
  <si>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</si>
  <si>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</si>
  <si>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</si>
  <si>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</si>
  <si>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</si>
  <si>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</si>
  <si>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</si>
  <si>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</si>
  <si>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</si>
  <si>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</si>
  <si>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</si>
  <si>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</si>
  <si>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</si>
  <si>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</si>
  <si>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</si>
  <si>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</si>
  <si>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</si>
  <si>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</si>
  <si>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</si>
  <si>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</si>
  <si>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</si>
  <si>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</si>
  <si>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</si>
  <si>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</si>
  <si>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</si>
  <si>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</si>
  <si>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</si>
  <si>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</si>
  <si>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</si>
  <si>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</si>
  <si>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</si>
  <si>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</si>
  <si>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</si>
  <si>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</si>
  <si>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</si>
  <si>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</si>
  <si>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</si>
  <si>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</si>
  <si>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</si>
  <si>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</si>
  <si>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</si>
  <si>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</si>
  <si>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</si>
  <si>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</si>
  <si>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</si>
  <si>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</si>
  <si>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</si>
  <si>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</si>
  <si>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</si>
  <si>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</si>
  <si>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</si>
  <si>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</si>
  <si>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</si>
  <si>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</si>
  <si>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</si>
  <si>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</si>
  <si>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</si>
  <si>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</si>
  <si>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</si>
  <si>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</si>
  <si>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</si>
  <si>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</si>
  <si>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</si>
  <si>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</si>
  <si>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</si>
  <si>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</si>
  <si>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</si>
  <si>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</si>
  <si>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</si>
  <si>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</si>
  <si>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</si>
  <si>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</si>
  <si>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</si>
  <si>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</si>
  <si>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</si>
  <si>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</si>
  <si>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</si>
  <si>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</si>
  <si>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</si>
  <si>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</si>
  <si>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</si>
  <si>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</si>
  <si>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</si>
  <si>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</si>
  <si>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</si>
  <si>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</si>
  <si>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</si>
  <si>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</si>
  <si>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</si>
  <si>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</si>
  <si>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</si>
  <si>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</si>
  <si>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</si>
  <si>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</si>
  <si>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</si>
  <si>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</si>
  <si>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</si>
  <si>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</si>
  <si>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</si>
  <si>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</si>
  <si>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</si>
  <si>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</si>
  <si>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</si>
  <si>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</si>
  <si>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</si>
  <si>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</si>
  <si>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</si>
  <si>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</si>
  <si>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</si>
  <si>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</si>
  <si>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</si>
  <si>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</si>
  <si>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</si>
  <si>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</si>
  <si>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</si>
  <si>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</si>
  <si>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</si>
  <si>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</si>
  <si>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</si>
  <si>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</si>
  <si>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</si>
  <si>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</si>
  <si>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</si>
  <si>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</si>
  <si>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</si>
  <si>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</si>
  <si>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</si>
  <si>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</si>
  <si>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</si>
  <si>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</si>
  <si>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</si>
  <si>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</si>
  <si>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</si>
  <si>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</si>
  <si>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</si>
  <si>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</si>
  <si>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</si>
  <si>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</si>
  <si>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</si>
  <si>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</si>
  <si>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</si>
  <si>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</si>
  <si>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</si>
  <si>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</si>
  <si>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</si>
  <si>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</si>
  <si>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</si>
  <si>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</si>
  <si>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</si>
  <si>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</si>
  <si>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</si>
  <si>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</si>
  <si>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</si>
  <si>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</si>
  <si>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</si>
  <si>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</si>
  <si>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</si>
  <si>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</si>
  <si>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</si>
  <si>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</si>
  <si>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</si>
  <si>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</si>
  <si>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</si>
  <si>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</si>
  <si>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</si>
  <si>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</si>
  <si>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</si>
  <si>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</si>
  <si>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</si>
  <si>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</si>
  <si>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</si>
  <si>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</si>
  <si>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</si>
  <si>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</si>
  <si>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</si>
  <si>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</si>
  <si>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</si>
  <si>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</si>
  <si>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</si>
  <si>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</si>
  <si>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</si>
  <si>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</si>
  <si>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</si>
  <si>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</si>
  <si>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</si>
  <si>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</si>
  <si>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</si>
  <si>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</si>
  <si>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</si>
  <si>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</si>
  <si>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</si>
  <si>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</si>
  <si>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</si>
  <si>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</si>
  <si>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</si>
  <si>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</si>
  <si>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</si>
  <si>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</si>
  <si>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</si>
  <si>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</si>
  <si>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</si>
  <si>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</si>
  <si>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</si>
  <si>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</si>
  <si>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</si>
  <si>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</si>
  <si>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</si>
  <si>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</si>
  <si>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</si>
  <si>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</si>
  <si>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</si>
  <si>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</si>
  <si>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</si>
  <si>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</si>
  <si>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</si>
  <si>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</si>
  <si>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</si>
  <si>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</si>
  <si>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</si>
  <si>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</si>
  <si>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</si>
  <si>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</si>
  <si>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</si>
  <si>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</si>
  <si>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</si>
  <si>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</si>
  <si>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</si>
  <si>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</si>
  <si>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</si>
  <si>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</si>
  <si>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</si>
  <si>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</si>
  <si>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</si>
  <si>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</si>
  <si>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</si>
  <si>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</si>
  <si>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</si>
  <si>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</si>
  <si>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</si>
  <si>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</si>
  <si>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</si>
  <si>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</si>
  <si>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</si>
  <si>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</si>
  <si>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</si>
  <si>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</si>
  <si>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</si>
  <si>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</si>
  <si>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</si>
  <si>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</si>
  <si>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</si>
  <si>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</si>
  <si>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</si>
  <si>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</si>
  <si>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</si>
  <si>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</si>
  <si>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</si>
  <si>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</si>
  <si>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</si>
  <si>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</si>
  <si>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</si>
  <si>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</si>
  <si>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</si>
  <si>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</si>
  <si>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</si>
  <si>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</si>
  <si>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</si>
  <si>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</si>
  <si>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</si>
  <si>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</si>
  <si>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</si>
  <si>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</si>
  <si>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</si>
  <si>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</si>
  <si>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</si>
  <si>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</si>
  <si>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</si>
  <si>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</si>
  <si>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</si>
  <si>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</si>
  <si>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</si>
  <si>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</si>
  <si>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</si>
  <si>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</si>
  <si>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</si>
  <si>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</si>
  <si>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</si>
  <si>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</si>
  <si>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</si>
  <si>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</si>
  <si>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</si>
  <si>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</si>
  <si>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</si>
  <si>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</si>
  <si>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</si>
  <si>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</si>
  <si>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</si>
  <si>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</si>
  <si>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</si>
  <si>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</si>
  <si>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</si>
  <si>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</si>
  <si>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</si>
  <si>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</si>
  <si>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</si>
  <si>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</si>
  <si>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</si>
  <si>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</si>
  <si>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</si>
  <si>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</si>
  <si>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</si>
  <si>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</si>
  <si>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</si>
  <si>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</si>
  <si>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</si>
  <si>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</si>
  <si>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</si>
  <si>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</si>
  <si>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</si>
  <si>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</si>
  <si>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</si>
  <si>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</si>
  <si>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</si>
  <si>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</si>
  <si>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</si>
  <si>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</si>
  <si>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</si>
  <si>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</si>
  <si>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</si>
  <si>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</si>
  <si>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</si>
  <si>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</si>
  <si>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</si>
  <si>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</si>
  <si>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</si>
  <si>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</si>
  <si>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</si>
  <si>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</si>
  <si>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</si>
  <si>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</si>
  <si>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</si>
  <si>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</si>
  <si>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</si>
  <si>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</si>
  <si>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</si>
  <si>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</si>
  <si>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</si>
  <si>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</si>
  <si>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</si>
  <si>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</si>
  <si>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</si>
  <si>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</si>
  <si>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</si>
  <si>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</si>
  <si>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</si>
  <si>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</si>
  <si>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</si>
  <si>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</si>
  <si>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</si>
  <si>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</si>
  <si>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</si>
  <si>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</si>
  <si>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</si>
  <si>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</si>
  <si>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</si>
  <si>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</si>
  <si>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</si>
  <si>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</si>
  <si>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</si>
  <si>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</si>
  <si>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</si>
  <si>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</si>
  <si>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</si>
  <si>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</si>
  <si>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</si>
  <si>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</si>
  <si>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</si>
  <si>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</si>
  <si>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</si>
  <si>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</si>
  <si>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</si>
  <si>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</si>
  <si>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</si>
  <si>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</si>
  <si>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</si>
  <si>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</si>
  <si>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</si>
  <si>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</si>
  <si>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</si>
  <si>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</si>
  <si>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</si>
  <si>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</si>
  <si>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</si>
  <si>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</si>
  <si>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</si>
  <si>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</si>
  <si>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</si>
  <si>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</si>
  <si>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</si>
  <si>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</si>
  <si>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</si>
  <si>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</si>
  <si>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</si>
  <si>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</si>
  <si>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</si>
  <si>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</si>
  <si>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</si>
  <si>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</si>
  <si>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</si>
  <si>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</si>
  <si>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</si>
  <si>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</si>
  <si>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</si>
  <si>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</si>
  <si>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</si>
  <si>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</si>
  <si>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</si>
  <si>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</si>
  <si>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</si>
  <si>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</si>
  <si>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</si>
  <si>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</si>
  <si>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</si>
  <si>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</si>
  <si>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</si>
  <si>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</si>
  <si>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</si>
  <si>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</si>
  <si>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</si>
  <si>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</si>
  <si>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</si>
  <si>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</si>
  <si>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</si>
  <si>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</si>
  <si>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</si>
  <si>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</si>
  <si>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</si>
  <si>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</si>
  <si>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</si>
  <si>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</si>
  <si>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</si>
  <si>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</si>
  <si>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</si>
  <si>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</si>
  <si>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</si>
  <si>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</si>
  <si>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</si>
  <si>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</si>
  <si>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</si>
  <si>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</si>
  <si>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</si>
  <si>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</si>
  <si>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</si>
  <si>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</si>
  <si>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</si>
  <si>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</si>
  <si>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</si>
  <si>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</si>
  <si>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</si>
  <si>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</si>
  <si>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</si>
  <si>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</si>
  <si>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</si>
  <si>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</si>
  <si>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</si>
  <si>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</si>
  <si>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</si>
  <si>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</si>
  <si>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</si>
  <si>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</si>
  <si>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</si>
  <si>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</si>
  <si>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</si>
  <si>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</si>
  <si>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</si>
  <si>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</si>
  <si>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</si>
  <si>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</si>
  <si>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</si>
  <si>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</si>
  <si>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</si>
  <si>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</si>
  <si>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</si>
  <si>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</si>
  <si>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</si>
  <si>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</si>
  <si>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</si>
  <si>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</si>
  <si>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</si>
  <si>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</si>
  <si>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</si>
  <si>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</si>
  <si>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</si>
  <si>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</si>
  <si>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</si>
  <si>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</si>
  <si>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</si>
  <si>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</si>
  <si>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</si>
  <si>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</si>
  <si>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</si>
  <si>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</si>
  <si>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</si>
  <si>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</si>
  <si>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</si>
  <si>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</si>
  <si>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</si>
  <si>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</si>
  <si>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</si>
  <si>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</si>
  <si>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</si>
  <si>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</si>
  <si>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</si>
  <si>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</si>
  <si>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</si>
  <si>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</si>
  <si>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</si>
  <si>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</si>
  <si>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</si>
  <si>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</si>
  <si>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</si>
  <si>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</si>
  <si>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</si>
  <si>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</si>
  <si>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</si>
  <si>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</si>
  <si>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</si>
  <si>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</si>
  <si>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</si>
  <si>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</si>
  <si>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</si>
  <si>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</si>
  <si>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</si>
  <si>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</si>
  <si>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</si>
  <si>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</si>
  <si>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</si>
  <si>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</si>
  <si>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</si>
  <si>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</si>
  <si>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</si>
  <si>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</si>
  <si>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</si>
  <si>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</si>
  <si>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</si>
  <si>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</si>
  <si>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</si>
  <si>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</si>
  <si>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</si>
  <si>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</si>
  <si>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</si>
  <si>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</si>
  <si>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</si>
  <si>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</si>
  <si>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</si>
  <si>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</si>
  <si>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</si>
  <si>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</si>
  <si>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</si>
  <si>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</si>
  <si>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</si>
  <si>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</si>
  <si>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</si>
  <si>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</si>
  <si>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</si>
  <si>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</si>
  <si>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</si>
  <si>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</si>
  <si>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</si>
  <si>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</si>
  <si>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</si>
  <si>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</si>
  <si>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</si>
  <si>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</si>
  <si>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</si>
  <si>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</si>
  <si>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</si>
  <si>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</si>
  <si>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</si>
  <si>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</si>
  <si>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</si>
  <si>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</si>
  <si>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</si>
  <si>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</si>
  <si>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</si>
  <si>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</si>
  <si>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</si>
  <si>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</si>
  <si>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</si>
  <si>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</si>
  <si>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</si>
  <si>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</si>
  <si>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</si>
  <si>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</si>
  <si>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</si>
  <si>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</si>
  <si>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</si>
  <si>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</si>
  <si>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</si>
  <si>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</si>
  <si>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</si>
  <si>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</si>
  <si>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</si>
  <si>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</si>
  <si>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</si>
  <si>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</si>
  <si>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</si>
  <si>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</si>
  <si>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</si>
  <si>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</si>
  <si>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</si>
  <si>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</si>
  <si>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</si>
  <si>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</si>
  <si>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</si>
  <si>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</si>
  <si>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</si>
  <si>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</si>
  <si>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</si>
  <si>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</si>
  <si>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</si>
  <si>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</si>
  <si>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</si>
  <si>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</si>
  <si>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</si>
  <si>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</si>
  <si>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</si>
  <si>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</si>
  <si>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</si>
  <si>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</si>
  <si>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</si>
  <si>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</si>
  <si>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</si>
  <si>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</si>
  <si>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</si>
  <si>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</si>
  <si>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</si>
  <si>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</si>
  <si>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</si>
  <si>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</si>
  <si>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</si>
  <si>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</si>
  <si>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</si>
  <si>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</si>
  <si>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</si>
  <si>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</si>
  <si>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</si>
  <si>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</si>
  <si>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</si>
  <si>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</si>
  <si>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</si>
  <si>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</si>
  <si>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</si>
  <si>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</si>
  <si>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</si>
  <si>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</si>
  <si>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</si>
  <si>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</si>
  <si>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</si>
  <si>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</si>
  <si>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</si>
  <si>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</si>
  <si>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</si>
  <si>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</si>
  <si>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</si>
  <si>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</si>
  <si>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</si>
  <si>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</si>
  <si>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</si>
  <si>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</si>
  <si>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</si>
  <si>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</si>
  <si>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</si>
  <si>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</si>
  <si>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</si>
  <si>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</si>
  <si>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</si>
  <si>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</si>
  <si>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</si>
  <si>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</si>
  <si>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</si>
  <si>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</si>
  <si>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</si>
  <si>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</si>
  <si>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</si>
  <si>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</si>
  <si>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</si>
  <si>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</si>
  <si>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</si>
  <si>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</si>
  <si>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</si>
  <si>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</si>
  <si>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</si>
  <si>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</si>
  <si>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</si>
  <si>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</si>
  <si>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</si>
  <si>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</si>
  <si>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</si>
  <si>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</si>
  <si>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</si>
  <si>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</si>
  <si>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</si>
  <si>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</si>
  <si>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</si>
  <si>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</si>
  <si>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</si>
  <si>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</si>
  <si>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</si>
  <si>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</si>
  <si>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</si>
  <si>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</si>
  <si>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</si>
  <si>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</si>
  <si>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</si>
  <si>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</si>
  <si>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</si>
  <si>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</si>
  <si>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</si>
  <si>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</si>
  <si>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</si>
  <si>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</si>
  <si>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</si>
  <si>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</si>
  <si>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</si>
  <si>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</si>
  <si>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</si>
  <si>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</si>
  <si>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</si>
  <si>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</si>
  <si>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</si>
  <si>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</si>
  <si>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</si>
  <si>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</si>
  <si>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</si>
  <si>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</si>
  <si>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</si>
  <si>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</si>
  <si>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</si>
  <si>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</si>
  <si>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</si>
  <si>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</si>
  <si>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</si>
  <si>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</si>
  <si>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</si>
  <si>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</si>
  <si>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</si>
  <si>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</si>
  <si>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</si>
  <si>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</si>
  <si>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</si>
  <si>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</si>
  <si>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</si>
  <si>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</si>
  <si>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</si>
  <si>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</si>
  <si>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</si>
  <si>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</si>
  <si>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</si>
  <si>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</si>
  <si>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</si>
  <si>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</si>
  <si>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</si>
  <si>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</si>
  <si>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</si>
  <si>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</si>
  <si>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</si>
  <si>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</si>
  <si>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</si>
  <si>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</si>
  <si>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</si>
  <si>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</si>
  <si>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</si>
  <si>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</si>
  <si>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</si>
  <si>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</si>
  <si>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</si>
  <si>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</si>
  <si>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</si>
  <si>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</si>
  <si>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</si>
  <si>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</si>
  <si>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</si>
  <si>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</si>
  <si>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</si>
  <si>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</si>
  <si>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</si>
  <si>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</si>
  <si>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</si>
  <si>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</si>
  <si>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</si>
  <si>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</si>
  <si>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</si>
  <si>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</si>
  <si>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</si>
  <si>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</si>
  <si>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</si>
  <si>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</si>
  <si>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</si>
  <si>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</si>
  <si>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</si>
  <si>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</si>
  <si>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</si>
  <si>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</si>
  <si>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</si>
  <si>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</si>
  <si>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</si>
  <si>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</si>
  <si>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</si>
  <si>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</si>
  <si>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</si>
  <si>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</si>
  <si>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</si>
  <si>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</si>
  <si>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</si>
  <si>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</si>
  <si>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</si>
  <si>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</si>
  <si>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</si>
  <si>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</si>
  <si>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</si>
  <si>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</si>
  <si>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</si>
  <si>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</si>
  <si>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</si>
  <si>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</si>
  <si>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</si>
  <si>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</si>
  <si>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</si>
  <si>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</si>
  <si>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</si>
  <si>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</si>
  <si>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</si>
  <si>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</si>
  <si>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</si>
  <si>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</si>
  <si>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</si>
  <si>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</si>
  <si>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</si>
  <si>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地下</t>
  </si>
  <si>
    <t>商业</t>
    <phoneticPr fontId="7" type="noConversion"/>
  </si>
  <si>
    <t>地库</t>
  </si>
  <si>
    <t>成新度</t>
  </si>
  <si>
    <t>收益法</t>
  </si>
  <si>
    <t>押一</t>
  </si>
  <si>
    <t>钢混</t>
  </si>
  <si>
    <t>非生产用房</t>
  </si>
  <si>
    <t>利息：取LPR加浮动点数</t>
  </si>
  <si>
    <t>商业</t>
    <phoneticPr fontId="3" type="noConversion"/>
  </si>
  <si>
    <t>面积</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</si>
  <si>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</si>
  <si>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</si>
  <si>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</si>
  <si>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</si>
  <si>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</si>
  <si>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商业部分</t>
    <phoneticPr fontId="3" type="noConversion"/>
  </si>
  <si>
    <t>楼层系数</t>
    <phoneticPr fontId="3" type="noConversion"/>
  </si>
  <si>
    <t>自定义容积率</t>
  </si>
  <si>
    <t>楼层修正</t>
  </si>
  <si>
    <t>不临65条商业街</t>
  </si>
  <si>
    <t>与级别开发程度一致</t>
  </si>
  <si>
    <t>较好</t>
  </si>
  <si>
    <t>差</t>
  </si>
  <si>
    <t>好</t>
  </si>
  <si>
    <t>全部缴纳</t>
  </si>
  <si>
    <t>未包含在土地购买价格中</t>
  </si>
  <si>
    <t>已包含在土地取得成本中</t>
  </si>
  <si>
    <t>成本法</t>
  </si>
  <si>
    <t>成本法-车库</t>
  </si>
  <si>
    <t>成本法-车库</t>
    <phoneticPr fontId="16" type="noConversion"/>
  </si>
  <si>
    <t>收益法-车库</t>
  </si>
  <si>
    <t>收益法-车库</t>
    <phoneticPr fontId="16" type="noConversion"/>
  </si>
  <si>
    <r>
      <t>1</t>
    </r>
    <r>
      <rPr>
        <sz val="11"/>
        <color theme="1"/>
        <rFont val="宋体"/>
        <family val="3"/>
        <charset val="134"/>
        <scheme val="minor"/>
      </rPr>
      <t>-3层</t>
    </r>
    <phoneticPr fontId="134" type="noConversion"/>
  </si>
  <si>
    <t>面积</t>
    <phoneticPr fontId="134" type="noConversion"/>
  </si>
  <si>
    <t>同类商业用房</t>
    <phoneticPr fontId="134" type="noConversion"/>
  </si>
  <si>
    <t>单价</t>
    <phoneticPr fontId="134" type="noConversion"/>
  </si>
  <si>
    <t>租赁</t>
    <phoneticPr fontId="134" type="noConversion"/>
  </si>
  <si>
    <r>
      <t>1</t>
    </r>
    <r>
      <rPr>
        <sz val="11"/>
        <color theme="1"/>
        <rFont val="宋体"/>
        <family val="3"/>
        <charset val="134"/>
        <scheme val="minor"/>
      </rPr>
      <t>-3层</t>
    </r>
    <phoneticPr fontId="134" type="noConversion"/>
  </si>
  <si>
    <r>
      <t>1</t>
    </r>
    <r>
      <rPr>
        <sz val="11"/>
        <color theme="1"/>
        <rFont val="宋体"/>
        <family val="3"/>
        <charset val="134"/>
        <scheme val="minor"/>
      </rPr>
      <t>-4层</t>
    </r>
    <phoneticPr fontId="134" type="noConversion"/>
  </si>
  <si>
    <t>总价</t>
  </si>
  <si>
    <r>
      <rPr>
        <sz val="10"/>
        <color indexed="8"/>
        <rFont val="宋体"/>
        <family val="3"/>
        <charset val="134"/>
      </rPr>
      <t>总收益</t>
    </r>
    <r>
      <rPr>
        <sz val="10"/>
        <color indexed="8"/>
        <rFont val="Arial"/>
        <family val="2"/>
      </rPr>
      <t>2300</t>
    </r>
    <r>
      <rPr>
        <sz val="10"/>
        <color indexed="8"/>
        <rFont val="宋体"/>
        <family val="3"/>
        <charset val="134"/>
      </rPr>
      <t>万</t>
    </r>
    <phoneticPr fontId="3" type="noConversion"/>
  </si>
  <si>
    <r>
      <t>B1</t>
    </r>
    <r>
      <rPr>
        <sz val="10"/>
        <color indexed="8"/>
        <rFont val="宋体"/>
        <family val="3"/>
        <charset val="134"/>
      </rPr>
      <t>层</t>
    </r>
    <phoneticPr fontId="3" type="noConversion"/>
  </si>
  <si>
    <t>项目模式</t>
  </si>
  <si>
    <t>售价</t>
  </si>
  <si>
    <t>松榆西里</t>
    <phoneticPr fontId="3" type="noConversion"/>
  </si>
  <si>
    <t>山水文园</t>
    <phoneticPr fontId="3" type="noConversion"/>
  </si>
  <si>
    <t>商业</t>
    <phoneticPr fontId="30" type="noConversion"/>
  </si>
  <si>
    <t>商业</t>
    <phoneticPr fontId="30" type="noConversion"/>
  </si>
  <si>
    <t>正常</t>
    <phoneticPr fontId="30" type="noConversion"/>
  </si>
  <si>
    <t>20-30</t>
    <phoneticPr fontId="30" type="noConversion"/>
  </si>
  <si>
    <t>0-10</t>
    <phoneticPr fontId="30" type="noConversion"/>
  </si>
  <si>
    <t>0-10</t>
    <phoneticPr fontId="30" type="noConversion"/>
  </si>
  <si>
    <t>20-30</t>
    <phoneticPr fontId="30" type="noConversion"/>
  </si>
  <si>
    <t>30-40</t>
    <phoneticPr fontId="30" type="noConversion"/>
  </si>
  <si>
    <t>20-30</t>
    <phoneticPr fontId="30" type="noConversion"/>
  </si>
  <si>
    <t>10-20</t>
    <phoneticPr fontId="30" type="noConversion"/>
  </si>
  <si>
    <t>较好</t>
    <phoneticPr fontId="30" type="noConversion"/>
  </si>
  <si>
    <t>较好</t>
    <phoneticPr fontId="30" type="noConversion"/>
  </si>
  <si>
    <t>七通</t>
    <phoneticPr fontId="30" type="noConversion"/>
  </si>
  <si>
    <t>七通</t>
    <phoneticPr fontId="30" type="noConversion"/>
  </si>
  <si>
    <t>大</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</si>
  <si>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</si>
  <si>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</si>
  <si>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</si>
  <si>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</si>
  <si>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r>
      <t>B1</t>
    </r>
    <r>
      <rPr>
        <sz val="10"/>
        <color indexed="8"/>
        <rFont val="宋体"/>
        <family val="3"/>
        <charset val="134"/>
      </rPr>
      <t>层</t>
    </r>
    <phoneticPr fontId="24" type="noConversion"/>
  </si>
  <si>
    <t>B1</t>
  </si>
  <si>
    <t>B1</t>
    <phoneticPr fontId="24" type="noConversion"/>
  </si>
  <si>
    <t>典型户型修正</t>
  </si>
  <si>
    <t>买卖合同</t>
  </si>
  <si>
    <t>2016年5月1日前购买</t>
  </si>
  <si>
    <t>情况4</t>
  </si>
  <si>
    <t>正常</t>
  </si>
  <si>
    <t>转让取得</t>
  </si>
  <si>
    <t>非个人房产</t>
  </si>
  <si>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</si>
  <si>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</si>
  <si>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</si>
  <si>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</si>
  <si>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</si>
  <si>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</si>
  <si>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</si>
  <si>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</si>
  <si>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</si>
  <si>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</si>
  <si>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</si>
  <si>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</si>
  <si>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</si>
  <si>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</si>
  <si>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</si>
  <si>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</si>
  <si>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</si>
  <si>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</si>
  <si>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一般</t>
  </si>
  <si>
    <t>常规</t>
  </si>
  <si>
    <t>常规</t>
    <phoneticPr fontId="30" type="noConversion"/>
  </si>
  <si>
    <t>大</t>
    <phoneticPr fontId="30" type="noConversion"/>
  </si>
  <si>
    <t>挂牌</t>
  </si>
  <si>
    <t>挂牌</t>
    <phoneticPr fontId="30" type="noConversion"/>
  </si>
  <si>
    <t>净值</t>
    <phoneticPr fontId="134" type="noConversion"/>
  </si>
  <si>
    <t>面积</t>
    <phoneticPr fontId="134" type="noConversion"/>
  </si>
  <si>
    <t>估价对象1</t>
    <phoneticPr fontId="134" type="noConversion"/>
  </si>
  <si>
    <t>估价对象2</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</si>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</sst>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28" fillId="0" borderId="2"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5" xfId="0"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0</xdr:row>
      <xdr:rowOff>0</xdr:rowOff>
    </xdr:from>
    <xdr:to>
      <xdr:col>23</xdr:col>
      <xdr:colOff>141494</xdr:colOff>
      <xdr:row>34</xdr:row>
      <xdr:rowOff>161177</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0" y="0"/>
          <a:ext cx="11057144" cy="5990477"/>
        </a:xfrm>
        <a:prstGeom prst="rect">
          <a:avLst/>
        </a:prstGeom>
      </xdr:spPr>
    </xdr:pic>
    <xdr:clientData/>
  </xdr:twoCellAnchor>
  <xdr:twoCellAnchor editAs="oneCell">
    <xdr:from>
      <xdr:col>0</xdr:col>
      <xdr:colOff>0</xdr:colOff>
      <xdr:row>24</xdr:row>
      <xdr:rowOff>114300</xdr:rowOff>
    </xdr:from>
    <xdr:to>
      <xdr:col>16</xdr:col>
      <xdr:colOff>303391</xdr:colOff>
      <xdr:row>58</xdr:row>
      <xdr:rowOff>8810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29100"/>
          <a:ext cx="11276191" cy="5723810"/>
        </a:xfrm>
        <a:prstGeom prst="rect">
          <a:avLst/>
        </a:prstGeom>
      </xdr:spPr>
    </xdr:pic>
    <xdr:clientData/>
  </xdr:twoCellAnchor>
  <xdr:twoCellAnchor editAs="oneCell">
    <xdr:from>
      <xdr:col>0</xdr:col>
      <xdr:colOff>0</xdr:colOff>
      <xdr:row>58</xdr:row>
      <xdr:rowOff>0</xdr:rowOff>
    </xdr:from>
    <xdr:to>
      <xdr:col>15</xdr:col>
      <xdr:colOff>560620</xdr:colOff>
      <xdr:row>91</xdr:row>
      <xdr:rowOff>75484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10847620" cy="5733334"/>
        </a:xfrm>
        <a:prstGeom prst="rect">
          <a:avLst/>
        </a:prstGeom>
      </xdr:spPr>
    </xdr:pic>
    <xdr:clientData/>
  </xdr:twoCellAnchor>
  <xdr:twoCellAnchor editAs="oneCell">
    <xdr:from>
      <xdr:col>0</xdr:col>
      <xdr:colOff>0</xdr:colOff>
      <xdr:row>98</xdr:row>
      <xdr:rowOff>0</xdr:rowOff>
    </xdr:from>
    <xdr:to>
      <xdr:col>6</xdr:col>
      <xdr:colOff>66153</xdr:colOff>
      <xdr:row>127</xdr:row>
      <xdr:rowOff>113665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4180953" cy="5085715"/>
        </a:xfrm>
        <a:prstGeom prst="rect">
          <a:avLst/>
        </a:prstGeom>
      </xdr:spPr>
    </xdr:pic>
    <xdr:clientData/>
  </xdr:twoCellAnchor>
  <xdr:twoCellAnchor editAs="oneCell">
    <xdr:from>
      <xdr:col>0</xdr:col>
      <xdr:colOff>0</xdr:colOff>
      <xdr:row>128</xdr:row>
      <xdr:rowOff>0</xdr:rowOff>
    </xdr:from>
    <xdr:to>
      <xdr:col>6</xdr:col>
      <xdr:colOff>142343</xdr:colOff>
      <xdr:row>136</xdr:row>
      <xdr:rowOff>123638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945600"/>
          <a:ext cx="4257143"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估价对象为北京市房地产，为所有。根据《国有土地使用证》[]，估价对象（分摊）出让国有建设用地使用权面积为0平方米，建筑面积为19411.94平方米。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估价对象为北京市房地产,属开发建设的，该项目尚在开发建设中。根据《国有土地使用证》[]，估价对象（分摊）出让国有建设用地使用权面积为0平方米，规划建筑面积为19411.94平方米。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2023年1月18日</v>
      </c>
    </row>
    <row r="13" spans="1:2" s="1202" customFormat="1">
      <c r="A13" s="1200" t="s">
        <v>529</v>
      </c>
      <c r="B13" s="1201"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本次评估采用的主估价方法为基准地价系数修正法和成本法。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53236</v>
      </c>
    </row>
    <row r="21" spans="1:2" s="1202" customFormat="1">
      <c r="A21" s="1200" t="s">
        <v>537</v>
      </c>
      <c r="B21" s="1201">
        <f ca="1">'预评函-2'!D7</f>
        <v>27424</v>
      </c>
    </row>
    <row r="22" spans="1:2" s="1202" customFormat="1">
      <c r="A22" s="1200" t="s">
        <v>538</v>
      </c>
      <c r="B22" s="1201" t="str">
        <f ca="1">'预评函-2'!D6</f>
        <v>伍亿叁仟贰佰叁拾陆万元整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53236</v>
      </c>
    </row>
    <row r="31" spans="1:2" s="1202" customFormat="1">
      <c r="A31" s="1200" t="s">
        <v>576</v>
      </c>
      <c r="B31" s="1201">
        <f ca="1">'预评函-2'!D15</f>
        <v>27424</v>
      </c>
    </row>
    <row r="32" spans="1:2" s="1202" customFormat="1">
      <c r="A32" s="1200" t="s">
        <v>543</v>
      </c>
      <c r="B32" s="1201" t="str">
        <f ca="1">'预评函-2'!D14</f>
        <v>伍亿叁仟贰佰叁拾陆万元整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48009</v>
      </c>
    </row>
    <row r="39" spans="1:2" s="1202" customFormat="1">
      <c r="A39" s="1200" t="s">
        <v>545</v>
      </c>
      <c r="B39" s="1201">
        <f ca="1">'预评函-2'!D21</f>
        <v>24732</v>
      </c>
    </row>
    <row r="40" spans="1:2" s="1202" customFormat="1">
      <c r="A40" s="1200" t="s">
        <v>546</v>
      </c>
      <c r="B40" s="1201" t="str">
        <f ca="1">'预评函-2'!D20</f>
        <v>肆亿捌仟零玖万元整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19411.939999999999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18" sqref="A18"/>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3349</v>
      </c>
    </row>
    <row r="8" spans="1:23">
      <c r="A8" s="1545" t="s">
        <v>1026</v>
      </c>
      <c r="B8" s="1545" t="s">
        <v>1027</v>
      </c>
      <c r="C8" s="1546" t="s">
        <v>319</v>
      </c>
      <c r="F8" s="1547" t="s">
        <v>1028</v>
      </c>
      <c r="H8" s="1547" t="s">
        <v>2579</v>
      </c>
      <c r="I8" s="1547" t="s">
        <v>3350</v>
      </c>
    </row>
    <row r="9" spans="1:23">
      <c r="A9" s="1545" t="s">
        <v>1029</v>
      </c>
      <c r="B9" s="1545" t="s">
        <v>1030</v>
      </c>
      <c r="C9" s="1546" t="s">
        <v>320</v>
      </c>
      <c r="F9" s="1547" t="s">
        <v>1031</v>
      </c>
      <c r="H9" s="1547"/>
      <c r="I9" s="1550" t="s">
        <v>3351</v>
      </c>
    </row>
    <row r="10" spans="1:23">
      <c r="A10" s="1545" t="s">
        <v>1032</v>
      </c>
      <c r="B10" s="1545" t="s">
        <v>1033</v>
      </c>
      <c r="C10" s="1546" t="s">
        <v>321</v>
      </c>
      <c r="F10" s="1547" t="s">
        <v>2580</v>
      </c>
      <c r="I10" s="1550" t="s">
        <v>3352</v>
      </c>
    </row>
    <row r="11" spans="1:23">
      <c r="A11" s="1545" t="s">
        <v>1034</v>
      </c>
      <c r="B11" s="1545" t="s">
        <v>1035</v>
      </c>
      <c r="C11" s="1546" t="s">
        <v>322</v>
      </c>
      <c r="F11" s="1547" t="s">
        <v>13</v>
      </c>
      <c r="I11" s="1550" t="s">
        <v>3353</v>
      </c>
    </row>
    <row r="12" spans="1:23">
      <c r="A12" s="1545" t="s">
        <v>1036</v>
      </c>
      <c r="B12" s="1545" t="s">
        <v>1037</v>
      </c>
      <c r="C12" s="1546" t="s">
        <v>323</v>
      </c>
      <c r="I12" s="1550" t="s">
        <v>3354</v>
      </c>
    </row>
    <row r="13" spans="1:23">
      <c r="A13" s="1545" t="s">
        <v>1038</v>
      </c>
      <c r="B13" s="1545" t="s">
        <v>1039</v>
      </c>
      <c r="C13" s="1546" t="s">
        <v>324</v>
      </c>
      <c r="I13" s="1550" t="s">
        <v>3355</v>
      </c>
    </row>
    <row r="14" spans="1:23">
      <c r="A14" s="1545" t="s">
        <v>1040</v>
      </c>
      <c r="B14" s="1545" t="s">
        <v>1041</v>
      </c>
      <c r="C14" s="1547" t="s">
        <v>13</v>
      </c>
      <c r="I14" s="1550" t="s">
        <v>3356</v>
      </c>
    </row>
    <row r="15" spans="1:23">
      <c r="A15" s="1545" t="s">
        <v>1042</v>
      </c>
      <c r="B15" s="1545" t="s">
        <v>1043</v>
      </c>
      <c r="C15" s="1546"/>
      <c r="I15" s="1550" t="s">
        <v>3357</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3409</v>
      </c>
      <c r="C19" s="1546"/>
    </row>
    <row r="20" spans="1:3">
      <c r="A20" s="1545" t="s">
        <v>1048</v>
      </c>
      <c r="B20" s="1545" t="s">
        <v>3411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7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2"/>
      <c r="B54" s="1553" t="s">
        <v>385</v>
      </c>
      <c r="C54" s="1550" t="s">
        <v>583</v>
      </c>
    </row>
    <row r="55" spans="1:4">
      <c r="A55" s="3572"/>
      <c r="B55" s="1553" t="s">
        <v>386</v>
      </c>
      <c r="C55" s="1550" t="s">
        <v>584</v>
      </c>
    </row>
    <row r="56" spans="1:4">
      <c r="A56" s="3572"/>
      <c r="B56" s="1553" t="s">
        <v>387</v>
      </c>
      <c r="C56" s="1550" t="s">
        <v>588</v>
      </c>
    </row>
    <row r="57" spans="1:4">
      <c r="A57" s="357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5" sqref="B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6" t="s">
        <v>2595</v>
      </c>
      <c r="J1" s="3224"/>
      <c r="K1" s="3224"/>
      <c r="L1" s="3224"/>
      <c r="M1" s="3224"/>
      <c r="N1" s="3437"/>
      <c r="O1" s="3437"/>
      <c r="P1" s="3437"/>
      <c r="Q1" s="3437"/>
      <c r="R1" s="3437"/>
    </row>
    <row r="2" spans="1:18">
      <c r="A2" s="3014"/>
      <c r="B2" s="3015"/>
      <c r="C2" s="3015"/>
      <c r="D2" s="3015"/>
      <c r="E2" s="3015"/>
      <c r="F2" s="3016"/>
      <c r="I2" s="3573" t="s">
        <v>2582</v>
      </c>
      <c r="J2" s="3573"/>
      <c r="K2" s="3573"/>
      <c r="L2" s="3573"/>
      <c r="M2" s="3573"/>
      <c r="N2" s="3573"/>
      <c r="O2" s="3573"/>
      <c r="P2" s="3573"/>
      <c r="Q2" s="3573"/>
      <c r="R2" s="3573"/>
    </row>
    <row r="3" spans="1:18">
      <c r="A3" s="3017" t="s">
        <v>2503</v>
      </c>
      <c r="B3" s="3018">
        <f>项目基本情况!D3</f>
        <v>44944</v>
      </c>
      <c r="C3" s="3020"/>
      <c r="D3" s="3020"/>
      <c r="E3" s="3020"/>
      <c r="F3" s="3016"/>
      <c r="I3" s="3438"/>
      <c r="J3" s="3438" t="s">
        <v>2586</v>
      </c>
      <c r="K3" s="3438" t="s">
        <v>2587</v>
      </c>
      <c r="L3" s="3438" t="s">
        <v>2588</v>
      </c>
      <c r="M3" s="3438" t="s">
        <v>2589</v>
      </c>
      <c r="N3" s="3439" t="s">
        <v>2590</v>
      </c>
      <c r="O3" s="3439" t="s">
        <v>2591</v>
      </c>
      <c r="P3" s="3439" t="s">
        <v>2592</v>
      </c>
      <c r="Q3" s="3439" t="s">
        <v>2593</v>
      </c>
      <c r="R3" s="3439" t="s">
        <v>2594</v>
      </c>
    </row>
    <row r="4" spans="1:18">
      <c r="A4" s="3017" t="s">
        <v>2504</v>
      </c>
      <c r="B4" s="3020" t="s">
        <v>2505</v>
      </c>
      <c r="C4" s="3020" t="s">
        <v>2506</v>
      </c>
      <c r="D4" s="3020" t="s">
        <v>2507</v>
      </c>
      <c r="E4" s="3020" t="s">
        <v>2508</v>
      </c>
      <c r="F4" s="3016"/>
      <c r="I4" s="3438" t="s">
        <v>2583</v>
      </c>
      <c r="J4" s="3438">
        <v>80</v>
      </c>
      <c r="K4" s="3438">
        <v>70</v>
      </c>
      <c r="L4" s="3438">
        <v>20</v>
      </c>
      <c r="M4" s="3438">
        <v>30</v>
      </c>
      <c r="N4" s="3020">
        <v>45</v>
      </c>
      <c r="O4" s="3020">
        <v>60</v>
      </c>
      <c r="P4" s="3020">
        <v>50</v>
      </c>
      <c r="Q4" s="3020">
        <v>20</v>
      </c>
      <c r="R4" s="3020">
        <v>375</v>
      </c>
    </row>
    <row r="5" spans="1:18">
      <c r="A5" s="3021">
        <v>40</v>
      </c>
      <c r="B5" s="3018">
        <v>48944</v>
      </c>
      <c r="C5" s="3020">
        <f>ROUNDDOWN(MIN((B5-B3)/365,A5),2)</f>
        <v>10.95</v>
      </c>
      <c r="D5" s="3022">
        <f>IF(ISERROR(ROUND(POWER(1+E5,A5-C5)*(POWER(1+E5,C5)-1)/(POWER(1+E5,A5)-1),3)),0,ROUND(POWER(1+E5,A5-C5)*(POWER(1+E5,C5)-1)/(POWER(1+E5,A5)-1),4))</f>
        <v>0.441</v>
      </c>
      <c r="E5" s="3023">
        <v>0.04</v>
      </c>
      <c r="F5" s="3016"/>
      <c r="I5" s="3438" t="s">
        <v>2584</v>
      </c>
      <c r="J5" s="3438">
        <v>70</v>
      </c>
      <c r="K5" s="3438">
        <v>60</v>
      </c>
      <c r="L5" s="3438">
        <v>15</v>
      </c>
      <c r="M5" s="3438">
        <v>25</v>
      </c>
      <c r="N5" s="3020">
        <v>40</v>
      </c>
      <c r="O5" s="3020">
        <v>50</v>
      </c>
      <c r="P5" s="3020">
        <v>40</v>
      </c>
      <c r="Q5" s="3020">
        <v>15</v>
      </c>
      <c r="R5" s="3020">
        <v>315</v>
      </c>
    </row>
    <row r="6" spans="1:18">
      <c r="A6" s="3021">
        <v>50</v>
      </c>
      <c r="B6" s="3018">
        <v>50028</v>
      </c>
      <c r="C6" s="3020">
        <f>ROUNDDOWN(MIN((B6-B3)/365,A6),2)</f>
        <v>13.92</v>
      </c>
      <c r="D6" s="3022">
        <f>IF(ISERROR(ROUND(POWER(1+E6,A6-C6)*(POWER(1+E6,C6)-1)/(POWER(1+E6,A6)-1),3)),0,ROUND(POWER(1+E6,A6-C6)*(POWER(1+E6,C6)-1)/(POWER(1+E6,A6)-1),4))</f>
        <v>0.48959999999999998</v>
      </c>
      <c r="E6" s="3023">
        <v>0.04</v>
      </c>
      <c r="F6" s="3016"/>
      <c r="I6" s="3438" t="s">
        <v>2585</v>
      </c>
      <c r="J6" s="3438">
        <v>60</v>
      </c>
      <c r="K6" s="3438">
        <v>50</v>
      </c>
      <c r="L6" s="3438">
        <v>10</v>
      </c>
      <c r="M6" s="3438">
        <v>20</v>
      </c>
      <c r="N6" s="3020">
        <v>35</v>
      </c>
      <c r="O6" s="3020">
        <v>40</v>
      </c>
      <c r="P6" s="3020">
        <v>30</v>
      </c>
      <c r="Q6" s="3020">
        <v>10</v>
      </c>
      <c r="R6" s="3020">
        <v>255</v>
      </c>
    </row>
    <row r="7" spans="1:18">
      <c r="A7" s="3021">
        <v>70</v>
      </c>
      <c r="B7" s="3018">
        <v>57333</v>
      </c>
      <c r="C7" s="3020">
        <f>ROUNDDOWN(MIN((B7-B3)/365,A7),2)</f>
        <v>33.94</v>
      </c>
      <c r="D7" s="3022">
        <f>IF(ISERROR(ROUND(POWER(1+E7,A7-C7)*(POWER(1+E7,C7)-1)/(POWER(1+E7,A7)-1),3)),0,ROUND(POWER(1+E7,A7-C7)*(POWER(1+E7,C7)-1)/(POWER(1+E7,A7)-1),4))</f>
        <v>0.7863</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6" sqref="M1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82" t="str">
        <f>IF(B10="北京市","北京市",C10)&amp;F10&amp;IF(结果表!G1="在建","出让国有建设用地使用权及在建建筑物",IF(结果表!G1="土地","出让国有建设用地使用权",))&amp;B9&amp;"预评估"</f>
        <v>北京市房地产抵押价值预评估</v>
      </c>
      <c r="C1" s="3583"/>
      <c r="D1" s="3583"/>
      <c r="E1" s="3583"/>
      <c r="F1" s="3583"/>
      <c r="G1" s="3583"/>
      <c r="H1" s="3583"/>
      <c r="I1" s="358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7"/>
      <c r="E2" s="2659"/>
      <c r="F2" s="2659"/>
      <c r="G2" s="2660"/>
      <c r="H2" s="2660"/>
      <c r="I2" s="2660"/>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44944</v>
      </c>
      <c r="E3" s="2660"/>
      <c r="F3" s="2660"/>
      <c r="G3" s="2660"/>
      <c r="H3" s="2660"/>
      <c r="I3" s="2660"/>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1"/>
      <c r="F5" s="2661"/>
      <c r="G5" s="2661"/>
      <c r="H5" s="2661"/>
      <c r="I5" s="2661"/>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2174</v>
      </c>
      <c r="B7" s="2386"/>
      <c r="C7" s="2384"/>
      <c r="D7" s="2385"/>
      <c r="E7" s="2659"/>
      <c r="F7" s="2661"/>
      <c r="G7" s="2661"/>
      <c r="H7" s="2661"/>
      <c r="I7" s="2661"/>
      <c r="J7" s="2438"/>
      <c r="K7" s="2613"/>
      <c r="L7" s="2610"/>
      <c r="M7" s="2610"/>
      <c r="N7" s="2438"/>
      <c r="O7" s="2449"/>
      <c r="P7" s="2438"/>
      <c r="Q7" s="2438"/>
      <c r="R7" s="2438"/>
    </row>
    <row r="8" spans="1:30">
      <c r="A8" s="2387" t="s">
        <v>2175</v>
      </c>
      <c r="B8" s="2388" t="s">
        <v>3373</v>
      </c>
      <c r="C8" s="2389"/>
      <c r="D8" s="3585" t="s">
        <v>2176</v>
      </c>
      <c r="E8" s="2390" t="s">
        <v>3374</v>
      </c>
      <c r="F8" s="2391"/>
      <c r="G8" s="2660"/>
      <c r="H8" s="2660"/>
      <c r="I8" s="2660"/>
      <c r="J8" s="2438"/>
      <c r="K8" s="2611"/>
      <c r="L8" s="2610"/>
      <c r="M8" s="2610"/>
      <c r="N8" s="2438"/>
      <c r="O8" s="2449"/>
      <c r="P8" s="2438"/>
      <c r="Q8" s="2438"/>
      <c r="R8" s="2438"/>
    </row>
    <row r="9" spans="1:30" ht="13.5" thickBot="1">
      <c r="A9" s="2392" t="s">
        <v>2177</v>
      </c>
      <c r="B9" s="2393" t="s">
        <v>3374</v>
      </c>
      <c r="C9" s="2394"/>
      <c r="D9" s="3586"/>
      <c r="E9" s="2393" t="s">
        <v>587</v>
      </c>
      <c r="F9" s="2395"/>
      <c r="G9" s="2662"/>
      <c r="H9" s="2662"/>
      <c r="I9" s="2662"/>
      <c r="J9" s="2438"/>
      <c r="K9" s="2613"/>
      <c r="L9" s="2610"/>
      <c r="M9" s="2610"/>
      <c r="N9" s="2438"/>
      <c r="O9" s="2449"/>
      <c r="P9" s="2438"/>
      <c r="Q9" s="2438"/>
      <c r="R9" s="2438"/>
    </row>
    <row r="10" spans="1:30" ht="13.5" thickTop="1">
      <c r="A10" s="2396" t="s">
        <v>2178</v>
      </c>
      <c r="B10" s="2397" t="s">
        <v>3375</v>
      </c>
      <c r="C10" s="2398"/>
      <c r="D10" s="2381"/>
      <c r="E10" s="2399" t="s">
        <v>2179</v>
      </c>
      <c r="F10" s="2663"/>
      <c r="G10" s="2664"/>
      <c r="H10" s="2665"/>
      <c r="I10" s="2666"/>
      <c r="J10" s="2438"/>
      <c r="K10" s="2613"/>
      <c r="L10" s="2610"/>
      <c r="M10" s="2610"/>
      <c r="N10" s="2438"/>
      <c r="O10" s="2449"/>
      <c r="P10" s="2438"/>
      <c r="Q10" s="2438"/>
      <c r="R10" s="2438"/>
    </row>
    <row r="11" spans="1:30">
      <c r="A11" s="2400" t="s">
        <v>2180</v>
      </c>
      <c r="B11" s="2401" t="s">
        <v>3376</v>
      </c>
      <c r="C11" s="2402"/>
      <c r="D11" s="2403"/>
      <c r="E11" s="2369"/>
      <c r="F11" s="2369"/>
      <c r="G11" s="2369"/>
      <c r="H11" s="2369"/>
      <c r="I11" s="2369"/>
      <c r="J11" s="3058"/>
      <c r="K11" s="3057"/>
      <c r="L11" s="2610"/>
      <c r="M11" s="2610"/>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6" t="s">
        <v>2578</v>
      </c>
      <c r="J12" s="3059"/>
      <c r="K12" s="2610"/>
      <c r="L12" s="2610"/>
      <c r="M12" s="2438"/>
      <c r="N12" s="2449"/>
      <c r="O12" s="2438"/>
      <c r="P12" s="2438"/>
      <c r="Q12" s="2438"/>
      <c r="AD12" s="1744"/>
    </row>
    <row r="13" spans="1:30">
      <c r="A13" s="3422" t="s">
        <v>3340</v>
      </c>
      <c r="B13" s="2406" t="s">
        <v>2189</v>
      </c>
      <c r="C13" s="855"/>
      <c r="D13" s="855">
        <v>54756</v>
      </c>
      <c r="E13" s="855"/>
      <c r="F13" s="855"/>
      <c r="G13" s="855"/>
      <c r="H13" s="855"/>
      <c r="I13" s="855"/>
      <c r="J13" s="3059"/>
      <c r="K13" s="2610"/>
      <c r="L13" s="2610"/>
      <c r="M13" s="2438"/>
      <c r="N13" s="2449"/>
      <c r="O13" s="2438"/>
      <c r="P13" s="2438"/>
      <c r="Q13" s="2438"/>
      <c r="AD13" s="1744"/>
    </row>
    <row r="14" spans="1:30">
      <c r="A14" s="1080"/>
      <c r="B14" s="2406" t="s">
        <v>2190</v>
      </c>
      <c r="C14" s="2407"/>
      <c r="D14" s="2407">
        <v>40</v>
      </c>
      <c r="E14" s="2407"/>
      <c r="F14" s="2407"/>
      <c r="G14" s="2407"/>
      <c r="H14" s="2407"/>
      <c r="I14" s="2407"/>
      <c r="J14" s="3060"/>
      <c r="K14" s="2610"/>
      <c r="L14" s="2610"/>
      <c r="M14" s="2438"/>
      <c r="N14" s="2449"/>
      <c r="O14" s="2438"/>
      <c r="P14" s="2438"/>
      <c r="Q14" s="2438"/>
      <c r="AD14" s="1744"/>
    </row>
    <row r="15" spans="1:30">
      <c r="A15" s="320"/>
      <c r="B15" s="2408" t="s">
        <v>2191</v>
      </c>
      <c r="C15" s="2409" t="str">
        <f>IF(A13="出让",IF(C13="","",ROUNDDOWN(MIN((C13-$D$3)/365,C14),2)),C14)</f>
        <v/>
      </c>
      <c r="D15" s="2409">
        <f>IF(A13="出让",IF(D13="","",ROUNDDOWN(MIN((D13-$D$3)/365,D14),2)),D14)</f>
        <v>26.88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8"/>
      <c r="N15" s="2450"/>
      <c r="O15" s="2508"/>
      <c r="P15" s="2438"/>
      <c r="Q15" s="2438"/>
      <c r="AD15" s="1744"/>
    </row>
    <row r="16" spans="1:30">
      <c r="A16" s="2399" t="s">
        <v>2192</v>
      </c>
      <c r="B16" s="3592"/>
      <c r="C16" s="3593"/>
      <c r="D16" s="3594"/>
      <c r="E16" s="2412" t="s">
        <v>2193</v>
      </c>
      <c r="F16" s="3595"/>
      <c r="G16" s="3596"/>
      <c r="H16" s="3596"/>
      <c r="I16" s="3597"/>
      <c r="J16" s="2438"/>
      <c r="K16" s="2614"/>
      <c r="L16" s="2450"/>
      <c r="M16" s="2450"/>
      <c r="N16" s="2508"/>
      <c r="O16" s="2450"/>
      <c r="P16" s="2508"/>
      <c r="Q16" s="2438"/>
      <c r="R16" s="2438"/>
    </row>
    <row r="17" spans="1:28">
      <c r="A17" s="313" t="s">
        <v>2194</v>
      </c>
      <c r="B17" s="302" t="s">
        <v>2195</v>
      </c>
      <c r="C17" s="8">
        <f>'数据-汇总表'!E3</f>
        <v>19411.939999999999</v>
      </c>
      <c r="D17" s="2321" t="s">
        <v>2196</v>
      </c>
      <c r="E17" s="3598" t="s">
        <v>2197</v>
      </c>
      <c r="F17" s="3599"/>
      <c r="G17" s="3599"/>
      <c r="H17" s="3599"/>
      <c r="I17" s="3600"/>
      <c r="J17" s="2438"/>
      <c r="K17" s="2615"/>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601" t="s">
        <v>2201</v>
      </c>
      <c r="F18" s="3602"/>
      <c r="G18" s="3602"/>
      <c r="H18" s="3602"/>
      <c r="I18" s="3603"/>
      <c r="J18" s="2438"/>
      <c r="K18" s="2615"/>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1"/>
      <c r="I19" s="2661"/>
      <c r="J19" s="2438"/>
      <c r="K19" s="2613"/>
      <c r="L19" s="2610"/>
      <c r="M19" s="2610"/>
      <c r="N19" s="2508"/>
      <c r="O19" s="2450"/>
      <c r="P19" s="2508"/>
      <c r="Q19" s="2438"/>
      <c r="R19" s="2438"/>
      <c r="S19" s="2438"/>
      <c r="T19" s="2438"/>
      <c r="U19" s="2438"/>
      <c r="V19" s="2438"/>
    </row>
    <row r="20" spans="1:28">
      <c r="A20" s="2629" t="s">
        <v>2204</v>
      </c>
      <c r="B20" s="3588" t="s">
        <v>2205</v>
      </c>
      <c r="C20" s="3589"/>
      <c r="D20" s="3590" t="s">
        <v>2206</v>
      </c>
      <c r="E20" s="3591"/>
      <c r="F20" s="2644" t="s">
        <v>1056</v>
      </c>
      <c r="G20" s="2661"/>
      <c r="H20" s="2661"/>
      <c r="I20" s="2661"/>
      <c r="J20" s="2438"/>
      <c r="K20" s="3587"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29"/>
      <c r="B21" s="2630" t="s">
        <v>2208</v>
      </c>
      <c r="C21" s="2631" t="s">
        <v>1057</v>
      </c>
      <c r="D21" s="1567" t="s">
        <v>2209</v>
      </c>
      <c r="E21" s="2632" t="s">
        <v>1057</v>
      </c>
      <c r="F21" s="2645"/>
      <c r="G21" s="2661"/>
      <c r="H21" s="2661"/>
      <c r="I21" s="2661"/>
      <c r="J21" s="2438"/>
      <c r="K21" s="358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29"/>
      <c r="B22" s="2633" t="s">
        <v>2210</v>
      </c>
      <c r="C22" s="2631" t="s">
        <v>1058</v>
      </c>
      <c r="D22" s="2660"/>
      <c r="E22" s="2660"/>
      <c r="F22" s="2660"/>
      <c r="G22" s="2661"/>
      <c r="H22" s="2661"/>
      <c r="I22" s="2661"/>
      <c r="J22" s="2438"/>
      <c r="K22" s="358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2211</v>
      </c>
      <c r="B23" s="2501" t="s">
        <v>2212</v>
      </c>
      <c r="C23" s="2635"/>
      <c r="D23" s="2636" t="s">
        <v>2212</v>
      </c>
      <c r="E23" s="2637"/>
      <c r="F23" s="2660"/>
      <c r="G23" s="2661"/>
      <c r="H23" s="2661"/>
      <c r="I23" s="2661"/>
      <c r="J23" s="2438"/>
      <c r="K23" s="2616"/>
      <c r="L23" s="2474"/>
      <c r="M23" s="2610"/>
      <c r="N23" s="2508"/>
      <c r="O23" s="2450"/>
      <c r="P23" s="2508"/>
      <c r="Q23" s="2438"/>
      <c r="R23" s="2438"/>
      <c r="S23" s="2438"/>
      <c r="T23" s="2438"/>
      <c r="U23" s="2438"/>
      <c r="V23" s="2438"/>
    </row>
    <row r="24" spans="1:28">
      <c r="A24" s="2634"/>
      <c r="B24" s="2501" t="s">
        <v>1059</v>
      </c>
      <c r="C24" s="2638"/>
      <c r="D24" s="2634" t="s">
        <v>1059</v>
      </c>
      <c r="E24" s="2639"/>
      <c r="F24" s="2660"/>
      <c r="G24" s="2661"/>
      <c r="H24" s="2661"/>
      <c r="I24" s="2661"/>
      <c r="J24" s="2438"/>
      <c r="K24" s="2616"/>
      <c r="L24" s="2474"/>
      <c r="M24" s="2610"/>
      <c r="N24" s="2508"/>
      <c r="O24" s="2450"/>
      <c r="P24" s="2508"/>
      <c r="Q24" s="2438"/>
      <c r="R24" s="2438"/>
      <c r="S24" s="2438"/>
      <c r="T24" s="2438"/>
      <c r="U24" s="2438"/>
      <c r="V24" s="2438"/>
    </row>
    <row r="25" spans="1:28">
      <c r="A25" s="2634"/>
      <c r="B25" s="2501" t="s">
        <v>1060</v>
      </c>
      <c r="C25" s="2638"/>
      <c r="D25" s="2634" t="s">
        <v>1060</v>
      </c>
      <c r="E25" s="2639"/>
      <c r="F25" s="2660"/>
      <c r="G25" s="2661"/>
      <c r="H25" s="2661"/>
      <c r="I25" s="2661"/>
      <c r="J25" s="2438"/>
      <c r="K25" s="2613"/>
      <c r="L25" s="2610"/>
      <c r="M25" s="2610"/>
      <c r="N25" s="2508"/>
      <c r="O25" s="2450"/>
      <c r="P25" s="2508"/>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8"/>
      <c r="O26" s="2450"/>
      <c r="P26" s="2508"/>
      <c r="Q26" s="2438"/>
      <c r="R26" s="2438"/>
      <c r="S26" s="2438"/>
      <c r="T26" s="2438"/>
      <c r="U26" s="2438"/>
      <c r="V26" s="2438"/>
    </row>
    <row r="27" spans="1:28" ht="13.5" thickTop="1">
      <c r="A27" s="3575" t="s">
        <v>2213</v>
      </c>
      <c r="B27" s="320" t="s">
        <v>2214</v>
      </c>
      <c r="C27" s="2415"/>
      <c r="D27" s="2416"/>
      <c r="E27" s="2661"/>
      <c r="F27" s="2661"/>
      <c r="G27" s="2661"/>
      <c r="H27" s="2661"/>
      <c r="I27" s="2661"/>
      <c r="J27" s="2438"/>
      <c r="K27" s="2614"/>
      <c r="L27" s="2450"/>
      <c r="M27" s="2450"/>
      <c r="N27" s="2508"/>
      <c r="O27" s="2450"/>
      <c r="P27" s="2508"/>
      <c r="Q27" s="2438"/>
      <c r="R27" s="2438"/>
      <c r="S27" s="2438"/>
      <c r="T27" s="2438"/>
      <c r="U27" s="2438"/>
      <c r="V27" s="2438"/>
    </row>
    <row r="28" spans="1:28">
      <c r="A28" s="3575"/>
      <c r="B28" s="302" t="s">
        <v>2215</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75"/>
      <c r="B29" s="302" t="s">
        <v>2216</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76"/>
      <c r="B30" s="302" t="s">
        <v>2217</v>
      </c>
      <c r="C30" s="3577"/>
      <c r="D30" s="3578"/>
      <c r="E30" s="2661"/>
      <c r="F30" s="2661"/>
      <c r="G30" s="2661"/>
      <c r="H30" s="2661"/>
      <c r="I30" s="2661"/>
      <c r="J30" s="2438"/>
      <c r="K30" s="2613"/>
      <c r="L30" s="2610"/>
      <c r="M30" s="2610"/>
      <c r="N30" s="2438"/>
      <c r="O30" s="2449"/>
      <c r="P30" s="2438"/>
      <c r="Q30" s="2438"/>
      <c r="R30" s="2438"/>
      <c r="S30" s="2438"/>
      <c r="T30" s="2438"/>
      <c r="U30" s="2438"/>
      <c r="V30" s="2438"/>
    </row>
    <row r="31" spans="1:28">
      <c r="A31" s="3579" t="s">
        <v>2218</v>
      </c>
      <c r="B31" s="2421"/>
      <c r="C31" s="2322" t="str">
        <f>IF(B31="现房","成新及维护状况正常否",IF(B31="在建","工程状态是否正常",IF(B31="土地","是否闲置","-")))</f>
        <v>-</v>
      </c>
      <c r="D31" s="1372"/>
      <c r="E31" s="2422"/>
      <c r="F31" s="2661"/>
      <c r="G31" s="2661"/>
      <c r="H31" s="2661"/>
      <c r="I31" s="2661"/>
      <c r="J31" s="2438"/>
      <c r="K31" s="2612"/>
      <c r="L31" s="2610"/>
      <c r="M31" s="2610"/>
      <c r="N31" s="2438"/>
      <c r="O31" s="2449"/>
      <c r="P31" s="2438"/>
      <c r="Q31" s="2438"/>
      <c r="R31" s="2438"/>
      <c r="S31" s="2438"/>
      <c r="T31" s="2438"/>
      <c r="U31" s="2438"/>
      <c r="V31" s="2438"/>
    </row>
    <row r="32" spans="1:28">
      <c r="A32" s="3580"/>
      <c r="B32" s="2421"/>
      <c r="C32" s="2322" t="str">
        <f>IF(B32="现房","成新及维护状况是否正常",IF(B32="在建","工程状态是否正常",IF(B32="土地","是否闲置","-")))</f>
        <v>-</v>
      </c>
      <c r="D32" s="1372"/>
      <c r="E32" s="2422"/>
      <c r="F32" s="2661"/>
      <c r="G32" s="2661"/>
      <c r="H32" s="2661"/>
      <c r="I32" s="2661"/>
      <c r="J32" s="2438"/>
      <c r="K32" s="2613"/>
      <c r="L32" s="2610"/>
      <c r="M32" s="2610"/>
      <c r="N32" s="2438"/>
      <c r="O32" s="2449"/>
      <c r="P32" s="2438"/>
      <c r="Q32" s="2438"/>
      <c r="R32" s="2438"/>
      <c r="S32" s="2438"/>
      <c r="T32" s="2438"/>
      <c r="U32" s="2438"/>
      <c r="V32" s="2438"/>
    </row>
    <row r="33" spans="1:30">
      <c r="A33" s="3580"/>
      <c r="B33" s="2424"/>
      <c r="C33" s="1589" t="str">
        <f>IF(B33="现房","成新及维护状况是否正常",IF(B33="在建","工程状态是否正常",IF(B33="土地","是否闲置","-")))</f>
        <v>-</v>
      </c>
      <c r="D33" s="1364"/>
      <c r="E33" s="2425"/>
      <c r="F33" s="2661"/>
      <c r="G33" s="2661"/>
      <c r="H33" s="2661"/>
      <c r="I33" s="2661"/>
      <c r="J33" s="2438"/>
      <c r="K33" s="2613"/>
      <c r="L33" s="2610"/>
      <c r="M33" s="2610"/>
      <c r="N33" s="2438"/>
      <c r="O33" s="2449"/>
      <c r="P33" s="2438"/>
      <c r="Q33" s="2438"/>
      <c r="R33" s="2438"/>
      <c r="S33" s="2438"/>
      <c r="T33" s="2438"/>
      <c r="U33" s="2438"/>
      <c r="V33" s="2438"/>
    </row>
    <row r="34" spans="1:30">
      <c r="A34" s="302" t="s">
        <v>2219</v>
      </c>
      <c r="B34" s="2025"/>
      <c r="C34" s="2025"/>
      <c r="D34" s="2025"/>
      <c r="E34" s="2025"/>
      <c r="F34" s="2025"/>
      <c r="G34" s="2025"/>
      <c r="H34" s="2025"/>
      <c r="I34" s="2661"/>
      <c r="J34" s="2438"/>
      <c r="K34" s="2426">
        <f>COUNTIF(B34:H34,"——")</f>
        <v>0</v>
      </c>
      <c r="L34" s="323" t="s">
        <v>2220</v>
      </c>
      <c r="M34" s="323" t="s">
        <v>2221</v>
      </c>
      <c r="N34" s="323" t="s">
        <v>2222</v>
      </c>
      <c r="O34" s="323" t="s">
        <v>2223</v>
      </c>
      <c r="P34" s="323" t="s">
        <v>2224</v>
      </c>
      <c r="Q34" s="323" t="s">
        <v>2225</v>
      </c>
      <c r="R34" s="323" t="s">
        <v>2226</v>
      </c>
      <c r="S34" s="3574" t="s">
        <v>2227</v>
      </c>
      <c r="T34" s="2427" t="str">
        <f>NUMBERSTRING(7-K34,1)&amp;"通"</f>
        <v>七通</v>
      </c>
      <c r="U34" s="2438"/>
      <c r="V34" s="2438"/>
    </row>
    <row r="35" spans="1:30">
      <c r="A35" s="2428"/>
      <c r="B35" s="3581" t="s">
        <v>2228</v>
      </c>
      <c r="C35" s="3581"/>
      <c r="D35" s="3581"/>
      <c r="E35" s="3581"/>
      <c r="F35" s="663">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4"/>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2" t="s">
        <v>2581</v>
      </c>
      <c r="G36" s="2661"/>
      <c r="H36" s="2661"/>
      <c r="I36" s="2661"/>
      <c r="J36" s="2438"/>
      <c r="K36" s="2613"/>
      <c r="L36" s="2610"/>
      <c r="M36" s="2610"/>
      <c r="N36" s="2438"/>
      <c r="O36" s="2449"/>
      <c r="P36" s="2438"/>
      <c r="Q36" s="2438"/>
      <c r="R36" s="2438"/>
      <c r="S36" s="2438"/>
      <c r="T36" s="2438"/>
      <c r="U36" s="2438"/>
      <c r="V36" s="2438"/>
    </row>
    <row r="37" spans="1:30">
      <c r="A37" s="2627" t="s">
        <v>2229</v>
      </c>
      <c r="B37" s="2430" t="s">
        <v>296</v>
      </c>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2230</v>
      </c>
      <c r="B38" s="2431" t="s">
        <v>231</v>
      </c>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8"/>
      <c r="K40" s="2612"/>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3"/>
      <c r="L41" s="2610"/>
      <c r="M41" s="2610"/>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19411.939999999999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19411.939999999999</v>
      </c>
      <c r="H5" s="13">
        <f t="shared" ref="H5:AT5" si="0">SUM(H13:H656)</f>
        <v>19411.939999999999</v>
      </c>
      <c r="I5" s="13">
        <f t="shared" si="0"/>
        <v>17619.28</v>
      </c>
      <c r="J5" s="13">
        <f t="shared" si="0"/>
        <v>0</v>
      </c>
      <c r="K5" s="13">
        <f t="shared" si="0"/>
        <v>1792.66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19411.939999999999</v>
      </c>
      <c r="BA5" s="15">
        <f t="shared" si="1"/>
        <v>19411.939999999999</v>
      </c>
      <c r="BB5" s="15">
        <f t="shared" si="1"/>
        <v>17619.28</v>
      </c>
      <c r="BC5" s="15">
        <f t="shared" si="1"/>
        <v>1792.66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3378</v>
      </c>
      <c r="J9" s="808"/>
      <c r="K9" s="1602" t="s">
        <v>3379</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3377</v>
      </c>
      <c r="E13" s="13">
        <f>IF($C$3="是",ROUND($A$3*G13/$B$3,2),ROUND($A$3*(G13-AT13)/$B$3,2))</f>
        <v>0</v>
      </c>
      <c r="F13" s="29"/>
      <c r="G13" s="30">
        <f>H13+AC13+AT13</f>
        <v>19411.939999999999</v>
      </c>
      <c r="H13" s="17">
        <f>SUMIF(I$12:AB$12,"总值",I13:AB13)</f>
        <v>19411.939999999999</v>
      </c>
      <c r="I13" s="1625">
        <v>17619.28</v>
      </c>
      <c r="J13" s="1625"/>
      <c r="K13" s="1625">
        <v>1792.66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19411.939999999999</v>
      </c>
      <c r="BA13" s="13">
        <f>SUM(BB13:BK13)</f>
        <v>19411.939999999999</v>
      </c>
      <c r="BB13" s="13">
        <f>IF($D13="是",I13-J13,0)</f>
        <v>17619.28</v>
      </c>
      <c r="BC13" s="13">
        <f>IF($D13="是",K13-L13,0)</f>
        <v>1792.66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13" t="s">
        <v>1131</v>
      </c>
      <c r="B2" s="3613"/>
      <c r="C2" s="3613"/>
      <c r="D2" s="795" t="s">
        <v>1107</v>
      </c>
      <c r="E2" s="1638" t="s">
        <v>1108</v>
      </c>
      <c r="F2" s="2656"/>
      <c r="G2" s="2647"/>
      <c r="H2" s="2648"/>
      <c r="I2" s="2324" t="s">
        <v>1132</v>
      </c>
      <c r="J2" s="2656"/>
      <c r="K2" s="2656"/>
      <c r="L2" s="2656"/>
      <c r="M2" s="2656"/>
      <c r="N2" s="2658"/>
      <c r="O2" s="2656"/>
      <c r="P2" s="2656"/>
    </row>
    <row r="3" spans="1:16" ht="15.75" thickBot="1">
      <c r="A3" s="3614" t="s">
        <v>1105</v>
      </c>
      <c r="B3" s="3614"/>
      <c r="C3" s="3614"/>
      <c r="D3" s="43">
        <f>'数据-基础表'!AY6</f>
        <v>0</v>
      </c>
      <c r="E3" s="43">
        <f>'数据-基础表'!AZ5</f>
        <v>19411.939999999999</v>
      </c>
      <c r="F3" s="2656"/>
      <c r="G3" s="1144"/>
      <c r="H3" s="1025" t="s">
        <v>1106</v>
      </c>
      <c r="I3" s="854" t="e">
        <f>ROUND('数据-基础表'!B3/'数据-基础表'!A3,2)</f>
        <v>#DIV/0!</v>
      </c>
      <c r="J3" s="2656"/>
      <c r="K3" s="2656"/>
      <c r="L3" s="2656"/>
      <c r="M3" s="2656"/>
      <c r="N3" s="2658"/>
      <c r="O3" s="2656"/>
      <c r="P3" s="2656"/>
    </row>
    <row r="4" spans="1:16" ht="15">
      <c r="A4" s="3615"/>
      <c r="B4" s="3616"/>
      <c r="C4" s="3617"/>
      <c r="D4" s="1640" t="s">
        <v>1107</v>
      </c>
      <c r="E4" s="1641" t="s">
        <v>1108</v>
      </c>
      <c r="F4" s="2656"/>
      <c r="G4" s="2649" t="s">
        <v>1133</v>
      </c>
      <c r="H4" s="1025" t="s">
        <v>1113</v>
      </c>
      <c r="I4" s="854" t="e">
        <f>ROUND(SUMIF('数据-基础表'!I9:AS9,"地上",'数据-基础表'!I5:AS5)/'数据-基础表'!A3,2)</f>
        <v>#DIV/0!</v>
      </c>
      <c r="J4" s="2656"/>
      <c r="K4" s="2656"/>
      <c r="L4" s="2656"/>
      <c r="M4" s="2656"/>
      <c r="N4" s="2658"/>
      <c r="O4" s="2656"/>
      <c r="P4" s="2656"/>
    </row>
    <row r="5" spans="1:16">
      <c r="A5" s="44" t="s">
        <v>1109</v>
      </c>
      <c r="B5" s="3618" t="s">
        <v>1110</v>
      </c>
      <c r="C5" s="3618"/>
      <c r="D5" s="45">
        <f>ROUND($D$3*E5/$E$3,2)</f>
        <v>0</v>
      </c>
      <c r="E5" s="46">
        <f>SUMIF('数据-基础表'!$11:$11,"住宅",'数据-基础表'!$5:$5)</f>
        <v>0</v>
      </c>
      <c r="F5" s="2656"/>
      <c r="G5" s="1144"/>
      <c r="H5" s="1025" t="s">
        <v>1106</v>
      </c>
      <c r="I5" s="854" t="e">
        <f>ROUND(E31/D31,2)</f>
        <v>#DIV/0!</v>
      </c>
      <c r="J5" s="2656"/>
      <c r="K5" s="2656"/>
      <c r="L5" s="2656"/>
      <c r="M5" s="2656"/>
      <c r="N5" s="2656"/>
      <c r="O5" s="2656"/>
      <c r="P5" s="2656"/>
    </row>
    <row r="6" spans="1:16" ht="15" thickBot="1">
      <c r="A6" s="1643"/>
      <c r="B6" s="3618" t="s">
        <v>1111</v>
      </c>
      <c r="C6" s="3618"/>
      <c r="D6" s="45">
        <f>ROUND($D$3*E6/$E$3,2)</f>
        <v>0</v>
      </c>
      <c r="E6" s="46">
        <f>E3-E5</f>
        <v>19411.939999999999</v>
      </c>
      <c r="F6" s="2656"/>
      <c r="G6" s="2650" t="s">
        <v>1112</v>
      </c>
      <c r="H6" s="1145" t="s">
        <v>1113</v>
      </c>
      <c r="I6" s="2651" t="e">
        <f>ROUND(F31/D31,2)</f>
        <v>#DIV/0!</v>
      </c>
      <c r="J6" s="2656"/>
      <c r="K6" s="2656"/>
      <c r="L6" s="2656"/>
      <c r="M6" s="2656"/>
      <c r="N6" s="2656"/>
      <c r="O6" s="2656"/>
      <c r="P6" s="2656"/>
    </row>
    <row r="7" spans="1:16" ht="15.75" thickBot="1">
      <c r="A7" s="3610"/>
      <c r="B7" s="3611"/>
      <c r="C7" s="3612"/>
      <c r="D7" s="1640" t="s">
        <v>1107</v>
      </c>
      <c r="E7" s="1644"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17619.28</v>
      </c>
      <c r="F8" s="2656"/>
      <c r="G8" s="2657"/>
      <c r="H8" s="2657"/>
      <c r="I8" s="2656"/>
      <c r="J8" s="2656"/>
      <c r="K8" s="2656"/>
      <c r="L8" s="2656"/>
      <c r="M8" s="2656"/>
      <c r="N8" s="2656"/>
      <c r="O8" s="2656"/>
      <c r="P8" s="2656"/>
    </row>
    <row r="9" spans="1:16">
      <c r="A9" s="1645"/>
      <c r="B9" s="1646"/>
      <c r="C9" s="45" t="s">
        <v>1119</v>
      </c>
      <c r="D9" s="45">
        <f t="shared" si="0"/>
        <v>0</v>
      </c>
      <c r="E9" s="49">
        <v>0</v>
      </c>
      <c r="F9" s="2656"/>
      <c r="G9" s="2657"/>
      <c r="H9" s="2657"/>
      <c r="I9" s="2656"/>
      <c r="J9" s="2656"/>
      <c r="K9" s="2656"/>
      <c r="L9" s="2656"/>
      <c r="M9" s="2656"/>
      <c r="N9" s="2656"/>
      <c r="O9" s="2656"/>
      <c r="P9" s="2656"/>
    </row>
    <row r="10" spans="1:16">
      <c r="A10" s="1645"/>
      <c r="B10" s="1646"/>
      <c r="C10" s="45" t="s">
        <v>1128</v>
      </c>
      <c r="D10" s="45">
        <f t="shared" si="0"/>
        <v>0</v>
      </c>
      <c r="E10" s="48">
        <f>SUMPRODUCT(('数据-基础表'!BB10:BK10="地下")*('数据-基础表'!BB11:BK11="商业")*('数据-基础表'!BB5:BK5))</f>
        <v>1792.66</v>
      </c>
      <c r="F10" s="2656"/>
      <c r="G10" s="2657"/>
      <c r="H10" s="2657"/>
      <c r="I10" s="2656"/>
      <c r="J10" s="2656"/>
      <c r="K10" s="2656"/>
      <c r="L10" s="2656"/>
      <c r="M10" s="2656"/>
      <c r="N10" s="2656"/>
      <c r="O10" s="2656"/>
      <c r="P10" s="2656"/>
    </row>
    <row r="11" spans="1:16">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1123</v>
      </c>
      <c r="D16" s="47">
        <f>SUM(D8:D15)</f>
        <v>0</v>
      </c>
      <c r="E16" s="50">
        <f>SUM(E8:E15)</f>
        <v>19411.939999999999</v>
      </c>
      <c r="F16" s="2656"/>
      <c r="G16" s="2657"/>
      <c r="H16" s="1647" t="s">
        <v>1135</v>
      </c>
      <c r="I16" s="1648"/>
      <c r="J16" s="1138"/>
      <c r="K16" s="3607" t="s">
        <v>1135</v>
      </c>
      <c r="L16" s="3608"/>
      <c r="M16" s="3608"/>
      <c r="N16" s="3608"/>
      <c r="O16" s="3608"/>
      <c r="P16" s="3609"/>
    </row>
    <row r="17" spans="1:19" ht="15">
      <c r="A17" s="1649" t="s">
        <v>1136</v>
      </c>
      <c r="B17" s="1650" t="s">
        <v>1137</v>
      </c>
      <c r="C17" s="1651" t="s">
        <v>1138</v>
      </c>
      <c r="D17" s="1652" t="s">
        <v>1126</v>
      </c>
      <c r="E17" s="1653" t="s">
        <v>1127</v>
      </c>
      <c r="F17" s="1654"/>
      <c r="G17" s="1655"/>
      <c r="H17" s="1656" t="s">
        <v>1139</v>
      </c>
      <c r="I17" s="1657" t="s">
        <v>1124</v>
      </c>
      <c r="J17" s="1138"/>
      <c r="K17" s="3604" t="s">
        <v>1140</v>
      </c>
      <c r="L17" s="3605"/>
      <c r="M17" s="3606"/>
      <c r="N17" s="3604" t="s">
        <v>1141</v>
      </c>
      <c r="O17" s="3605"/>
      <c r="P17" s="360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3380</v>
      </c>
      <c r="D19" s="45">
        <f>ROUND($D$3*E19/$E$3,2)</f>
        <v>0</v>
      </c>
      <c r="E19" s="53">
        <f t="shared" ref="E19:E26" si="1">SUM(F19:G19)</f>
        <v>19411.939999999999</v>
      </c>
      <c r="F19" s="2792">
        <f>'数据-基础表'!I13</f>
        <v>17619.28</v>
      </c>
      <c r="G19" s="2793">
        <f>'数据-基础表'!K13</f>
        <v>1792.66</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19411.939999999999</v>
      </c>
    </row>
    <row r="20" spans="1:19">
      <c r="A20" s="1669"/>
      <c r="B20" s="47" t="s">
        <v>1153</v>
      </c>
      <c r="C20" s="3416"/>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19411.939999999999</v>
      </c>
      <c r="F27" s="1139">
        <f>IF(SUM(F19:F26)=E8,SUM(F19:F26),"地上面积有误")</f>
        <v>17619.28</v>
      </c>
      <c r="G27" s="1141">
        <f>SUM(G19:G26)</f>
        <v>1792.66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19411.939999999999</v>
      </c>
    </row>
    <row r="28" spans="1:19">
      <c r="A28" s="1669"/>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5"/>
      <c r="B31" s="1676"/>
      <c r="C31" s="834" t="s">
        <v>1158</v>
      </c>
      <c r="D31" s="675">
        <f>D27+D30</f>
        <v>0</v>
      </c>
      <c r="E31" s="675">
        <f>E27+E30</f>
        <v>19411.939999999999</v>
      </c>
      <c r="F31" s="676">
        <f>F27+F30</f>
        <v>17619.28</v>
      </c>
      <c r="G31" s="677">
        <f>G27+G30</f>
        <v>1792.66</v>
      </c>
      <c r="H31" s="2656"/>
      <c r="I31" s="2656"/>
      <c r="J31" s="2656"/>
      <c r="K31" s="2656"/>
      <c r="L31" s="2656"/>
      <c r="M31" s="2656"/>
      <c r="N31" s="2656"/>
      <c r="O31" s="2656"/>
      <c r="P31" s="2656"/>
    </row>
    <row r="32" spans="1:19">
      <c r="A32" s="1642"/>
      <c r="B32" s="1642" t="s">
        <v>1159</v>
      </c>
      <c r="C32" s="1642"/>
      <c r="D32" s="1642"/>
      <c r="E32" s="1052">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J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9.875" style="1681" customWidth="1"/>
    <col min="23" max="23" width="6.75" style="1681" customWidth="1"/>
    <col min="24" max="24" width="9.625" style="1681" customWidth="1"/>
    <col min="25" max="28" width="6.75" style="1681" customWidth="1"/>
    <col min="29" max="29" width="9.25" style="1681" customWidth="1"/>
    <col min="30"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44944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IF(B6="","",SUMIF(项目基本情况!C$12:H$12,C6,项目基本情况!C$13:H$13))</f>
        <v>54756</v>
      </c>
      <c r="F6" s="64">
        <f>SUMIF(项目基本情况!C$12:I$12,C6,项目基本情况!C$15:I$15)</f>
        <v>26.88</v>
      </c>
      <c r="G6" s="65">
        <f>IF(ISERROR(ROUND(POWER(1+H6,D6-F6)*(POWER(1+H6,F6)-1)/(POWER(1+H6,D6)-1),3)),0,ROUND(POWER(1+H6,D6-F6)*(POWER(1+H6,F6)-1)/(POWER(1+H6,D6)-1),3))</f>
        <v>0.86399999999999999</v>
      </c>
      <c r="H6" s="731">
        <v>5.5E-2</v>
      </c>
      <c r="I6" s="731">
        <v>0.06</v>
      </c>
      <c r="J6" s="66">
        <v>7.4999999999999997E-2</v>
      </c>
      <c r="K6" s="1029">
        <f>SUMIF('数据-汇总表'!C$19:C$33,A6,'数据-汇总表'!E$19:E$33)</f>
        <v>19411.939999999999</v>
      </c>
      <c r="L6" s="732">
        <v>3500</v>
      </c>
      <c r="M6" s="67">
        <f t="shared" ref="M6:M14" si="0">ROUND(K6*L6/10000,0)</f>
        <v>6794</v>
      </c>
      <c r="N6" s="730">
        <f>N21</f>
        <v>0.78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W22</f>
        <v>3.1819781339569198</v>
      </c>
      <c r="V6" s="70">
        <v>0</v>
      </c>
      <c r="W6" s="70">
        <v>0</v>
      </c>
      <c r="X6" s="1039"/>
      <c r="Y6" s="71">
        <f>N6</f>
        <v>0.78</v>
      </c>
      <c r="Z6" s="72">
        <f>ROUND(W24*(1+AA6)^AF6,2)</f>
        <v>4.04</v>
      </c>
      <c r="AA6" s="66">
        <v>0.02</v>
      </c>
      <c r="AB6" s="66">
        <v>0.1</v>
      </c>
      <c r="AC6" s="1039"/>
      <c r="AD6" s="73">
        <f>ROUND(1-(2033-2009)/60,2)</f>
        <v>0.6</v>
      </c>
      <c r="AE6" s="1040">
        <f ca="1">IF(AN6="",0,SUMIF(INDIRECT("'"&amp;AN6&amp;"'"&amp;"!E:E"),$AE$5,INDIRECT("'"&amp;AN6&amp;"'"&amp;"!F:F")))</f>
        <v>26.88</v>
      </c>
      <c r="AF6" s="1347">
        <v>10.98</v>
      </c>
      <c r="AG6" s="138">
        <f ca="1">IF(AF6="",0,AE6-AF6)</f>
        <v>15.899999999999999</v>
      </c>
      <c r="AH6" s="74"/>
      <c r="AI6" s="76">
        <v>365</v>
      </c>
      <c r="AJ6" s="77"/>
      <c r="AK6" s="78">
        <v>0.01</v>
      </c>
      <c r="AL6" s="79">
        <v>1E-3</v>
      </c>
      <c r="AM6" s="80">
        <v>0.01</v>
      </c>
      <c r="AN6" s="1714" t="s">
        <v>3383</v>
      </c>
      <c r="AO6" s="52">
        <f ca="1">SUMIF(INDIRECT("'"&amp;AN6&amp;"'"&amp;"!A:A"),"总价",INDIRECT("'"&amp;AN6&amp;"'"&amp;"!B:B"))</f>
        <v>25960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t="e">
        <f t="shared" ref="AE7:AE13" ca="1" si="6">IF(AN7="",0,SUMIF(INDIRECT("'"&amp;AN7&amp;"'"&amp;"!E:E"),$AE$5,INDIRECT("'"&amp;AN7&amp;"'"&amp;"!F:F")))</f>
        <v>#N/A</v>
      </c>
      <c r="AF7" s="1347"/>
      <c r="AG7" s="138">
        <f t="shared" ref="AG7:AG13" si="7">IF(AF7="",0,AE7-AF7)</f>
        <v>0</v>
      </c>
      <c r="AH7" s="74"/>
      <c r="AI7" s="76">
        <v>365</v>
      </c>
      <c r="AJ7" s="77"/>
      <c r="AK7" s="78">
        <v>0.01</v>
      </c>
      <c r="AL7" s="79">
        <v>1E-3</v>
      </c>
      <c r="AM7" s="80">
        <v>0.01</v>
      </c>
      <c r="AN7" s="1714" t="s">
        <v>3410</v>
      </c>
      <c r="AO7" s="52" t="e">
        <f t="shared" ref="AO7:AO13" ca="1" si="8">SUMIF(INDIRECT("'"&amp;AN7&amp;"'"&amp;"!A:A"),"总价",INDIRECT("'"&amp;AN7&amp;"'"&amp;"!B:B"))</f>
        <v>#N/A</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0.86399999999999999</v>
      </c>
      <c r="H16" s="90">
        <f>ROUND(SUMPRODUCT(H6:H13,K6:K13)/SUMPRODUCT((H6:H13&gt;0)*(K6:K13)),3)</f>
        <v>5.5E-2</v>
      </c>
      <c r="I16" s="91"/>
      <c r="J16" s="91"/>
      <c r="K16" s="92">
        <f>SUM(K6:K15)</f>
        <v>19411.939999999999</v>
      </c>
      <c r="L16" s="93">
        <f>ROUND(M16*10000/SUM(K6:K14),0)</f>
        <v>3500</v>
      </c>
      <c r="M16" s="93">
        <f>SUM(M6:M14)</f>
        <v>6794</v>
      </c>
      <c r="N16" s="94">
        <f>ROUND(SUMPRODUCT(M6:M14,N6:N14)/M16,3)</f>
        <v>0.78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2304</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v>1800</v>
      </c>
      <c r="AC19" s="2668">
        <v>23000</v>
      </c>
      <c r="AD19" s="2668">
        <f>AB19+AC19</f>
        <v>24800</v>
      </c>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2302</v>
      </c>
      <c r="D20" s="2673"/>
      <c r="E20" s="2670"/>
      <c r="F20" s="2670"/>
      <c r="G20" s="2670"/>
      <c r="H20" s="2670"/>
      <c r="I20" s="2670"/>
      <c r="J20" s="2670"/>
      <c r="K20" s="2669"/>
      <c r="L20" s="2669"/>
      <c r="M20" s="2668"/>
      <c r="N20" s="2668">
        <v>2009</v>
      </c>
      <c r="O20" s="2668"/>
      <c r="P20" s="2668"/>
      <c r="Q20" s="2668"/>
      <c r="R20" s="2668"/>
      <c r="S20" s="2668"/>
      <c r="T20" s="2668"/>
      <c r="U20" s="2668" t="s">
        <v>3420</v>
      </c>
      <c r="V20" s="2668"/>
      <c r="W20" s="2668"/>
      <c r="X20" s="2668"/>
      <c r="Y20" s="2668"/>
      <c r="Z20" s="2668"/>
      <c r="AA20" s="2668"/>
      <c r="AB20" s="2668"/>
      <c r="AC20" s="2668"/>
      <c r="AD20" s="2668">
        <f>AD19/11</f>
        <v>2254.5454545454545</v>
      </c>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2668"/>
      <c r="N21" s="2668">
        <f>ROUND(1-(2022-N20)/60,2)</f>
        <v>0.78</v>
      </c>
      <c r="O21" s="2668"/>
      <c r="P21" s="2668"/>
      <c r="Q21" s="2668"/>
      <c r="R21" s="2668"/>
      <c r="S21" s="2668"/>
      <c r="T21" s="2668"/>
      <c r="U21" s="2668"/>
      <c r="V21" s="3469" t="s">
        <v>3389</v>
      </c>
      <c r="W21" s="3469" t="s">
        <v>3390</v>
      </c>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v>0.9</v>
      </c>
      <c r="O22" s="2668"/>
      <c r="P22" s="2668"/>
      <c r="Q22" s="2668"/>
      <c r="R22" s="2668"/>
      <c r="S22" s="2668"/>
      <c r="T22" s="2668"/>
      <c r="U22" s="3469" t="s">
        <v>3388</v>
      </c>
      <c r="V22" s="2668">
        <f>'数据-汇总表'!E31</f>
        <v>19411.939999999999</v>
      </c>
      <c r="W22" s="2668">
        <f>X22/V22/365*10000</f>
        <v>3.1819781339569198</v>
      </c>
      <c r="X22" s="2668">
        <f>AD20</f>
        <v>2254.5454545454545</v>
      </c>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3469"/>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v>2300</v>
      </c>
      <c r="W24" s="2668">
        <f>ROUND(V24*10000/365/V22,2)</f>
        <v>3.25</v>
      </c>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3469" t="s">
        <v>3395</v>
      </c>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c r="C27" s="2798" t="s">
        <v>2306</v>
      </c>
      <c r="D27" s="2676"/>
      <c r="E27" s="2658"/>
      <c r="F27" s="2658"/>
      <c r="G27" s="2670"/>
      <c r="H27" s="2670"/>
      <c r="I27" s="2670"/>
      <c r="J27" s="2670"/>
      <c r="K27" s="2669"/>
      <c r="L27" s="2669"/>
      <c r="M27" s="2668"/>
      <c r="N27" s="2668"/>
      <c r="O27" s="2668"/>
      <c r="P27" s="2668"/>
      <c r="Q27" s="2668"/>
      <c r="R27" s="2668"/>
      <c r="S27" s="2668"/>
      <c r="T27" s="2668"/>
      <c r="U27" s="3469"/>
      <c r="V27" s="3469" t="s">
        <v>3389</v>
      </c>
      <c r="W27" s="3469" t="s">
        <v>3396</v>
      </c>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t="s">
        <v>3391</v>
      </c>
      <c r="V28" s="2668">
        <f>3496.74+138.62+138.62</f>
        <v>3773.9799999999996</v>
      </c>
      <c r="W28" s="2668">
        <v>1</v>
      </c>
      <c r="X28" s="2668">
        <v>5</v>
      </c>
      <c r="Y28" s="2668">
        <f>V28*X28</f>
        <v>18869.899999999998</v>
      </c>
      <c r="Z28" s="2668"/>
      <c r="AA28" s="2668"/>
      <c r="AB28" s="2668">
        <v>33000</v>
      </c>
      <c r="AC28" s="2668">
        <f>AB28*V28</f>
        <v>124541339.99999999</v>
      </c>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v>388</v>
      </c>
      <c r="C29" s="2799" t="s">
        <v>2293</v>
      </c>
      <c r="D29" s="2676"/>
      <c r="E29" s="2658"/>
      <c r="F29" s="2658"/>
      <c r="G29" s="2670"/>
      <c r="H29" s="2670"/>
      <c r="I29" s="2670"/>
      <c r="J29" s="2670"/>
      <c r="K29" s="2669"/>
      <c r="L29" s="2669"/>
      <c r="M29" s="2668"/>
      <c r="N29" s="2668"/>
      <c r="O29" s="2668"/>
      <c r="P29" s="2668"/>
      <c r="Q29" s="2668"/>
      <c r="R29" s="2668"/>
      <c r="S29" s="2668"/>
      <c r="T29" s="2668"/>
      <c r="U29" s="2668" t="s">
        <v>3392</v>
      </c>
      <c r="V29" s="2668">
        <v>4603.1499999999996</v>
      </c>
      <c r="W29" s="2668">
        <v>0.7</v>
      </c>
      <c r="X29" s="2668">
        <f>X28*W29</f>
        <v>3.5</v>
      </c>
      <c r="Y29" s="2668">
        <f t="shared" ref="Y29:Y32" si="12">V29*X29</f>
        <v>16111.024999999998</v>
      </c>
      <c r="Z29" s="2668"/>
      <c r="AA29" s="2668"/>
      <c r="AB29" s="2668">
        <f>AB28*W29</f>
        <v>23100</v>
      </c>
      <c r="AC29" s="2668">
        <f t="shared" ref="AC29:AC32" si="13">AB29*V29</f>
        <v>106332764.99999999</v>
      </c>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t="s">
        <v>3393</v>
      </c>
      <c r="V30" s="2668">
        <v>4612.1499999999996</v>
      </c>
      <c r="W30" s="2668">
        <v>0.6</v>
      </c>
      <c r="X30" s="2668">
        <f>X28*W30</f>
        <v>3</v>
      </c>
      <c r="Y30" s="2668">
        <f t="shared" si="12"/>
        <v>13836.449999999999</v>
      </c>
      <c r="Z30" s="2668"/>
      <c r="AA30" s="2668"/>
      <c r="AB30" s="2668">
        <f>AB28*W30</f>
        <v>19800</v>
      </c>
      <c r="AC30" s="2668">
        <f t="shared" si="13"/>
        <v>91320570</v>
      </c>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t="s">
        <v>3394</v>
      </c>
      <c r="V31" s="2668">
        <v>4630</v>
      </c>
      <c r="W31" s="2668">
        <v>0.5</v>
      </c>
      <c r="X31" s="2668">
        <v>3</v>
      </c>
      <c r="Y31" s="2668">
        <f t="shared" si="12"/>
        <v>13890</v>
      </c>
      <c r="Z31" s="2668"/>
      <c r="AA31" s="2668"/>
      <c r="AB31" s="2668">
        <f>AB28*W31</f>
        <v>16500</v>
      </c>
      <c r="AC31" s="2668">
        <f t="shared" si="13"/>
        <v>76395000</v>
      </c>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7"/>
      <c r="D32" s="2673"/>
      <c r="E32" s="2670"/>
      <c r="F32" s="2670"/>
      <c r="G32" s="2670"/>
      <c r="H32" s="2670"/>
      <c r="I32" s="2670"/>
      <c r="J32" s="2670"/>
      <c r="K32" s="2669"/>
      <c r="L32" s="2669"/>
      <c r="M32" s="2668"/>
      <c r="N32" s="2668"/>
      <c r="O32" s="2668"/>
      <c r="P32" s="2668"/>
      <c r="Q32" s="2668"/>
      <c r="R32" s="2668"/>
      <c r="S32" s="2668"/>
      <c r="T32" s="2668"/>
      <c r="U32" s="2668" t="s">
        <v>3421</v>
      </c>
      <c r="V32" s="2668">
        <f>'数据-基础表'!K13</f>
        <v>1792.66</v>
      </c>
      <c r="W32" s="2668">
        <v>0.5</v>
      </c>
      <c r="X32" s="2668">
        <v>1.5</v>
      </c>
      <c r="Y32" s="2668">
        <f t="shared" si="12"/>
        <v>2688.9900000000002</v>
      </c>
      <c r="Z32" s="2668"/>
      <c r="AA32" s="2668"/>
      <c r="AB32" s="2668">
        <f>AB28*W32</f>
        <v>16500</v>
      </c>
      <c r="AC32" s="2668">
        <f t="shared" si="13"/>
        <v>29578890</v>
      </c>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f t="shared" ref="V33" si="14">SUM(V28:V32)</f>
        <v>19411.939999999999</v>
      </c>
      <c r="W33" s="2668"/>
      <c r="X33" s="2668">
        <f>Y33/V33</f>
        <v>3.3688732295690174</v>
      </c>
      <c r="Y33" s="2668">
        <f>SUM(Y28:Y32)</f>
        <v>65396.364999999991</v>
      </c>
      <c r="Z33" s="2668"/>
      <c r="AA33" s="2668"/>
      <c r="AB33" s="2668"/>
      <c r="AC33" s="2668">
        <f>SUM(AC28:AC32)/10000</f>
        <v>42816.856500000002</v>
      </c>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f>Y33*365</f>
        <v>23869673.224999998</v>
      </c>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3387</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296</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19" t="s">
        <v>2285</v>
      </c>
      <c r="B1" s="3620"/>
      <c r="C1" s="3620"/>
      <c r="D1" s="3620"/>
      <c r="E1" s="3620"/>
      <c r="F1" s="3620"/>
      <c r="G1" s="362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19411.939999999999</v>
      </c>
      <c r="C1" s="2683"/>
      <c r="D1" s="2683"/>
      <c r="E1" s="2683"/>
      <c r="F1" s="2683"/>
      <c r="G1" s="2684"/>
      <c r="H1" s="2685"/>
      <c r="I1" s="2685"/>
      <c r="J1" s="2685"/>
      <c r="K1" s="2685"/>
    </row>
    <row r="2" spans="1:11" ht="16.5">
      <c r="A2" s="2511" t="s">
        <v>653</v>
      </c>
      <c r="B2" s="2511">
        <f>SUM(C14:C23)</f>
        <v>0</v>
      </c>
      <c r="C2" s="2683"/>
      <c r="D2" s="2683"/>
      <c r="E2" s="2683"/>
      <c r="F2" s="2683"/>
      <c r="G2" s="2684"/>
      <c r="H2" s="2685"/>
      <c r="I2" s="2685"/>
      <c r="J2" s="2685"/>
      <c r="K2" s="2685"/>
    </row>
    <row r="3" spans="1:11" ht="16.5">
      <c r="A3" s="2511" t="s">
        <v>662</v>
      </c>
      <c r="B3" s="2513">
        <f>项目基本情况!D3</f>
        <v>44944</v>
      </c>
      <c r="C3" s="2683"/>
      <c r="D3" s="2683"/>
      <c r="E3" s="2683"/>
      <c r="F3" s="2683"/>
      <c r="G3" s="2684"/>
      <c r="H3" s="2685"/>
      <c r="I3" s="2685"/>
      <c r="J3" s="2685"/>
      <c r="K3" s="2685"/>
    </row>
    <row r="4" spans="1:11" ht="33">
      <c r="A4" s="2511" t="s">
        <v>661</v>
      </c>
      <c r="B4" s="2511" t="s">
        <v>660</v>
      </c>
      <c r="C4" s="2511" t="s">
        <v>659</v>
      </c>
      <c r="D4" s="2511" t="s">
        <v>658</v>
      </c>
      <c r="E4" s="2683"/>
      <c r="F4" s="2684"/>
      <c r="G4" s="2684"/>
      <c r="H4" s="2685"/>
      <c r="I4" s="2685"/>
      <c r="J4" s="2685"/>
      <c r="K4" s="2685"/>
    </row>
    <row r="5" spans="1:11" ht="16.5">
      <c r="A5" s="2511" t="s">
        <v>657</v>
      </c>
      <c r="B5" s="2511">
        <f ca="1">SUM(D14:D23)</f>
        <v>53236</v>
      </c>
      <c r="C5" s="2511">
        <f ca="1">IF(B5=D14,结果表!H102,ROUND(B5*10000/$B$1,0))</f>
        <v>27424</v>
      </c>
      <c r="D5" s="2511" t="e">
        <f ca="1">ROUND(B5*10000/$B$2,0)</f>
        <v>#DIV/0!</v>
      </c>
      <c r="E5" s="2683"/>
      <c r="F5" s="2684"/>
      <c r="G5" s="2684"/>
      <c r="H5" s="2685"/>
      <c r="I5" s="2685"/>
      <c r="J5" s="2685"/>
      <c r="K5" s="2685"/>
    </row>
    <row r="6" spans="1:11" ht="16.5">
      <c r="A6" s="2511" t="s">
        <v>656</v>
      </c>
      <c r="B6" s="2511">
        <f ca="1">SUM(G14:G23)</f>
        <v>53236</v>
      </c>
      <c r="C6" s="2511">
        <f ca="1">IF(B6=G14,结果表!H108,ROUND(B6*10000/$B$1,0))</f>
        <v>27424</v>
      </c>
      <c r="D6" s="2511" t="e">
        <f ca="1">ROUND(B6*10000/$B$2,0)</f>
        <v>#DIV/0!</v>
      </c>
      <c r="E6" s="2683"/>
      <c r="F6" s="2684"/>
      <c r="G6" s="2684"/>
      <c r="H6" s="2685"/>
      <c r="I6" s="2685"/>
      <c r="J6" s="2685"/>
      <c r="K6" s="2685"/>
    </row>
    <row r="7" spans="1:11" ht="16.5">
      <c r="A7" s="2511" t="s">
        <v>664</v>
      </c>
      <c r="B7" s="2511">
        <f>SUM(H14:H23)</f>
        <v>0</v>
      </c>
      <c r="C7" s="2511" t="str">
        <f>IF(B7=H14,结果表!H110,ROUND(B7*10000/$B$1,0))</f>
        <v>——</v>
      </c>
      <c r="D7" s="2511" t="e">
        <f>ROUND(B7*10000/$B$2,0)</f>
        <v>#DIV/0!</v>
      </c>
      <c r="E7" s="2683"/>
      <c r="F7" s="2684"/>
      <c r="G7" s="2684"/>
      <c r="H7" s="2685"/>
      <c r="I7" s="2685"/>
      <c r="J7" s="2685"/>
      <c r="K7" s="2685"/>
    </row>
    <row r="8" spans="1:11" ht="16.5">
      <c r="A8" s="2511" t="s">
        <v>587</v>
      </c>
      <c r="B8" s="2511">
        <f ca="1">SUM(I14:I23)</f>
        <v>48010</v>
      </c>
      <c r="C8" s="2511">
        <f ca="1">IF(B8=I14,结果表!H112,ROUND(B8*10000/$B$1,0))</f>
        <v>24732</v>
      </c>
      <c r="D8" s="2511" t="e">
        <f ca="1">ROUND(B8*10000/$B$2,0)</f>
        <v>#DIV/0!</v>
      </c>
      <c r="E8" s="2683"/>
      <c r="F8" s="2684"/>
      <c r="G8" s="2684"/>
      <c r="H8" s="2685"/>
      <c r="I8" s="2685"/>
      <c r="J8" s="2685"/>
      <c r="K8" s="2685"/>
    </row>
    <row r="9" spans="1:11" ht="16.5">
      <c r="A9" s="2511" t="s">
        <v>655</v>
      </c>
      <c r="B9" s="2519"/>
      <c r="C9" s="2683"/>
      <c r="D9" s="2683"/>
      <c r="E9" s="2683"/>
      <c r="F9" s="2684"/>
      <c r="G9" s="2684"/>
      <c r="H9" s="2685"/>
      <c r="I9" s="2685"/>
      <c r="J9" s="2685"/>
      <c r="K9" s="2685"/>
    </row>
    <row r="10" spans="1:11" ht="16.5">
      <c r="A10" s="2511" t="s">
        <v>654</v>
      </c>
      <c r="B10" s="2511">
        <f>IF(E10="",0,ROUND(B1*(E10*365/G10)/10000,0))</f>
        <v>0</v>
      </c>
      <c r="C10" s="2511" t="s">
        <v>3365</v>
      </c>
      <c r="D10" s="2511" t="s">
        <v>3366</v>
      </c>
      <c r="E10" s="3440"/>
      <c r="F10" s="3444" t="s">
        <v>3367</v>
      </c>
      <c r="G10" s="3441"/>
      <c r="H10" s="2685"/>
      <c r="I10" s="2685"/>
      <c r="J10" s="2685"/>
      <c r="K10" s="2685"/>
    </row>
    <row r="11" spans="1:11" ht="16.5">
      <c r="A11" s="2511" t="s">
        <v>670</v>
      </c>
      <c r="B11" s="2519"/>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4" t="s">
        <v>669</v>
      </c>
      <c r="B13" s="2515" t="s">
        <v>666</v>
      </c>
      <c r="C13" s="2515" t="s">
        <v>668</v>
      </c>
      <c r="D13" s="2515" t="s">
        <v>667</v>
      </c>
      <c r="E13" s="2511" t="s">
        <v>659</v>
      </c>
      <c r="F13" s="2511" t="s">
        <v>658</v>
      </c>
      <c r="G13" s="2515" t="s">
        <v>652</v>
      </c>
      <c r="H13" s="2515" t="s">
        <v>663</v>
      </c>
      <c r="I13" s="2515" t="s">
        <v>651</v>
      </c>
      <c r="J13" s="2684"/>
      <c r="K13" s="2685"/>
    </row>
    <row r="14" spans="1:11" ht="16.5">
      <c r="A14" s="2516" t="s">
        <v>650</v>
      </c>
      <c r="B14" s="2517">
        <f>结果表!B118</f>
        <v>19411.939999999999</v>
      </c>
      <c r="C14" s="2517"/>
      <c r="D14" s="2517">
        <f ca="1">结果表!H118</f>
        <v>53236</v>
      </c>
      <c r="E14" s="2517">
        <f ca="1">ROUND(D14*10000/B14,0)</f>
        <v>27424</v>
      </c>
      <c r="F14" s="2517" t="e">
        <f ca="1">ROUND(D14*10000/C14,0)</f>
        <v>#DIV/0!</v>
      </c>
      <c r="G14" s="2517">
        <f ca="1">结果表!H107</f>
        <v>53236</v>
      </c>
      <c r="H14" s="2517"/>
      <c r="I14" s="2517">
        <f ca="1">结果表净值模拟!H111+'结果表净值模拟 (2)'!H111</f>
        <v>48010</v>
      </c>
      <c r="J14" s="2684"/>
      <c r="K14" s="2685"/>
    </row>
    <row r="15" spans="1:11" ht="16.5">
      <c r="A15" s="2516" t="s">
        <v>649</v>
      </c>
      <c r="B15" s="2518"/>
      <c r="C15" s="2518"/>
      <c r="D15" s="2518"/>
      <c r="E15" s="2517" t="e">
        <f t="shared" ref="E15:E23" si="0">ROUND(D15*10000/B15,0)</f>
        <v>#DIV/0!</v>
      </c>
      <c r="F15" s="2517" t="e">
        <f t="shared" ref="F15:F23" si="1">ROUND(D15*10000/C15,0)</f>
        <v>#DIV/0!</v>
      </c>
      <c r="G15" s="1330"/>
      <c r="H15" s="1330"/>
      <c r="I15" s="2518"/>
      <c r="J15" s="2684"/>
      <c r="K15" s="2685"/>
    </row>
    <row r="16" spans="1:11" ht="16.5">
      <c r="A16" s="2516" t="s">
        <v>648</v>
      </c>
      <c r="B16" s="2518"/>
      <c r="C16" s="2518"/>
      <c r="D16" s="2518"/>
      <c r="E16" s="2517" t="e">
        <f t="shared" si="0"/>
        <v>#DIV/0!</v>
      </c>
      <c r="F16" s="2517" t="e">
        <f t="shared" si="1"/>
        <v>#DIV/0!</v>
      </c>
      <c r="G16" s="1330"/>
      <c r="H16" s="1330"/>
      <c r="I16" s="2518"/>
      <c r="J16" s="2685"/>
      <c r="K16" s="2685"/>
    </row>
    <row r="17" spans="1:11" ht="16.5">
      <c r="A17" s="2516" t="s">
        <v>647</v>
      </c>
      <c r="B17" s="2518"/>
      <c r="C17" s="2518"/>
      <c r="D17" s="2518"/>
      <c r="E17" s="2517" t="e">
        <f t="shared" si="0"/>
        <v>#DIV/0!</v>
      </c>
      <c r="F17" s="2517" t="e">
        <f t="shared" si="1"/>
        <v>#DIV/0!</v>
      </c>
      <c r="G17" s="1330"/>
      <c r="H17" s="1330"/>
      <c r="I17" s="2518"/>
      <c r="J17" s="2685"/>
      <c r="K17" s="2685"/>
    </row>
    <row r="18" spans="1:11" ht="16.5">
      <c r="A18" s="2516" t="s">
        <v>646</v>
      </c>
      <c r="B18" s="2518"/>
      <c r="C18" s="2518"/>
      <c r="D18" s="2518"/>
      <c r="E18" s="2517" t="e">
        <f t="shared" si="0"/>
        <v>#DIV/0!</v>
      </c>
      <c r="F18" s="2517" t="e">
        <f t="shared" si="1"/>
        <v>#DIV/0!</v>
      </c>
      <c r="G18" s="2518"/>
      <c r="H18" s="2518"/>
      <c r="I18" s="2518"/>
      <c r="J18" s="2685"/>
      <c r="K18" s="2685"/>
    </row>
    <row r="19" spans="1:11" ht="16.5">
      <c r="A19" s="2516" t="s">
        <v>645</v>
      </c>
      <c r="B19" s="2518"/>
      <c r="C19" s="2518"/>
      <c r="D19" s="2518"/>
      <c r="E19" s="2517" t="e">
        <f t="shared" si="0"/>
        <v>#DIV/0!</v>
      </c>
      <c r="F19" s="2517" t="e">
        <f t="shared" si="1"/>
        <v>#DIV/0!</v>
      </c>
      <c r="G19" s="2518"/>
      <c r="H19" s="2518"/>
      <c r="I19" s="2518"/>
      <c r="J19" s="2685"/>
      <c r="K19" s="2685"/>
    </row>
    <row r="20" spans="1:11" ht="16.5">
      <c r="A20" s="2516" t="s">
        <v>644</v>
      </c>
      <c r="B20" s="2518"/>
      <c r="C20" s="2518"/>
      <c r="D20" s="2518"/>
      <c r="E20" s="2517" t="e">
        <f t="shared" si="0"/>
        <v>#DIV/0!</v>
      </c>
      <c r="F20" s="2517" t="e">
        <f t="shared" si="1"/>
        <v>#DIV/0!</v>
      </c>
      <c r="G20" s="2518"/>
      <c r="H20" s="2518"/>
      <c r="I20" s="2518"/>
      <c r="J20" s="2685"/>
      <c r="K20" s="2685"/>
    </row>
    <row r="21" spans="1:11" ht="16.5">
      <c r="A21" s="2516" t="s">
        <v>643</v>
      </c>
      <c r="B21" s="2518"/>
      <c r="C21" s="2518"/>
      <c r="D21" s="2518"/>
      <c r="E21" s="2517" t="e">
        <f t="shared" si="0"/>
        <v>#DIV/0!</v>
      </c>
      <c r="F21" s="2517" t="e">
        <f t="shared" si="1"/>
        <v>#DIV/0!</v>
      </c>
      <c r="G21" s="2518"/>
      <c r="H21" s="2518"/>
      <c r="I21" s="2518"/>
      <c r="J21" s="2685"/>
      <c r="K21" s="2685"/>
    </row>
    <row r="22" spans="1:11" ht="16.5">
      <c r="A22" s="2516" t="s">
        <v>642</v>
      </c>
      <c r="B22" s="2518"/>
      <c r="C22" s="2518"/>
      <c r="D22" s="2518"/>
      <c r="E22" s="2517" t="e">
        <f t="shared" si="0"/>
        <v>#DIV/0!</v>
      </c>
      <c r="F22" s="2517" t="e">
        <f t="shared" si="1"/>
        <v>#DIV/0!</v>
      </c>
      <c r="G22" s="2518"/>
      <c r="H22" s="2518"/>
      <c r="I22" s="2518"/>
      <c r="J22" s="2685"/>
      <c r="K22" s="2685"/>
    </row>
    <row r="23" spans="1:11" ht="16.5">
      <c r="A23" s="2516" t="s">
        <v>641</v>
      </c>
      <c r="B23" s="2518"/>
      <c r="C23" s="2518"/>
      <c r="D23" s="2518"/>
      <c r="E23" s="2519" t="e">
        <f t="shared" si="0"/>
        <v>#DIV/0!</v>
      </c>
      <c r="F23" s="2519" t="e">
        <f t="shared" si="1"/>
        <v>#DIV/0!</v>
      </c>
      <c r="G23" s="2518"/>
      <c r="H23" s="2518"/>
      <c r="I23" s="2518"/>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0" zoomScale="80" zoomScaleNormal="100" zoomScaleSheetLayoutView="80" zoomScalePageLayoutView="80" workbookViewId="0">
      <selection activeCell="K38" sqref="K3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2.75">
      <c r="A3" s="3659" t="s">
        <v>1264</v>
      </c>
      <c r="B3" s="3660"/>
      <c r="C3" s="3660"/>
      <c r="D3" s="3660"/>
      <c r="E3" s="3660"/>
      <c r="F3" s="3660"/>
      <c r="G3" s="3660"/>
      <c r="H3" s="3660"/>
      <c r="I3" s="3660"/>
    </row>
    <row r="4" spans="1:12" ht="14.25">
      <c r="A4" s="1753" t="s">
        <v>1265</v>
      </c>
      <c r="B4" s="1754" t="s">
        <v>1266</v>
      </c>
      <c r="C4" s="1755" t="s">
        <v>3448</v>
      </c>
      <c r="D4" s="1755" t="s">
        <v>3407</v>
      </c>
      <c r="E4" s="3661" t="s">
        <v>1267</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635" t="s">
        <v>1268</v>
      </c>
      <c r="B5" s="3622">
        <v>25</v>
      </c>
      <c r="C5" s="3638"/>
      <c r="D5" s="3658"/>
      <c r="E5" s="131" t="s">
        <v>1269</v>
      </c>
      <c r="F5" s="1756"/>
      <c r="G5" s="1756"/>
      <c r="H5" s="1756"/>
      <c r="I5" s="1372"/>
    </row>
    <row r="6" spans="1:12" ht="12.75">
      <c r="A6" s="3635"/>
      <c r="B6" s="3622"/>
      <c r="C6" s="3639"/>
      <c r="D6" s="3658"/>
      <c r="E6" s="131" t="s">
        <v>1270</v>
      </c>
      <c r="F6" s="1756"/>
      <c r="G6" s="1756"/>
      <c r="H6" s="1756"/>
      <c r="I6" s="1372"/>
    </row>
    <row r="7" spans="1:12" ht="12.75">
      <c r="A7" s="3635"/>
      <c r="B7" s="3622"/>
      <c r="C7" s="3640"/>
      <c r="D7" s="3658"/>
      <c r="E7" s="131" t="s">
        <v>1271</v>
      </c>
      <c r="F7" s="1756"/>
      <c r="G7" s="1756"/>
      <c r="H7" s="1756"/>
      <c r="I7" s="1372"/>
    </row>
    <row r="8" spans="1:12" ht="12.75">
      <c r="A8" s="3635" t="s">
        <v>1272</v>
      </c>
      <c r="B8" s="3622">
        <v>15</v>
      </c>
      <c r="C8" s="3638"/>
      <c r="D8" s="3658"/>
      <c r="E8" s="131" t="s">
        <v>1273</v>
      </c>
      <c r="F8" s="1756"/>
      <c r="G8" s="1756"/>
      <c r="H8" s="1756"/>
      <c r="I8" s="1372"/>
    </row>
    <row r="9" spans="1:12" ht="12.75">
      <c r="A9" s="3635"/>
      <c r="B9" s="3622"/>
      <c r="C9" s="3640"/>
      <c r="D9" s="3658"/>
      <c r="E9" s="131" t="s">
        <v>1274</v>
      </c>
      <c r="F9" s="1756"/>
      <c r="G9" s="1756"/>
      <c r="H9" s="1756"/>
      <c r="I9" s="1372"/>
    </row>
    <row r="10" spans="1:12" ht="12.75">
      <c r="A10" s="3635" t="s">
        <v>1275</v>
      </c>
      <c r="B10" s="3622">
        <v>15</v>
      </c>
      <c r="C10" s="3638"/>
      <c r="D10" s="3658"/>
      <c r="E10" s="131" t="s">
        <v>1276</v>
      </c>
      <c r="F10" s="1756"/>
      <c r="G10" s="1756"/>
      <c r="H10" s="1756"/>
      <c r="I10" s="1372"/>
    </row>
    <row r="11" spans="1:12" ht="12.75">
      <c r="A11" s="3635"/>
      <c r="B11" s="3622"/>
      <c r="C11" s="3640"/>
      <c r="D11" s="3658"/>
      <c r="E11" s="131" t="s">
        <v>1277</v>
      </c>
      <c r="F11" s="1756"/>
      <c r="G11" s="1756"/>
      <c r="H11" s="1756"/>
      <c r="I11" s="1372"/>
    </row>
    <row r="12" spans="1:12" ht="12.75">
      <c r="A12" s="3635" t="s">
        <v>1278</v>
      </c>
      <c r="B12" s="3622">
        <v>15</v>
      </c>
      <c r="C12" s="3638"/>
      <c r="D12" s="3658"/>
      <c r="E12" s="131" t="s">
        <v>1279</v>
      </c>
      <c r="F12" s="1756"/>
      <c r="G12" s="1756"/>
      <c r="H12" s="1756"/>
      <c r="I12" s="1372"/>
    </row>
    <row r="13" spans="1:12" ht="12.75">
      <c r="A13" s="3635"/>
      <c r="B13" s="3622"/>
      <c r="C13" s="3640"/>
      <c r="D13" s="3658"/>
      <c r="E13" s="131" t="s">
        <v>1280</v>
      </c>
      <c r="F13" s="1756"/>
      <c r="G13" s="1756"/>
      <c r="H13" s="1756"/>
      <c r="I13" s="1372"/>
    </row>
    <row r="14" spans="1:12" ht="12.75">
      <c r="A14" s="3635" t="s">
        <v>1281</v>
      </c>
      <c r="B14" s="3622">
        <v>30</v>
      </c>
      <c r="C14" s="3638">
        <v>5</v>
      </c>
      <c r="D14" s="3658">
        <v>5</v>
      </c>
      <c r="E14" s="131" t="s">
        <v>1282</v>
      </c>
      <c r="F14" s="1756"/>
      <c r="G14" s="1756"/>
      <c r="H14" s="1756"/>
      <c r="I14" s="1372"/>
    </row>
    <row r="15" spans="1:12" ht="12.75">
      <c r="A15" s="3635"/>
      <c r="B15" s="3622"/>
      <c r="C15" s="3639"/>
      <c r="D15" s="3658"/>
      <c r="E15" s="131" t="s">
        <v>1283</v>
      </c>
      <c r="F15" s="1756"/>
      <c r="G15" s="1756"/>
      <c r="H15" s="1756"/>
      <c r="I15" s="1372"/>
    </row>
    <row r="16" spans="1:12" ht="12.75">
      <c r="A16" s="3635"/>
      <c r="B16" s="3622"/>
      <c r="C16" s="3640"/>
      <c r="D16" s="365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5" t="s">
        <v>2130</v>
      </c>
      <c r="F18" s="3646"/>
      <c r="G18" s="3646"/>
      <c r="H18" s="3646"/>
      <c r="I18" s="3646"/>
      <c r="K18" s="302" t="s">
        <v>1289</v>
      </c>
      <c r="L18" s="302">
        <f>IF(C1="",'数据-汇总表'!E3,SUMIF(项目类型,C1,'数据-汇总表'!E17:E26)+SUMIF(项目类型,C1,'数据-汇总表'!I17:I26))</f>
        <v>19411.939999999999</v>
      </c>
      <c r="M18" s="302">
        <f>IF(C1="",'数据-汇总表'!E3,SUMIF(项目类型,C1,'数据-汇总表'!E17:E26))</f>
        <v>19411.939999999999</v>
      </c>
    </row>
    <row r="19" spans="1:36" ht="15">
      <c r="A19" s="1760" t="s">
        <v>1290</v>
      </c>
      <c r="B19" s="1761" t="s">
        <v>1291</v>
      </c>
      <c r="C19" s="134">
        <f ca="1">SUMIF(INDIRECT("'"&amp;C4&amp;"'"&amp;"!A:A"),结果表!B19,INDIRECT("'"&amp;C4&amp;"'"&amp;"!B:B"))</f>
        <v>50835</v>
      </c>
      <c r="D19" s="135">
        <f ca="1">SUMIF(INDIRECT("'"&amp;D4&amp;"'"&amp;"!A:A"),结果表!B19,INDIRECT("'"&amp;D4&amp;"'"&amp;"!B:B"))</f>
        <v>55637</v>
      </c>
      <c r="E19" s="1760" t="s">
        <v>1292</v>
      </c>
      <c r="F19" s="1761" t="s">
        <v>1291</v>
      </c>
      <c r="G19" s="136">
        <f ca="1">ROUND(C19*$C$18+D19*$D$18,0)</f>
        <v>53236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26187</v>
      </c>
      <c r="D20" s="138">
        <f ca="1">SUMIF(INDIRECT("'"&amp;D4&amp;"'"&amp;"!A:A"),结果表!B20,INDIRECT("'"&amp;D4&amp;"'"&amp;"!B:B"))</f>
        <v>28661</v>
      </c>
      <c r="E20" s="1763"/>
      <c r="F20" s="1025" t="s">
        <v>1295</v>
      </c>
      <c r="G20" s="139">
        <f ca="1">ROUND(C20*$C$18+D20*$D$18,0)</f>
        <v>27424</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9.4462476640110093E-2</v>
      </c>
      <c r="E22" s="129"/>
      <c r="F22" s="129"/>
      <c r="G22" s="129"/>
      <c r="H22" s="129"/>
      <c r="I22" s="129"/>
    </row>
    <row r="23" spans="1:36" ht="13.5" thickBot="1">
      <c r="A23" s="1746"/>
      <c r="B23" s="1746"/>
      <c r="C23" s="1746"/>
      <c r="D23" s="1746"/>
      <c r="E23" s="129"/>
      <c r="F23" s="129"/>
      <c r="G23" s="129"/>
      <c r="H23" s="129"/>
      <c r="I23" s="129"/>
    </row>
    <row r="24" spans="1:36" ht="14.25">
      <c r="A24" s="3629" t="s">
        <v>1299</v>
      </c>
      <c r="B24" s="1761" t="s">
        <v>1291</v>
      </c>
      <c r="C24" s="136">
        <f>IF(B30=0,0,D30)</f>
        <v>0</v>
      </c>
      <c r="D24" s="1768"/>
      <c r="E24" s="129"/>
      <c r="F24" s="129"/>
      <c r="G24" s="129"/>
      <c r="H24" s="129"/>
      <c r="I24" s="129"/>
    </row>
    <row r="25" spans="1:36" ht="14.25">
      <c r="A25" s="363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53236</v>
      </c>
      <c r="D32" s="1774" t="s">
        <v>3419</v>
      </c>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49" t="s">
        <v>1312</v>
      </c>
      <c r="B36" s="1786" t="s">
        <v>1313</v>
      </c>
      <c r="C36" s="145"/>
      <c r="D36" s="1787"/>
      <c r="E36" s="1788"/>
      <c r="F36" s="1789"/>
      <c r="G36" s="129"/>
      <c r="H36" s="129"/>
      <c r="I36" s="129"/>
    </row>
    <row r="37" spans="1:15" ht="15.75" thickBot="1">
      <c r="A37" s="3650"/>
      <c r="B37" s="1673" t="s">
        <v>1314</v>
      </c>
      <c r="C37" s="147"/>
      <c r="D37" s="1138"/>
      <c r="E37" s="1138"/>
      <c r="F37" s="1789"/>
      <c r="G37" s="129"/>
      <c r="H37" s="129"/>
      <c r="I37" s="129"/>
    </row>
    <row r="38" spans="1:15" ht="15.75" thickBot="1">
      <c r="A38" s="365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6" t="s">
        <v>1326</v>
      </c>
      <c r="B45" s="3627"/>
      <c r="C45" s="3628"/>
      <c r="D45" s="155">
        <f ca="1">ROUND(H101*F45,0)</f>
        <v>53236</v>
      </c>
      <c r="E45" s="156" t="s">
        <v>1327</v>
      </c>
      <c r="F45" s="157">
        <v>1</v>
      </c>
      <c r="G45" s="158" t="s">
        <v>1328</v>
      </c>
      <c r="H45" s="129"/>
      <c r="I45" s="129"/>
      <c r="J45" s="3704" t="s">
        <v>3455</v>
      </c>
      <c r="K45" s="3704"/>
      <c r="L45" s="3704"/>
      <c r="M45" s="3704"/>
      <c r="N45" s="3704"/>
      <c r="O45" s="3704"/>
    </row>
    <row r="46" spans="1:15" ht="14.25" customHeight="1">
      <c r="A46" s="3623" t="s">
        <v>1330</v>
      </c>
      <c r="B46" s="3624"/>
      <c r="C46" s="3624"/>
      <c r="D46" s="3624"/>
      <c r="E46" s="3624"/>
      <c r="F46" s="3624"/>
      <c r="G46" s="3625"/>
      <c r="H46" s="1805"/>
      <c r="I46" s="159"/>
      <c r="J46" s="170">
        <v>1</v>
      </c>
      <c r="K46" s="3685" t="s">
        <v>3456</v>
      </c>
      <c r="L46" s="3685"/>
      <c r="M46" s="3705"/>
      <c r="N46" s="3705"/>
      <c r="O46" s="3705"/>
    </row>
    <row r="47" spans="1:15" ht="12" customHeight="1">
      <c r="A47" s="160" t="s">
        <v>1332</v>
      </c>
      <c r="B47" s="161"/>
      <c r="C47" s="162"/>
      <c r="D47" s="1086" t="s">
        <v>1333</v>
      </c>
      <c r="E47" s="302" t="s">
        <v>1334</v>
      </c>
      <c r="F47" s="163" t="s">
        <v>1335</v>
      </c>
      <c r="G47" s="2543" t="s">
        <v>1336</v>
      </c>
      <c r="H47" s="2544"/>
      <c r="I47" s="159"/>
      <c r="J47" s="170">
        <v>2</v>
      </c>
      <c r="K47" s="3685" t="s">
        <v>3457</v>
      </c>
      <c r="L47" s="3685"/>
      <c r="M47" s="3706">
        <f>'数据-取费表'!B2</f>
        <v>44944</v>
      </c>
      <c r="N47" s="3706"/>
      <c r="O47" s="3706"/>
    </row>
    <row r="48" spans="1:15" ht="25.5">
      <c r="A48" s="3654" t="s">
        <v>1338</v>
      </c>
      <c r="B48" s="3637"/>
      <c r="C48" s="3637"/>
      <c r="D48" s="2323">
        <f ca="1">IF(H48="情况1",0,IF(H48="情况2",D52,IF(H48="情况3",D53,IF(H48="情况4",D54))))</f>
        <v>883</v>
      </c>
      <c r="E48" s="2333" t="str">
        <f>IF(H48="情况4","(销售额-原购置价)×税（费）率","销售额×税（费）率")</f>
        <v>(销售额-原购置价)×税（费）率</v>
      </c>
      <c r="F48" s="2545">
        <f>IF(H48="情况1","免征",'数据-取费表'!B41)</f>
        <v>5.6000000000000001E-2</v>
      </c>
      <c r="G48" s="2546" t="s">
        <v>1339</v>
      </c>
      <c r="H48" s="2547" t="s">
        <v>3451</v>
      </c>
      <c r="I48" s="1805"/>
      <c r="J48" s="170">
        <v>3</v>
      </c>
      <c r="K48" s="3685" t="s">
        <v>3458</v>
      </c>
      <c r="L48" s="3685"/>
      <c r="M48" s="3704">
        <f ca="1">H101</f>
        <v>53236</v>
      </c>
      <c r="N48" s="3704"/>
      <c r="O48" s="3704"/>
    </row>
    <row r="49" spans="1:35" ht="25.5" customHeight="1">
      <c r="A49" s="2332" t="s">
        <v>1341</v>
      </c>
      <c r="B49" s="3621" t="s">
        <v>1342</v>
      </c>
      <c r="C49" s="3621"/>
      <c r="D49" s="1589">
        <v>0</v>
      </c>
      <c r="E49" s="324" t="s">
        <v>1343</v>
      </c>
      <c r="F49" s="2423" t="s">
        <v>28</v>
      </c>
      <c r="G49" s="3691"/>
      <c r="H49" s="2309" t="s">
        <v>2133</v>
      </c>
      <c r="I49" s="2310"/>
      <c r="J49" s="170">
        <v>4</v>
      </c>
      <c r="K49" s="3685" t="str">
        <f>IF(项目基本情况!E8="房地产抵押价值","房地产抵押价值","抵押担保权已注销时的房地产抵押价值")</f>
        <v>房地产抵押价值</v>
      </c>
      <c r="L49" s="3685"/>
      <c r="M49" s="3704">
        <f ca="1">IF(项目基本情况!E8="房地产抵押价值",H107,H109)</f>
        <v>53236</v>
      </c>
      <c r="N49" s="3704"/>
      <c r="O49" s="3704"/>
    </row>
    <row r="50" spans="1:35" ht="25.5" customHeight="1">
      <c r="A50" s="2548"/>
      <c r="B50" s="3621" t="s">
        <v>1344</v>
      </c>
      <c r="C50" s="3621"/>
      <c r="D50" s="2549"/>
      <c r="E50" s="332"/>
      <c r="F50" s="2423"/>
      <c r="G50" s="3692"/>
      <c r="H50" s="2311" t="s">
        <v>2134</v>
      </c>
      <c r="I50" s="2310"/>
      <c r="J50" s="3704" t="s">
        <v>3459</v>
      </c>
      <c r="K50" s="3704"/>
      <c r="L50" s="3704"/>
      <c r="M50" s="3704"/>
      <c r="N50" s="3704"/>
      <c r="O50" s="3704"/>
    </row>
    <row r="51" spans="1:35" ht="20.45" customHeight="1">
      <c r="A51" s="2550"/>
      <c r="B51" s="3621" t="s">
        <v>1346</v>
      </c>
      <c r="C51" s="3621"/>
      <c r="D51" s="1086"/>
      <c r="E51" s="327"/>
      <c r="F51" s="2423"/>
      <c r="G51" s="3693"/>
      <c r="H51" s="2311" t="s">
        <v>2135</v>
      </c>
      <c r="I51" s="2310"/>
      <c r="J51" s="174" t="s">
        <v>3460</v>
      </c>
      <c r="K51" s="3685" t="s">
        <v>3461</v>
      </c>
      <c r="L51" s="3685"/>
      <c r="M51" s="174" t="s">
        <v>3462</v>
      </c>
      <c r="N51" s="174" t="s">
        <v>3463</v>
      </c>
      <c r="O51" s="174" t="s">
        <v>3464</v>
      </c>
    </row>
    <row r="52" spans="1:35" ht="24" customHeight="1">
      <c r="A52" s="2334" t="s">
        <v>1352</v>
      </c>
      <c r="B52" s="3621" t="s">
        <v>1353</v>
      </c>
      <c r="C52" s="3621"/>
      <c r="D52" s="1086">
        <f ca="1">ROUND(D45*'数据-取费表'!B41/(1+'数据-取费表'!C42),0)</f>
        <v>2839</v>
      </c>
      <c r="E52" s="2333" t="s">
        <v>1354</v>
      </c>
      <c r="F52" s="2551">
        <f>'数据-取费表'!B41</f>
        <v>5.6000000000000001E-2</v>
      </c>
      <c r="G52" s="2552"/>
      <c r="H52" s="2541"/>
      <c r="I52" s="1806"/>
      <c r="J52" s="170">
        <v>1</v>
      </c>
      <c r="K52" s="3686" t="s">
        <v>3465</v>
      </c>
      <c r="L52" s="3686"/>
      <c r="M52" s="170">
        <f ca="1">D48</f>
        <v>883</v>
      </c>
      <c r="N52" s="170" t="str">
        <f>E48</f>
        <v>(销售额-原购置价)×税（费）率</v>
      </c>
      <c r="O52" s="3499">
        <f>F48</f>
        <v>5.6000000000000001E-2</v>
      </c>
    </row>
    <row r="53" spans="1:35" ht="12" customHeight="1">
      <c r="A53" s="2334" t="s">
        <v>1356</v>
      </c>
      <c r="B53" s="3647" t="s">
        <v>2290</v>
      </c>
      <c r="C53" s="3648"/>
      <c r="D53" s="1086">
        <f ca="1">ROUND(D45*'数据-取费表'!B41/(1+'数据-取费表'!C42),0)</f>
        <v>2839</v>
      </c>
      <c r="E53" s="2333" t="s">
        <v>1354</v>
      </c>
      <c r="F53" s="2551">
        <f>'数据-取费表'!B41</f>
        <v>5.6000000000000001E-2</v>
      </c>
      <c r="G53" s="2552"/>
      <c r="H53" s="2541"/>
      <c r="I53" s="1806"/>
      <c r="J53" s="170">
        <v>2</v>
      </c>
      <c r="K53" s="3686" t="s">
        <v>3466</v>
      </c>
      <c r="L53" s="3686"/>
      <c r="M53" s="170">
        <f t="shared" ref="M53:O54" ca="1" si="0">D55</f>
        <v>27</v>
      </c>
      <c r="N53" s="170" t="str">
        <f t="shared" si="0"/>
        <v>销售额×税（费）率</v>
      </c>
      <c r="O53" s="3499">
        <f t="shared" si="0"/>
        <v>5.0000000000000001E-4</v>
      </c>
    </row>
    <row r="54" spans="1:35" ht="12" customHeight="1">
      <c r="A54" s="2334" t="s">
        <v>1358</v>
      </c>
      <c r="B54" s="3647" t="s">
        <v>2291</v>
      </c>
      <c r="C54" s="3648"/>
      <c r="D54" s="1086">
        <f ca="1">C68</f>
        <v>883</v>
      </c>
      <c r="E54" s="327" t="s">
        <v>1359</v>
      </c>
      <c r="F54" s="2551">
        <f>'数据-取费表'!B41</f>
        <v>5.6000000000000001E-2</v>
      </c>
      <c r="G54" s="2552"/>
      <c r="H54" s="2553"/>
      <c r="I54" s="1806"/>
      <c r="J54" s="170">
        <v>3</v>
      </c>
      <c r="K54" s="3686" t="s">
        <v>3467</v>
      </c>
      <c r="L54" s="3686"/>
      <c r="M54" s="170">
        <f t="shared" ca="1" si="0"/>
        <v>4317</v>
      </c>
      <c r="N54" s="170" t="str">
        <f t="shared" si="0"/>
        <v>增值额×税（费）率</v>
      </c>
      <c r="O54" s="3500" t="str">
        <f t="shared" si="0"/>
        <v>——</v>
      </c>
    </row>
    <row r="55" spans="1:35" ht="24" customHeight="1">
      <c r="A55" s="3636" t="s">
        <v>1361</v>
      </c>
      <c r="B55" s="3637"/>
      <c r="C55" s="3637"/>
      <c r="D55" s="2323">
        <f ca="1">IF(H55="个人住宅",0,ROUND(D45*I55,0))</f>
        <v>27</v>
      </c>
      <c r="E55" s="2333" t="s">
        <v>1362</v>
      </c>
      <c r="F55" s="2551">
        <f>IF(H55="正常",I55,"免征")</f>
        <v>5.0000000000000001E-4</v>
      </c>
      <c r="G55" s="2552"/>
      <c r="H55" s="2547" t="s">
        <v>3452</v>
      </c>
      <c r="I55" s="165">
        <f>'数据-取费表'!B49</f>
        <v>5.0000000000000001E-4</v>
      </c>
      <c r="J55" s="170" t="str">
        <f>IF(H59="非个人房产","",4)</f>
        <v/>
      </c>
      <c r="K55" s="3686" t="str">
        <f>IF(H59="非个人房产","——","个人所得税")</f>
        <v>——</v>
      </c>
      <c r="L55" s="3686"/>
      <c r="M55" s="2029" t="str">
        <f>D59</f>
        <v>——</v>
      </c>
      <c r="N55" s="2029" t="str">
        <f>E59</f>
        <v>——</v>
      </c>
      <c r="O55" s="3501" t="str">
        <f>F59</f>
        <v>——</v>
      </c>
    </row>
    <row r="56" spans="1:35" ht="24.75">
      <c r="A56" s="3636" t="s">
        <v>1363</v>
      </c>
      <c r="B56" s="3637"/>
      <c r="C56" s="3637"/>
      <c r="D56" s="2323">
        <f ca="1">IF(H56="个人住宅",D57,D58)</f>
        <v>4317</v>
      </c>
      <c r="E56" s="2333" t="s">
        <v>1364</v>
      </c>
      <c r="F56" s="2551" t="str">
        <f>IF(H56="正常",F58,"免征")</f>
        <v>——</v>
      </c>
      <c r="G56" s="2554" t="s">
        <v>1365</v>
      </c>
      <c r="H56" s="2555" t="s">
        <v>3452</v>
      </c>
      <c r="I56" s="1807"/>
      <c r="J56" s="170" t="str">
        <f>IF(项目基本情况!K6="上海银行",IF(J55="",4,J55+1),"")</f>
        <v/>
      </c>
      <c r="K56" s="3708" t="str">
        <f>IF(项目基本情况!K6="上海银行","其他处置费用","")</f>
        <v/>
      </c>
      <c r="L56" s="3709"/>
      <c r="M56" s="170" t="str">
        <f>IF(项目基本情况!K6="上海银行",M69,"")</f>
        <v/>
      </c>
      <c r="N56" s="3708" t="str">
        <f>IF(项目基本情况!K6="上海银行","包含处置中涉及的律师、诉讼、拍卖、评估等费用","")</f>
        <v/>
      </c>
      <c r="O56" s="3711"/>
    </row>
    <row r="57" spans="1:35" ht="12.75">
      <c r="A57" s="2334" t="s">
        <v>1341</v>
      </c>
      <c r="B57" s="3647" t="s">
        <v>1366</v>
      </c>
      <c r="C57" s="3648"/>
      <c r="D57" s="1589">
        <v>0</v>
      </c>
      <c r="E57" s="324" t="s">
        <v>1343</v>
      </c>
      <c r="F57" s="302"/>
      <c r="G57" s="2552"/>
      <c r="H57" s="2556"/>
      <c r="I57" s="1807"/>
      <c r="J57" s="3686">
        <f>IF(AND(J55="",J56=""),4,IF(项目基本情况!K6="上海银行",结果表!J56+1,结果表!J55+1))</f>
        <v>4</v>
      </c>
      <c r="K57" s="3686" t="s">
        <v>3468</v>
      </c>
      <c r="L57" s="2578" t="s">
        <v>3469</v>
      </c>
      <c r="M57" s="3502"/>
      <c r="N57" s="3503">
        <f ca="1">SUMIF(M52:M56,"&lt;9e307")</f>
        <v>5227</v>
      </c>
      <c r="O57" s="3504"/>
      <c r="P57" s="2687">
        <f ca="1">N57/M49</f>
        <v>9.8185438425125851E-2</v>
      </c>
    </row>
    <row r="58" spans="1:35" ht="24.75">
      <c r="A58" s="2334" t="s">
        <v>1352</v>
      </c>
      <c r="B58" s="3647" t="s">
        <v>1369</v>
      </c>
      <c r="C58" s="3621"/>
      <c r="D58" s="2323">
        <f ca="1">IF(H58="转让取得",C81,C97)</f>
        <v>4317</v>
      </c>
      <c r="E58" s="2333" t="s">
        <v>1364</v>
      </c>
      <c r="F58" s="302" t="s">
        <v>28</v>
      </c>
      <c r="G58" s="2552"/>
      <c r="H58" s="2555" t="s">
        <v>3453</v>
      </c>
      <c r="I58" s="1807"/>
      <c r="J58" s="3686"/>
      <c r="K58" s="3686"/>
      <c r="L58" s="2578" t="s">
        <v>3470</v>
      </c>
      <c r="M58" s="2578"/>
      <c r="N58" s="3505" t="str">
        <f ca="1">NUMBERSTRING(INT(N57*10000),2)&amp;"元整"</f>
        <v>伍仟贰佰贰拾柒万元整</v>
      </c>
      <c r="O58" s="2096"/>
    </row>
    <row r="59" spans="1:35" ht="24.75" thickBot="1">
      <c r="A59" s="3689" t="s">
        <v>1371</v>
      </c>
      <c r="B59" s="3690"/>
      <c r="C59" s="3690"/>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3" t="s">
        <v>3454</v>
      </c>
      <c r="I59" s="2312" t="s">
        <v>2136</v>
      </c>
      <c r="J59" s="3687">
        <f>J57+1</f>
        <v>5</v>
      </c>
      <c r="K59" s="3686" t="s">
        <v>3471</v>
      </c>
      <c r="L59" s="170" t="s">
        <v>3469</v>
      </c>
      <c r="M59" s="3506"/>
      <c r="N59" s="3507">
        <f ca="1">M49-N57</f>
        <v>48009</v>
      </c>
      <c r="O59" s="3508"/>
    </row>
    <row r="60" spans="1:35" ht="12" customHeight="1">
      <c r="A60" s="1808"/>
      <c r="B60" s="1746"/>
      <c r="C60" s="1746"/>
      <c r="D60" s="1746"/>
      <c r="E60" s="1577"/>
      <c r="F60" s="1807"/>
      <c r="G60" s="1807"/>
      <c r="H60" s="1809"/>
      <c r="I60" s="129"/>
      <c r="J60" s="3688"/>
      <c r="K60" s="3686"/>
      <c r="L60" s="2578" t="s">
        <v>3470</v>
      </c>
      <c r="M60" s="2578"/>
      <c r="N60" s="3505" t="str">
        <f ca="1">NUMBERSTRING(INT(N59*10000),2)&amp;"元整"</f>
        <v>肆亿捌仟零玖万元整</v>
      </c>
      <c r="O60" s="2096"/>
    </row>
    <row r="61" spans="1:35" ht="13.5" thickBot="1">
      <c r="A61" s="3634" t="s">
        <v>1373</v>
      </c>
      <c r="B61" s="3634"/>
      <c r="C61" s="3634"/>
      <c r="D61" s="3634"/>
      <c r="E61" s="3634"/>
      <c r="F61" s="1807"/>
      <c r="G61" s="1807"/>
      <c r="H61" s="1809"/>
      <c r="I61" s="129"/>
      <c r="J61" s="170">
        <f>J59+1</f>
        <v>6</v>
      </c>
      <c r="K61" s="3686" t="s">
        <v>3472</v>
      </c>
      <c r="L61" s="3686"/>
      <c r="M61" s="3509"/>
      <c r="N61" s="3510">
        <f ca="1">ROUND(N59*10000/'数据-汇总表'!E3,0)</f>
        <v>24732</v>
      </c>
      <c r="O61" s="3511"/>
    </row>
    <row r="62" spans="1:35" ht="12.75">
      <c r="A62" s="3652" t="s">
        <v>1375</v>
      </c>
      <c r="B62" s="3653"/>
      <c r="C62" s="2020"/>
      <c r="D62" s="2020" t="s">
        <v>1376</v>
      </c>
      <c r="E62" s="166" t="s">
        <v>1377</v>
      </c>
      <c r="F62" s="1807"/>
      <c r="G62" s="1807"/>
      <c r="H62" s="1809"/>
      <c r="I62" s="129"/>
    </row>
    <row r="63" spans="1:35" ht="12.75">
      <c r="A63" s="173" t="s">
        <v>330</v>
      </c>
      <c r="B63" s="167" t="s">
        <v>1378</v>
      </c>
      <c r="C63" s="2561">
        <f ca="1">ROUND((C64+C65)/(1+'数据-取费表'!C42),0)</f>
        <v>50701</v>
      </c>
      <c r="D63" s="167"/>
      <c r="E63" s="168"/>
      <c r="F63" s="1807"/>
      <c r="G63" s="1807"/>
      <c r="H63" s="1809"/>
      <c r="I63" s="129"/>
      <c r="J63" s="3710" t="s">
        <v>1379</v>
      </c>
      <c r="K63" s="1331" t="s">
        <v>1380</v>
      </c>
      <c r="L63" s="1331">
        <f ca="1">IF(M49&gt;10000,M49*0.5%,IF(AND(M49&gt;1000,M49&lt;=10000),M49*1%,IF(AND(M49&gt;100,M49&lt;=1000),M49*3%,IF(AND(M49&gt;10,M49&lt;=100),M49*5%,M49*8%))))</f>
        <v>266.18</v>
      </c>
      <c r="M63" s="302">
        <f ca="1">ROUND(L63,1)</f>
        <v>266.2</v>
      </c>
      <c r="N63" s="2540"/>
      <c r="Z63" s="1751"/>
      <c r="AI63" s="1752"/>
    </row>
    <row r="64" spans="1:35" ht="14.25" customHeight="1">
      <c r="A64" s="169" t="s">
        <v>325</v>
      </c>
      <c r="B64" s="170" t="s">
        <v>1381</v>
      </c>
      <c r="C64" s="2562">
        <f ca="1">D45</f>
        <v>53236</v>
      </c>
      <c r="D64" s="170" t="s">
        <v>26</v>
      </c>
      <c r="E64" s="172"/>
      <c r="F64" s="1807"/>
      <c r="G64" s="1807"/>
      <c r="H64" s="1809"/>
      <c r="I64" s="129"/>
      <c r="J64" s="3710"/>
      <c r="K64" s="1331" t="s">
        <v>1382</v>
      </c>
      <c r="L64" s="1331">
        <f ca="1">IF(M49&gt;2000,M49*0.5%,IF(AND(M49&gt;1000,M49&lt;=2000),M49*0.6%,IF(AND(M49&gt;500,M49&lt;=1000),M49*0.7%,IF(AND(M49&gt;200,M49&lt;=500),M49*0.8%,IF(AND(M49&gt;100,M49&lt;=200),M49*0.9%,IF(AND(M49&gt;50,M49&lt;=100),M49*1%,IF(AND(M49&gt;20,M49&lt;=50),M49*1.5%,IF(AND(M49&gt;10,M49&lt;=20),M49*2%,IF(AND(M49&gt;1,M49&lt;=10),M49*2.5%)))))))))</f>
        <v>266.18</v>
      </c>
      <c r="M64" s="302">
        <f t="shared" ref="M64:M65" ca="1" si="1">ROUND(L64,1)</f>
        <v>266.2</v>
      </c>
      <c r="N64" s="2541" t="s">
        <v>1383</v>
      </c>
      <c r="Z64" s="1751"/>
      <c r="AI64" s="1752"/>
    </row>
    <row r="65" spans="1:35" ht="14.25" customHeight="1">
      <c r="A65" s="169" t="s">
        <v>326</v>
      </c>
      <c r="B65" s="170" t="s">
        <v>1384</v>
      </c>
      <c r="C65" s="2563"/>
      <c r="D65" s="170"/>
      <c r="E65" s="172"/>
      <c r="F65" s="1807"/>
      <c r="G65" s="1807"/>
      <c r="H65" s="1809"/>
      <c r="I65" s="129"/>
      <c r="J65" s="3710"/>
      <c r="K65" s="1331" t="s">
        <v>1385</v>
      </c>
      <c r="L65" s="1331">
        <f ca="1">IF(M49&gt;1000,M49*0.1%,IF(AND(M49&gt;500,M49&lt;=1000),M49*0.5%,IF(AND(M49&gt;50,M49&lt;=500),M49*1%,IF(AND(M49&gt;1,M49&lt;=50),M49*1.5%))))</f>
        <v>53.236000000000004</v>
      </c>
      <c r="M65" s="302">
        <f t="shared" ca="1" si="1"/>
        <v>53.2</v>
      </c>
      <c r="N65" s="2541" t="s">
        <v>1383</v>
      </c>
      <c r="Z65" s="1751"/>
      <c r="AI65" s="1752"/>
    </row>
    <row r="66" spans="1:35" ht="14.25" customHeight="1">
      <c r="A66" s="173" t="s">
        <v>327</v>
      </c>
      <c r="B66" s="174" t="s">
        <v>1386</v>
      </c>
      <c r="C66" s="2564">
        <f>33148.8371+1792.6356</f>
        <v>34941.472699999998</v>
      </c>
      <c r="D66" s="174" t="s">
        <v>26</v>
      </c>
      <c r="E66" s="1337" t="s">
        <v>671</v>
      </c>
      <c r="F66" s="1807"/>
      <c r="G66" s="1807"/>
      <c r="H66" s="1809"/>
      <c r="I66" s="129"/>
      <c r="J66" s="3710"/>
      <c r="K66" s="1331" t="s">
        <v>1387</v>
      </c>
      <c r="L66" s="1331">
        <f ca="1">M49*0.5%</f>
        <v>266.18</v>
      </c>
      <c r="M66" s="302">
        <f ca="1">IF(L66&gt;0.5,0.5,ROUND(L66,0))</f>
        <v>0.5</v>
      </c>
      <c r="N66" s="2541" t="s">
        <v>1388</v>
      </c>
      <c r="Z66" s="1751"/>
      <c r="AI66" s="1752"/>
    </row>
    <row r="67" spans="1:35" ht="14.25" customHeight="1">
      <c r="A67" s="173" t="s">
        <v>328</v>
      </c>
      <c r="B67" s="174" t="s">
        <v>1389</v>
      </c>
      <c r="C67" s="2565">
        <f ca="1">C63-C66</f>
        <v>15759.527300000002</v>
      </c>
      <c r="D67" s="170" t="s">
        <v>26</v>
      </c>
      <c r="E67" s="172"/>
      <c r="F67" s="1807"/>
      <c r="G67" s="1807"/>
      <c r="H67" s="1809"/>
      <c r="I67" s="129"/>
      <c r="J67" s="3710"/>
      <c r="K67" s="1331" t="s">
        <v>1390</v>
      </c>
      <c r="L67" s="1331">
        <f ca="1">IF(M49&gt;=10000,(8.25+(M49-10000)*0.01%),IF(AND(M49&gt;=8000,M49&lt;10000),(7.85+(M49-8000)*0.02%),IF(AND(M49&gt;=5000,M49&lt;8000),(6.65+(M49-5000)*0.04%),IF(AND(M49&gt;=2000,M49&lt;5000),(4.25+(PM49-2000)*0.08%),IF(AND(M49&gt;=1000,M49&lt;2000),(2.75+(M49-1000)*0.15%),IF(AND(M49&gt;=100,M49&lt;1000),(0.5+(M49-100)*0.25%),IF(AND(M49&gt;0,M49&lt;100),M49*0.5%)))))))</f>
        <v>12.573599999999999</v>
      </c>
      <c r="M67" s="302">
        <f ca="1">ROUND(L67*0.9,1)</f>
        <v>11.3</v>
      </c>
      <c r="N67" s="2540"/>
      <c r="Z67" s="1751"/>
      <c r="AI67" s="1752"/>
    </row>
    <row r="68" spans="1:35" ht="14.25" customHeight="1" thickBot="1">
      <c r="A68" s="176" t="s">
        <v>329</v>
      </c>
      <c r="B68" s="177" t="s">
        <v>1391</v>
      </c>
      <c r="C68" s="2566">
        <f ca="1">IF(C67&lt;=0,0,ROUND(C67*D68,0))</f>
        <v>883</v>
      </c>
      <c r="D68" s="2567">
        <f>'数据-取费表'!B41</f>
        <v>5.6000000000000001E-2</v>
      </c>
      <c r="E68" s="178"/>
      <c r="F68" s="1807"/>
      <c r="G68" s="1807"/>
      <c r="H68" s="1809"/>
      <c r="I68" s="129"/>
      <c r="J68" s="3710"/>
      <c r="K68" s="1331" t="s">
        <v>1392</v>
      </c>
      <c r="L68" s="1331">
        <f ca="1">IF(M49&gt;10000,M49*0.5%,IF(AND(M49&gt;5000,M49&lt;=10000),M49*1%,IF(AND(M49&gt;1000,M49&lt;=5000),M49*2%,IF(AND(M49&gt;200,M49&lt;=1000),M49*3%,M49*5%))))</f>
        <v>266.18</v>
      </c>
      <c r="M68" s="302">
        <f ca="1">ROUND(L68,1)</f>
        <v>266.2</v>
      </c>
      <c r="N68" s="2540"/>
      <c r="Z68" s="1751"/>
      <c r="AI68" s="1752"/>
    </row>
    <row r="69" spans="1:35" s="1771" customFormat="1" ht="16.5" customHeight="1">
      <c r="A69" s="1810"/>
      <c r="B69" s="1811"/>
      <c r="C69" s="1812"/>
      <c r="D69" s="1813"/>
      <c r="E69" s="1814"/>
      <c r="F69" s="1577"/>
      <c r="G69" s="1577"/>
      <c r="H69" s="1576"/>
      <c r="I69" s="1746"/>
      <c r="J69" s="3710"/>
      <c r="K69" s="1331" t="s">
        <v>1393</v>
      </c>
      <c r="L69" s="1331"/>
      <c r="M69" s="302">
        <f ca="1">ROUND(SUM(M63:M68),0)</f>
        <v>864</v>
      </c>
      <c r="N69" s="2542">
        <f ca="1">M69/M49</f>
        <v>1.6229619054774963E-2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73" t="s">
        <v>1394</v>
      </c>
      <c r="B70" s="3674"/>
      <c r="C70" s="3674"/>
      <c r="D70" s="3674"/>
      <c r="E70" s="3674"/>
      <c r="F70" s="3674"/>
      <c r="G70" s="3674"/>
      <c r="H70" s="367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2" t="s">
        <v>1375</v>
      </c>
      <c r="B71" s="3653"/>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f ca="1">ROUND(D45/(1+'数据-取费表'!C42),0)</f>
        <v>50701</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f ca="1">C74+C78</f>
        <v>36311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36007</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f>C66</f>
        <v>34941.472699999998</v>
      </c>
      <c r="D75" s="170" t="s">
        <v>26</v>
      </c>
      <c r="E75" s="184" t="s">
        <v>1399</v>
      </c>
      <c r="F75" s="2569" t="s">
        <v>3449</v>
      </c>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647" t="s">
        <v>1402</v>
      </c>
      <c r="F76" s="3621"/>
      <c r="G76" s="3621"/>
      <c r="H76" s="367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1066</v>
      </c>
      <c r="D77" s="2572">
        <f>'数据-取费表'!B48+'数据-取费表'!B49</f>
        <v>3.0499999999999999E-2</v>
      </c>
      <c r="E77" s="2323" t="s">
        <v>1404</v>
      </c>
      <c r="F77" s="186"/>
      <c r="G77" s="1821" t="s">
        <v>3450</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f ca="1">ROUND(D45*D78/(1+'数据-取费表'!C42),0)</f>
        <v>304</v>
      </c>
      <c r="D78" s="2574">
        <f>'数据-取费表'!B43</f>
        <v>6.000000000000001E-3</v>
      </c>
      <c r="E78" s="3631" t="s">
        <v>1406</v>
      </c>
      <c r="F78" s="3632"/>
      <c r="G78" s="3632"/>
      <c r="H78" s="364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f ca="1">C72-C73</f>
        <v>14390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f ca="1">IF(C79&lt;=0,0,C79/C73)</f>
        <v>0.39629864228470713</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f ca="1">ROUND(IF(C79&lt;=0,0,IF(C80&gt;=200%,C79*60%-C73*35%,IF(C80&gt;=100%,C79*50%-C73*15%,IF(C80&gt;=50%,C79*40%-C73*5%,IF(C80&lt;50%,C79*30%,0))))),0)</f>
        <v>4317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73" t="s">
        <v>1410</v>
      </c>
      <c r="B83" s="3674"/>
      <c r="C83" s="3674"/>
      <c r="D83" s="3674"/>
      <c r="E83" s="3674"/>
      <c r="F83" s="3674"/>
      <c r="G83" s="3674"/>
      <c r="H83" s="367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2" t="s">
        <v>1375</v>
      </c>
      <c r="B84" s="365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f ca="1">ROUND(D45/(1+'数据-取费表'!C42),0)</f>
        <v>50701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f ca="1">IF(H88="仅含出让金",C87+C90+C91+C92+C93+C94,C87+C91+C92+C93+C94)</f>
        <v>304</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2326"/>
      <c r="G90" s="3712" t="s">
        <v>2128</v>
      </c>
      <c r="H90" s="371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631" t="s">
        <v>1419</v>
      </c>
      <c r="F91" s="3632"/>
      <c r="G91" s="363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631" t="s">
        <v>1422</v>
      </c>
      <c r="F92" s="3632"/>
      <c r="G92" s="3632"/>
      <c r="H92" s="364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f ca="1">ROUND(D45*D93/(1+'数据-取费表'!C42),0)</f>
        <v>304</v>
      </c>
      <c r="D93" s="2574">
        <f>'数据-取费表'!B43</f>
        <v>6.000000000000001E-3</v>
      </c>
      <c r="E93" s="3631" t="s">
        <v>1406</v>
      </c>
      <c r="F93" s="3632"/>
      <c r="G93" s="3632"/>
      <c r="H93" s="364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642" t="s">
        <v>1426</v>
      </c>
      <c r="F94" s="3643"/>
      <c r="G94" s="3643"/>
      <c r="H94" s="364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f ca="1">ROUND(C85-C86,0)</f>
        <v>50397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f ca="1">IF(C95&lt;=0,0,C95/C86)</f>
        <v>165.77960526315789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f ca="1">ROUND(IF(C95&lt;=0,0,IF(C96&gt;=200%,C95*60%-C86*35%,IF(C96&gt;=100%,C95*50%-C86*15%,IF(C96&gt;=50%,C95*40%-C86*5%,IF(C96&lt;50%,C95*30%,0))))),0)</f>
        <v>30132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15" t="s">
        <v>1428</v>
      </c>
      <c r="B100" s="3616"/>
      <c r="C100" s="3616"/>
      <c r="D100" s="3633"/>
      <c r="E100" s="3616" t="s">
        <v>1429</v>
      </c>
      <c r="F100" s="3616"/>
      <c r="G100" s="3616"/>
      <c r="H100" s="3633"/>
      <c r="I100" s="129"/>
    </row>
    <row r="101" spans="1:35" ht="18.75" customHeight="1">
      <c r="A101" s="3694" t="s">
        <v>1430</v>
      </c>
      <c r="B101" s="3695"/>
      <c r="C101" s="2582" t="str">
        <f>C4</f>
        <v>典型户型修正</v>
      </c>
      <c r="D101" s="2583" t="str">
        <f>D4</f>
        <v>成本法</v>
      </c>
      <c r="E101" s="3707" t="s">
        <v>1431</v>
      </c>
      <c r="F101" s="3665"/>
      <c r="G101" s="1826" t="s">
        <v>1432</v>
      </c>
      <c r="H101" s="2592">
        <f ca="1">H118</f>
        <v>53236</v>
      </c>
      <c r="I101" s="129"/>
    </row>
    <row r="102" spans="1:35" ht="18.75" customHeight="1">
      <c r="A102" s="3667" t="s">
        <v>1433</v>
      </c>
      <c r="B102" s="2581" t="s">
        <v>1432</v>
      </c>
      <c r="C102" s="2582">
        <f ca="1">IF(D32="楼面单价",ROUND(C19,0),C19)</f>
        <v>50835</v>
      </c>
      <c r="D102" s="2583">
        <f ca="1">IF(D32="楼面单价",ROUND(D19,0),D19)</f>
        <v>55637</v>
      </c>
      <c r="E102" s="3707"/>
      <c r="F102" s="3665"/>
      <c r="G102" s="1826" t="s">
        <v>1434</v>
      </c>
      <c r="H102" s="2552">
        <f ca="1">I118</f>
        <v>27424</v>
      </c>
      <c r="I102" s="129"/>
    </row>
    <row r="103" spans="1:35" ht="42.75" customHeight="1">
      <c r="A103" s="3667"/>
      <c r="B103" s="2581" t="s">
        <v>1434</v>
      </c>
      <c r="C103" s="2584">
        <f ca="1">C20</f>
        <v>26187</v>
      </c>
      <c r="D103" s="2585">
        <f ca="1">D20</f>
        <v>28661</v>
      </c>
      <c r="E103" s="3702" t="s">
        <v>1435</v>
      </c>
      <c r="F103" s="3703"/>
      <c r="G103" s="1827" t="s">
        <v>1436</v>
      </c>
      <c r="H103" s="2592">
        <f>IF(D36="正常操作",H104+H105+H106,H105+H106)</f>
        <v>0</v>
      </c>
      <c r="I103" s="129"/>
    </row>
    <row r="104" spans="1:35" ht="18.75" customHeight="1">
      <c r="A104" s="3667" t="s">
        <v>1437</v>
      </c>
      <c r="B104" s="2586" t="s">
        <v>1432</v>
      </c>
      <c r="C104" s="2587">
        <f ca="1">H118</f>
        <v>53236</v>
      </c>
      <c r="D104" s="2588"/>
      <c r="E104" s="1673" t="s">
        <v>1438</v>
      </c>
      <c r="F104" s="1665"/>
      <c r="G104" s="1827" t="s">
        <v>1436</v>
      </c>
      <c r="H104" s="2593">
        <f>IF(D36="同一抵押权人同一抵押物续贷",C36&amp;"（续贷，未扣减，详见特别提示）",C36)</f>
        <v>0</v>
      </c>
      <c r="I104" s="129"/>
    </row>
    <row r="105" spans="1:35" ht="18.75" customHeight="1" thickBot="1">
      <c r="A105" s="3668"/>
      <c r="B105" s="2589" t="s">
        <v>1434</v>
      </c>
      <c r="C105" s="2590">
        <f ca="1">I118</f>
        <v>27424</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64" t="str">
        <f>IF(项目基本情况!E8="已注销","——","3.房地产抵押价值")</f>
        <v>3.房地产抵押价值</v>
      </c>
      <c r="F107" s="3665"/>
      <c r="G107" s="1826" t="s">
        <v>1432</v>
      </c>
      <c r="H107" s="2592">
        <f ca="1">IF(E107="——","——",H101-H103)</f>
        <v>53236</v>
      </c>
      <c r="I107" s="129"/>
    </row>
    <row r="108" spans="1:35" ht="18.75" customHeight="1">
      <c r="A108" s="129"/>
      <c r="B108" s="129"/>
      <c r="C108" s="129"/>
      <c r="D108" s="129"/>
      <c r="E108" s="3664"/>
      <c r="F108" s="3665"/>
      <c r="G108" s="1826" t="s">
        <v>1434</v>
      </c>
      <c r="H108" s="2552">
        <f ca="1">IF(H107=H101,H102,ROUND(H107*10000/'数据-汇总表'!E3,0))</f>
        <v>27424</v>
      </c>
      <c r="I108" s="129"/>
    </row>
    <row r="109" spans="1:35" ht="18.75" customHeight="1">
      <c r="A109" s="129"/>
      <c r="B109" s="129"/>
      <c r="C109" s="129"/>
      <c r="D109" s="129"/>
      <c r="E109" s="3664" t="str">
        <f>IF(项目基本情况!E8="已注销及未注销","4.抵押担保权已注销时的房地产抵押价值",IF(项目基本情况!E8="已注销","3.抵押担保权已注销时的房地产抵押价值","——"))</f>
        <v>——</v>
      </c>
      <c r="F109" s="3665"/>
      <c r="G109" s="1826" t="s">
        <v>1432</v>
      </c>
      <c r="H109" s="2595" t="str">
        <f>IF(E109="——","——",H101-H105-H106)</f>
        <v>——</v>
      </c>
      <c r="I109" s="129"/>
    </row>
    <row r="110" spans="1:35" ht="18.75" customHeight="1">
      <c r="A110" s="129"/>
      <c r="B110" s="129"/>
      <c r="C110" s="129"/>
      <c r="D110" s="129"/>
      <c r="E110" s="3664"/>
      <c r="F110" s="3665"/>
      <c r="G110" s="1826" t="s">
        <v>1434</v>
      </c>
      <c r="H110" s="2552" t="str">
        <f>IF(H109="——","——",ROUND(H109*10000/'数据-汇总表'!E3,0))</f>
        <v>——</v>
      </c>
      <c r="I110" s="129"/>
    </row>
    <row r="111" spans="1:35" ht="18.75" customHeight="1">
      <c r="A111" s="129"/>
      <c r="B111" s="129"/>
      <c r="C111" s="129"/>
      <c r="D111" s="129"/>
      <c r="E111" s="3696" t="str">
        <f>IF(项目基本情况!E9="抵押净值",IF(OR(项目基本情况!E8="已注销",项目基本情况!E8="房地产抵押价值"),"4.抵押净值","5.抵押净值"),"——")</f>
        <v>4.抵押净值</v>
      </c>
      <c r="F111" s="3666"/>
      <c r="G111" s="1826" t="s">
        <v>1432</v>
      </c>
      <c r="H111" s="2592">
        <f ca="1">IF(E111="——","——",N59)</f>
        <v>48009</v>
      </c>
      <c r="I111" s="129"/>
    </row>
    <row r="112" spans="1:35" ht="18.75" customHeight="1" thickBot="1">
      <c r="A112" s="129"/>
      <c r="B112" s="129"/>
      <c r="C112" s="129"/>
      <c r="D112" s="129"/>
      <c r="E112" s="3697"/>
      <c r="F112" s="3698"/>
      <c r="G112" s="1829" t="s">
        <v>1434</v>
      </c>
      <c r="H112" s="2596">
        <f ca="1">IF(E111="——","——",N61)</f>
        <v>24732</v>
      </c>
      <c r="I112" s="129"/>
    </row>
    <row r="113" spans="1:27" ht="18.75" customHeight="1">
      <c r="A113" s="129"/>
      <c r="B113" s="129"/>
      <c r="C113" s="129"/>
      <c r="D113" s="129"/>
      <c r="E113" s="3669" t="s">
        <v>1440</v>
      </c>
      <c r="F113" s="3669"/>
      <c r="G113" s="3669"/>
      <c r="H113" s="3669"/>
      <c r="I113" s="129"/>
    </row>
    <row r="114" spans="1:27" ht="3.75" customHeight="1">
      <c r="A114" s="1746"/>
      <c r="B114" s="1746"/>
      <c r="C114" s="1746"/>
      <c r="D114" s="1746"/>
      <c r="E114" s="1808"/>
      <c r="F114" s="1808"/>
      <c r="G114" s="1808"/>
      <c r="H114" s="1808"/>
      <c r="I114" s="1746"/>
    </row>
    <row r="115" spans="1:27" ht="18.75" customHeight="1">
      <c r="A115" s="3679" t="s">
        <v>1442</v>
      </c>
      <c r="B115" s="3680"/>
      <c r="C115" s="3680"/>
      <c r="D115" s="3680"/>
      <c r="E115" s="3680"/>
      <c r="F115" s="3680"/>
      <c r="G115" s="3680"/>
      <c r="H115" s="3680"/>
      <c r="I115" s="3681"/>
    </row>
    <row r="116" spans="1:27" ht="27" customHeight="1">
      <c r="A116" s="3635" t="s">
        <v>1443</v>
      </c>
      <c r="B116" s="3670" t="s">
        <v>1444</v>
      </c>
      <c r="C116" s="3670" t="s">
        <v>1445</v>
      </c>
      <c r="D116" s="3683" t="s">
        <v>1446</v>
      </c>
      <c r="E116" s="3684"/>
      <c r="F116" s="3678" t="s">
        <v>1447</v>
      </c>
      <c r="G116" s="3678"/>
      <c r="H116" s="3635" t="s">
        <v>1448</v>
      </c>
      <c r="I116" s="3635"/>
    </row>
    <row r="117" spans="1:27" ht="18.75" customHeight="1">
      <c r="A117" s="3635"/>
      <c r="B117" s="3671"/>
      <c r="C117" s="3671"/>
      <c r="D117" s="2328" t="s">
        <v>1449</v>
      </c>
      <c r="E117" s="2328" t="s">
        <v>1450</v>
      </c>
      <c r="F117" s="2328" t="s">
        <v>1449</v>
      </c>
      <c r="G117" s="2328" t="s">
        <v>1451</v>
      </c>
      <c r="H117" s="2328" t="s">
        <v>1449</v>
      </c>
      <c r="I117" s="2328" t="s">
        <v>1451</v>
      </c>
    </row>
    <row r="118" spans="1:27" ht="24.75" customHeight="1">
      <c r="A118" s="2597" t="str">
        <f>项目基本情况!S2</f>
        <v>北京市房地产</v>
      </c>
      <c r="B118" s="2328">
        <f>M18</f>
        <v>19411.939999999999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53236</v>
      </c>
      <c r="I118" s="2328">
        <f ca="1">ROUND(IF(D32="楼面单价",C32,H118*10000/B118),0)</f>
        <v>27424</v>
      </c>
    </row>
    <row r="119" spans="1:27" ht="18.75" customHeight="1">
      <c r="A119" s="3635" t="s">
        <v>1452</v>
      </c>
      <c r="B119" s="3635"/>
      <c r="C119" s="3635"/>
      <c r="D119" s="3675" t="e">
        <f ca="1">NUMBERSTRING(INT(D118*10000),2)&amp;"元整"</f>
        <v>#REF!</v>
      </c>
      <c r="E119" s="3677"/>
      <c r="F119" s="3675" t="e">
        <f ca="1">NUMBERSTRING(INT(F118*10000),2)&amp;"元整"</f>
        <v>#REF!</v>
      </c>
      <c r="G119" s="3677"/>
      <c r="H119" s="3675" t="str">
        <f ca="1">NUMBERSTRING(INT(H118*10000),2)&amp;"元整"</f>
        <v>伍亿叁仟贰佰叁拾陆万元整</v>
      </c>
      <c r="I119" s="3677"/>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75" t="s">
        <v>1452</v>
      </c>
      <c r="B121" s="3676"/>
      <c r="C121" s="3677"/>
      <c r="D121" s="3675" t="str">
        <f>IF(D120=0,"零元整",NUMBERSTRING(INT(D120*10000),2)&amp;"元整")</f>
        <v>零元整</v>
      </c>
      <c r="E121" s="3676"/>
      <c r="F121" s="3676"/>
      <c r="G121" s="3676"/>
      <c r="H121" s="3676"/>
      <c r="I121" s="3677"/>
      <c r="AA121" s="724"/>
    </row>
    <row r="122" spans="1:27" ht="18.75" customHeight="1">
      <c r="A122" s="3666" t="str">
        <f>IF(项目基本情况!B9="房地产市场价值","",MID(E107,3,LEN(E107)-2))</f>
        <v>房地产抵押价值</v>
      </c>
      <c r="B122" s="3666"/>
      <c r="C122" s="3666"/>
      <c r="D122" s="3699">
        <f ca="1">H107</f>
        <v>53236</v>
      </c>
      <c r="E122" s="3700"/>
      <c r="F122" s="3700"/>
      <c r="G122" s="3700"/>
      <c r="H122" s="3700"/>
      <c r="I122" s="3701"/>
      <c r="AA122" s="724"/>
    </row>
    <row r="123" spans="1:27" ht="18.75" customHeight="1">
      <c r="A123" s="3635" t="s">
        <v>1452</v>
      </c>
      <c r="B123" s="3635"/>
      <c r="C123" s="3635"/>
      <c r="D123" s="3675" t="str">
        <f ca="1">NUMBERSTRING(INT(D122*10000),2)&amp;"元整"</f>
        <v>伍亿叁仟贰佰叁拾陆万元整</v>
      </c>
      <c r="E123" s="3676"/>
      <c r="F123" s="3676"/>
      <c r="G123" s="3676"/>
      <c r="H123" s="3676"/>
      <c r="I123" s="3677"/>
      <c r="AA123" s="724"/>
    </row>
    <row r="124" spans="1:27" ht="18.75" customHeight="1">
      <c r="A124" s="3666" t="str">
        <f>IF(项目基本情况!B9="房地产市场价值","",MID(E109,3,LEN(E109)-2))</f>
        <v/>
      </c>
      <c r="B124" s="3666"/>
      <c r="C124" s="3666"/>
      <c r="D124" s="3699" t="str">
        <f>H109</f>
        <v>——</v>
      </c>
      <c r="E124" s="3700"/>
      <c r="F124" s="3700"/>
      <c r="G124" s="3700"/>
      <c r="H124" s="3700"/>
      <c r="I124" s="3701"/>
      <c r="AA124" s="724"/>
    </row>
    <row r="125" spans="1:27" ht="18.75" customHeight="1">
      <c r="A125" s="3635" t="s">
        <v>1452</v>
      </c>
      <c r="B125" s="3635"/>
      <c r="C125" s="3635"/>
      <c r="D125" s="3675" t="e">
        <f>NUMBERSTRING(INT(D124*10000),2)&amp;"元整"</f>
        <v>#VALUE!</v>
      </c>
      <c r="E125" s="3676"/>
      <c r="F125" s="3676"/>
      <c r="G125" s="3676"/>
      <c r="H125" s="3676"/>
      <c r="I125" s="3677"/>
      <c r="AA125" s="724"/>
    </row>
    <row r="126" spans="1:27" ht="18.75" customHeight="1">
      <c r="A126" s="3666" t="str">
        <f>IF(项目基本情况!B9="房地产市场价值","",MID(E111,3,LEN(E111)-2))</f>
        <v>抵押净值</v>
      </c>
      <c r="B126" s="3666"/>
      <c r="C126" s="3666"/>
      <c r="D126" s="3699">
        <f ca="1">H111</f>
        <v>48009</v>
      </c>
      <c r="E126" s="3700"/>
      <c r="F126" s="3700"/>
      <c r="G126" s="3700"/>
      <c r="H126" s="3700"/>
      <c r="I126" s="3701"/>
      <c r="AA126" s="724"/>
    </row>
    <row r="127" spans="1:27" ht="18.75" customHeight="1">
      <c r="A127" s="3635" t="s">
        <v>1452</v>
      </c>
      <c r="B127" s="3635"/>
      <c r="C127" s="3635"/>
      <c r="D127" s="3675" t="str">
        <f ca="1">NUMBERSTRING(INT(D126*10000),2)&amp;"元整"</f>
        <v>肆亿捌仟零玖万元整</v>
      </c>
      <c r="E127" s="3676"/>
      <c r="F127" s="3676"/>
      <c r="G127" s="3676"/>
      <c r="H127" s="3676"/>
      <c r="I127" s="3677"/>
      <c r="AA127" s="724"/>
    </row>
    <row r="128" spans="1:27" ht="21.75" customHeight="1">
      <c r="A128" s="3682" t="s">
        <v>1453</v>
      </c>
      <c r="B128" s="3682"/>
      <c r="C128" s="3682"/>
      <c r="D128" s="3682"/>
      <c r="E128" s="3682"/>
      <c r="F128" s="3682"/>
      <c r="G128" s="3682"/>
      <c r="H128" s="3682"/>
      <c r="I128" s="368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79" zoomScale="60" zoomScaleNormal="70" workbookViewId="0">
      <selection activeCell="C120" sqref="C1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3422</v>
      </c>
      <c r="F1" s="1878" t="s">
        <v>3423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67324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34682</v>
      </c>
      <c r="C3" s="354" t="s">
        <v>1768</v>
      </c>
      <c r="D3" s="353">
        <f>IF(D1="",'数据-汇总表'!E3,SUMIF('数据-汇总表'!$C19:$C33,D1,'数据-汇总表'!$E19:$E33))</f>
        <v>19411.939999999999</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33" t="s">
        <v>1770</v>
      </c>
      <c r="D4" s="3734"/>
      <c r="E4" s="3735" t="s">
        <v>1771</v>
      </c>
      <c r="F4" s="3736"/>
      <c r="G4" s="3733" t="s">
        <v>1772</v>
      </c>
      <c r="H4" s="3734"/>
      <c r="I4" s="3733" t="s">
        <v>1773</v>
      </c>
      <c r="J4" s="3734"/>
      <c r="K4" s="559" t="s">
        <v>1774</v>
      </c>
      <c r="L4" s="2712"/>
      <c r="M4" s="2713"/>
      <c r="N4" s="2713"/>
      <c r="O4" s="2713"/>
      <c r="P4" s="3737" t="s">
        <v>1775</v>
      </c>
      <c r="Q4" s="3738"/>
      <c r="R4" s="3743" t="s">
        <v>1771</v>
      </c>
      <c r="S4" s="3744"/>
      <c r="T4" s="3743" t="s">
        <v>1772</v>
      </c>
      <c r="U4" s="3744"/>
      <c r="V4" s="3728" t="s">
        <v>1773</v>
      </c>
      <c r="W4" s="3728"/>
      <c r="X4" s="1354"/>
      <c r="Y4" s="3743" t="s">
        <v>1775</v>
      </c>
      <c r="Z4" s="3744"/>
      <c r="AA4" s="3730" t="s">
        <v>1771</v>
      </c>
      <c r="AB4" s="3728" t="s">
        <v>1772</v>
      </c>
      <c r="AC4" s="3730" t="s">
        <v>1773</v>
      </c>
    </row>
    <row r="5" spans="1:29" ht="15">
      <c r="A5" s="358"/>
      <c r="B5" s="359"/>
      <c r="C5" s="3756" t="s">
        <v>1673</v>
      </c>
      <c r="D5" s="3752"/>
      <c r="E5" s="3759" t="s">
        <v>3424</v>
      </c>
      <c r="F5" s="3760"/>
      <c r="G5" s="3751" t="s">
        <v>3424</v>
      </c>
      <c r="H5" s="3752"/>
      <c r="I5" s="3751" t="s">
        <v>3425</v>
      </c>
      <c r="J5" s="3752"/>
      <c r="K5" s="559"/>
      <c r="L5" s="2712"/>
      <c r="M5" s="2713"/>
      <c r="N5" s="2713"/>
      <c r="O5" s="2713"/>
      <c r="P5" s="3739"/>
      <c r="Q5" s="3740"/>
      <c r="R5" s="3745"/>
      <c r="S5" s="3746"/>
      <c r="T5" s="3745"/>
      <c r="U5" s="3746"/>
      <c r="V5" s="3728"/>
      <c r="W5" s="3728"/>
      <c r="X5" s="1354"/>
      <c r="Y5" s="3745"/>
      <c r="Z5" s="3746"/>
      <c r="AA5" s="3731"/>
      <c r="AB5" s="3728"/>
      <c r="AC5" s="3731"/>
    </row>
    <row r="6" spans="1:29" ht="15.75" thickBot="1">
      <c r="A6" s="360"/>
      <c r="B6" s="361"/>
      <c r="C6" s="3749" t="s">
        <v>1677</v>
      </c>
      <c r="D6" s="3750"/>
      <c r="E6" s="3757" t="s">
        <v>1677</v>
      </c>
      <c r="F6" s="3758"/>
      <c r="G6" s="3749" t="s">
        <v>1677</v>
      </c>
      <c r="H6" s="3750"/>
      <c r="I6" s="3749" t="s">
        <v>1677</v>
      </c>
      <c r="J6" s="3750"/>
      <c r="K6" s="559" t="s">
        <v>1678</v>
      </c>
      <c r="L6" s="2712"/>
      <c r="M6" s="2713"/>
      <c r="N6" s="2713"/>
      <c r="O6" s="2713"/>
      <c r="P6" s="3741"/>
      <c r="Q6" s="3742"/>
      <c r="R6" s="3745"/>
      <c r="S6" s="3746"/>
      <c r="T6" s="3747"/>
      <c r="U6" s="3748"/>
      <c r="V6" s="3728"/>
      <c r="W6" s="3728"/>
      <c r="X6" s="1354"/>
      <c r="Y6" s="3747"/>
      <c r="Z6" s="3748"/>
      <c r="AA6" s="3732"/>
      <c r="AB6" s="3728"/>
      <c r="AC6" s="3732"/>
    </row>
    <row r="7" spans="1:29" s="108" customFormat="1" ht="15.75" thickBot="1">
      <c r="A7" s="362" t="s">
        <v>1679</v>
      </c>
      <c r="B7" s="363"/>
      <c r="C7" s="364">
        <f>'数据-取费表'!B2</f>
        <v>44944</v>
      </c>
      <c r="D7" s="365">
        <v>100</v>
      </c>
      <c r="E7" s="366">
        <f>C7</f>
        <v>44944</v>
      </c>
      <c r="F7" s="367">
        <f>SUMIF(58:58,YEAR(E7)&amp;"-"&amp;MONTH(E7),59:59)</f>
        <v>100</v>
      </c>
      <c r="G7" s="366">
        <f>C7</f>
        <v>44944</v>
      </c>
      <c r="H7" s="365">
        <f>SUMIF(58:58,YEAR(G7)&amp;"-"&amp;MONTH(G7),59:59)</f>
        <v>100</v>
      </c>
      <c r="I7" s="366">
        <f>C7</f>
        <v>44944</v>
      </c>
      <c r="J7" s="365">
        <f>SUMIF(58:58,YEAR(I7)&amp;"-"&amp;MONTH(I7),59:59)</f>
        <v>100</v>
      </c>
      <c r="K7" s="560"/>
      <c r="L7" s="2714"/>
      <c r="M7" s="2715"/>
      <c r="N7" s="2715"/>
      <c r="O7" s="2715"/>
      <c r="P7" s="3753" t="s">
        <v>1680</v>
      </c>
      <c r="Q7" s="3755"/>
      <c r="R7" s="700" t="s">
        <v>14</v>
      </c>
      <c r="S7" s="701">
        <f t="shared" ref="S7:S15" si="0">F7</f>
        <v>100</v>
      </c>
      <c r="T7" s="700" t="s">
        <v>14</v>
      </c>
      <c r="U7" s="701">
        <f t="shared" ref="U7:U15" si="1">H7</f>
        <v>100</v>
      </c>
      <c r="V7" s="700" t="s">
        <v>14</v>
      </c>
      <c r="W7" s="701">
        <f t="shared" ref="W7:W15" si="2">J7</f>
        <v>100</v>
      </c>
      <c r="X7" s="702"/>
      <c r="Y7" s="3753" t="s">
        <v>1680</v>
      </c>
      <c r="Z7" s="3754"/>
      <c r="AA7" s="703">
        <f>D7/F7</f>
        <v>1</v>
      </c>
      <c r="AB7" s="703">
        <f>D7/H7</f>
        <v>1</v>
      </c>
      <c r="AC7" s="703">
        <f>D7/J7</f>
        <v>1</v>
      </c>
    </row>
    <row r="8" spans="1:29" s="108" customFormat="1" ht="15.75" thickBot="1">
      <c r="A8" s="362" t="s">
        <v>1681</v>
      </c>
      <c r="B8" s="363"/>
      <c r="C8" s="3471" t="s">
        <v>3428</v>
      </c>
      <c r="D8" s="365">
        <v>100</v>
      </c>
      <c r="E8" s="3471" t="s">
        <v>3477</v>
      </c>
      <c r="F8" s="367">
        <f>SUMIF(61:61,E8,62:62)-SUMIF(61:61,C8,62:62)+100</f>
        <v>102</v>
      </c>
      <c r="G8" s="3471" t="s">
        <v>3477</v>
      </c>
      <c r="H8" s="365">
        <f>SUMIF(61:61,G8,62:62)-SUMIF(61:61,C8,62:62)+100</f>
        <v>102</v>
      </c>
      <c r="I8" s="3471" t="s">
        <v>3477</v>
      </c>
      <c r="J8" s="365">
        <f>SUMIF(61:61,I8,62:62)-SUMIF(61:61,C8,62:62)+100</f>
        <v>102</v>
      </c>
      <c r="K8" s="560"/>
      <c r="L8" s="2714"/>
      <c r="M8" s="2715"/>
      <c r="N8" s="2715"/>
      <c r="O8" s="2715"/>
      <c r="P8" s="3753" t="s">
        <v>1683</v>
      </c>
      <c r="Q8" s="3754"/>
      <c r="R8" s="700" t="s">
        <v>14</v>
      </c>
      <c r="S8" s="701">
        <f t="shared" si="0"/>
        <v>102</v>
      </c>
      <c r="T8" s="700" t="s">
        <v>14</v>
      </c>
      <c r="U8" s="701">
        <f t="shared" si="1"/>
        <v>102</v>
      </c>
      <c r="V8" s="700" t="s">
        <v>14</v>
      </c>
      <c r="W8" s="701">
        <f t="shared" si="2"/>
        <v>102</v>
      </c>
      <c r="X8" s="702"/>
      <c r="Y8" s="3753" t="s">
        <v>1683</v>
      </c>
      <c r="Z8" s="3754"/>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72" t="s">
        <v>3426</v>
      </c>
      <c r="D9" s="126">
        <v>100</v>
      </c>
      <c r="E9" s="3473" t="s">
        <v>3426</v>
      </c>
      <c r="F9" s="372">
        <f>SUMIF(63:63,E9,64:64)-SUMIF(63:63,C9,64:64)+100</f>
        <v>100</v>
      </c>
      <c r="G9" s="3473" t="s">
        <v>3427</v>
      </c>
      <c r="H9" s="126">
        <f>SUMIF(63:63,G9,64:64)-SUMIF(63:63,C9,64:64)+100</f>
        <v>100</v>
      </c>
      <c r="I9" s="3473" t="s">
        <v>3426</v>
      </c>
      <c r="J9" s="126">
        <f>SUMIF(63:63,I9,64:64)-SUMIF(63:63,C9,64:64)+100</f>
        <v>100</v>
      </c>
      <c r="K9" s="560"/>
      <c r="L9" s="2714"/>
      <c r="M9" s="2715"/>
      <c r="N9" s="2715"/>
      <c r="O9" s="2715"/>
      <c r="P9" s="3729"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3" t="s">
        <v>3429</v>
      </c>
      <c r="D10" s="127">
        <v>100</v>
      </c>
      <c r="E10" s="3434" t="s">
        <v>3430</v>
      </c>
      <c r="F10" s="376">
        <f>SUMIF(65:65,E10,66:66)-SUMIF(65:65,C10,66:66)+100</f>
        <v>90</v>
      </c>
      <c r="G10" s="3433" t="s">
        <v>3431</v>
      </c>
      <c r="H10" s="127">
        <f>SUMIF(65:65,G10,66:66)-SUMIF(65:65,C10,66:66)+100</f>
        <v>90</v>
      </c>
      <c r="I10" s="3433" t="s">
        <v>3432</v>
      </c>
      <c r="J10" s="127">
        <f>SUMIF(65:65,I10,66:66)-SUMIF(65:65,C10,66:66)+100</f>
        <v>100</v>
      </c>
      <c r="K10" s="560"/>
      <c r="L10" s="2716"/>
      <c r="M10" s="2717"/>
      <c r="N10" s="2717"/>
      <c r="O10" s="2717"/>
      <c r="P10" s="3729"/>
      <c r="Q10" s="1342" t="str">
        <f t="shared" si="6"/>
        <v>土地使用年限（年）</v>
      </c>
      <c r="R10" s="700" t="s">
        <v>14</v>
      </c>
      <c r="S10" s="701">
        <f t="shared" si="0"/>
        <v>90</v>
      </c>
      <c r="T10" s="700" t="s">
        <v>14</v>
      </c>
      <c r="U10" s="701">
        <f t="shared" si="1"/>
        <v>90</v>
      </c>
      <c r="V10" s="700" t="s">
        <v>14</v>
      </c>
      <c r="W10" s="701">
        <f t="shared" si="2"/>
        <v>100</v>
      </c>
      <c r="X10" s="702"/>
      <c r="Y10" s="3622"/>
      <c r="Z10" s="52" t="str">
        <f t="shared" si="7"/>
        <v>土地使用年限（年）</v>
      </c>
      <c r="AA10" s="703">
        <f t="shared" si="3"/>
        <v>1.1111111111111112</v>
      </c>
      <c r="AB10" s="703">
        <f t="shared" si="4"/>
        <v>1.1111111111111112</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9"/>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9"/>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9"/>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9"/>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19"/>
      <c r="M15" s="2713"/>
      <c r="N15" s="2713"/>
      <c r="O15" s="2713"/>
      <c r="P15" s="3719" t="s">
        <v>1691</v>
      </c>
      <c r="Q15" s="1351" t="str">
        <f t="shared" si="6"/>
        <v>商业繁华度</v>
      </c>
      <c r="R15" s="704" t="s">
        <v>14</v>
      </c>
      <c r="S15" s="705">
        <f t="shared" si="0"/>
        <v>105</v>
      </c>
      <c r="T15" s="704" t="s">
        <v>14</v>
      </c>
      <c r="U15" s="705">
        <f t="shared" si="1"/>
        <v>105</v>
      </c>
      <c r="V15" s="704" t="s">
        <v>14</v>
      </c>
      <c r="W15" s="705">
        <f t="shared" si="2"/>
        <v>105</v>
      </c>
      <c r="X15" s="1354"/>
      <c r="Y15" s="3721" t="s">
        <v>1691</v>
      </c>
      <c r="Z15" s="1355" t="str">
        <f t="shared" si="7"/>
        <v>商业繁华度</v>
      </c>
      <c r="AA15" s="1352">
        <f t="shared" si="3"/>
        <v>0.95238095238095233</v>
      </c>
      <c r="AB15" s="1352">
        <f t="shared" si="4"/>
        <v>0.95238095238095233</v>
      </c>
      <c r="AC15" s="1352">
        <f t="shared" si="5"/>
        <v>0.95238095238095233</v>
      </c>
    </row>
    <row r="16" spans="1:29" ht="15">
      <c r="A16" s="379"/>
      <c r="B16" s="397"/>
      <c r="C16" s="3475" t="s">
        <v>3473</v>
      </c>
      <c r="D16" s="399"/>
      <c r="E16" s="3475" t="s">
        <v>3436</v>
      </c>
      <c r="F16" s="400"/>
      <c r="G16" s="3475" t="s">
        <v>3437</v>
      </c>
      <c r="H16" s="401"/>
      <c r="I16" s="3475" t="s">
        <v>3436</v>
      </c>
      <c r="J16" s="399"/>
      <c r="K16" s="564"/>
      <c r="L16" s="2719"/>
      <c r="M16" s="2713"/>
      <c r="N16" s="2713"/>
      <c r="O16" s="2713"/>
      <c r="P16" s="3720"/>
      <c r="Q16" s="1351"/>
      <c r="R16" s="704"/>
      <c r="S16" s="705"/>
      <c r="T16" s="704"/>
      <c r="U16" s="705"/>
      <c r="V16" s="704"/>
      <c r="W16" s="705"/>
      <c r="X16" s="1354"/>
      <c r="Y16" s="372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20"/>
      <c r="Q17" s="1351" t="str">
        <f>B17</f>
        <v>交通便捷度</v>
      </c>
      <c r="R17" s="704" t="s">
        <v>14</v>
      </c>
      <c r="S17" s="705">
        <f>F17</f>
        <v>100</v>
      </c>
      <c r="T17" s="704" t="s">
        <v>14</v>
      </c>
      <c r="U17" s="705">
        <f>H17</f>
        <v>100</v>
      </c>
      <c r="V17" s="704" t="s">
        <v>14</v>
      </c>
      <c r="W17" s="705">
        <f>J17</f>
        <v>100</v>
      </c>
      <c r="X17" s="1354"/>
      <c r="Y17" s="3722"/>
      <c r="Z17" s="1355" t="str">
        <f>Q17</f>
        <v>交通便捷度</v>
      </c>
      <c r="AA17" s="1352">
        <f t="shared" si="3"/>
        <v>1</v>
      </c>
      <c r="AB17" s="1352">
        <f t="shared" si="4"/>
        <v>1</v>
      </c>
      <c r="AC17" s="1352">
        <f t="shared" si="5"/>
        <v>1</v>
      </c>
    </row>
    <row r="18" spans="1:29" ht="15">
      <c r="A18" s="379"/>
      <c r="B18" s="407"/>
      <c r="C18" s="3476" t="s">
        <v>3436</v>
      </c>
      <c r="D18" s="401"/>
      <c r="E18" s="3477" t="s">
        <v>3437</v>
      </c>
      <c r="F18" s="404"/>
      <c r="G18" s="3478" t="s">
        <v>3436</v>
      </c>
      <c r="H18" s="399"/>
      <c r="I18" s="3477" t="s">
        <v>3436</v>
      </c>
      <c r="J18" s="399"/>
      <c r="K18" s="564"/>
      <c r="L18" s="2719"/>
      <c r="M18" s="2713"/>
      <c r="N18" s="2713"/>
      <c r="O18" s="2713"/>
      <c r="P18" s="3720"/>
      <c r="Q18" s="1351"/>
      <c r="R18" s="704"/>
      <c r="S18" s="705"/>
      <c r="T18" s="704"/>
      <c r="U18" s="705"/>
      <c r="V18" s="704"/>
      <c r="W18" s="705"/>
      <c r="X18" s="1354"/>
      <c r="Y18" s="372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0"/>
      <c r="Q19" s="1351" t="str">
        <f>B19</f>
        <v>公共配套设施</v>
      </c>
      <c r="R19" s="704" t="s">
        <v>14</v>
      </c>
      <c r="S19" s="705">
        <f>F19</f>
        <v>100</v>
      </c>
      <c r="T19" s="704" t="s">
        <v>14</v>
      </c>
      <c r="U19" s="705">
        <f>H19</f>
        <v>100</v>
      </c>
      <c r="V19" s="704" t="s">
        <v>14</v>
      </c>
      <c r="W19" s="705">
        <f>J19</f>
        <v>100</v>
      </c>
      <c r="X19" s="1354"/>
      <c r="Y19" s="3722"/>
      <c r="Z19" s="1355" t="str">
        <f>Q19</f>
        <v>公共配套设施</v>
      </c>
      <c r="AA19" s="1352">
        <f t="shared" si="3"/>
        <v>1</v>
      </c>
      <c r="AB19" s="1352">
        <f t="shared" si="4"/>
        <v>1</v>
      </c>
      <c r="AC19" s="1352">
        <f t="shared" si="5"/>
        <v>1</v>
      </c>
    </row>
    <row r="20" spans="1:29" ht="15">
      <c r="A20" s="379"/>
      <c r="B20" s="407"/>
      <c r="C20" s="3475" t="s">
        <v>3436</v>
      </c>
      <c r="D20" s="399"/>
      <c r="E20" s="3479" t="s">
        <v>3436</v>
      </c>
      <c r="F20" s="400"/>
      <c r="G20" s="3480" t="s">
        <v>3437</v>
      </c>
      <c r="H20" s="399"/>
      <c r="I20" s="3479" t="s">
        <v>3436</v>
      </c>
      <c r="J20" s="399"/>
      <c r="K20" s="564"/>
      <c r="L20" s="2719"/>
      <c r="M20" s="2713"/>
      <c r="N20" s="2713"/>
      <c r="O20" s="2713"/>
      <c r="P20" s="3720"/>
      <c r="Q20" s="1351"/>
      <c r="R20" s="704"/>
      <c r="S20" s="705"/>
      <c r="T20" s="704"/>
      <c r="U20" s="705"/>
      <c r="V20" s="704"/>
      <c r="W20" s="705"/>
      <c r="X20" s="1354"/>
      <c r="Y20" s="372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0"/>
      <c r="Q21" s="1351" t="str">
        <f>B21</f>
        <v>基础设施水平</v>
      </c>
      <c r="R21" s="704" t="s">
        <v>14</v>
      </c>
      <c r="S21" s="705">
        <f>F21</f>
        <v>100</v>
      </c>
      <c r="T21" s="704" t="s">
        <v>14</v>
      </c>
      <c r="U21" s="705">
        <f>H21</f>
        <v>100</v>
      </c>
      <c r="V21" s="704" t="s">
        <v>14</v>
      </c>
      <c r="W21" s="705">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0"/>
      <c r="C22" s="3476" t="s">
        <v>3438</v>
      </c>
      <c r="D22" s="399"/>
      <c r="E22" s="3475" t="s">
        <v>3439</v>
      </c>
      <c r="F22" s="400"/>
      <c r="G22" s="3475" t="s">
        <v>3438</v>
      </c>
      <c r="H22" s="399"/>
      <c r="I22" s="3475" t="s">
        <v>3438</v>
      </c>
      <c r="J22" s="399"/>
      <c r="K22" s="1129"/>
      <c r="L22" s="2719"/>
      <c r="M22" s="2713"/>
      <c r="N22" s="2713"/>
      <c r="O22" s="2713"/>
      <c r="P22" s="3720"/>
      <c r="Q22" s="1351"/>
      <c r="R22" s="704"/>
      <c r="S22" s="705"/>
      <c r="T22" s="704"/>
      <c r="U22" s="705"/>
      <c r="V22" s="704"/>
      <c r="W22" s="705"/>
      <c r="X22" s="1354"/>
      <c r="Y22" s="372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0"/>
      <c r="Q23" s="1351" t="str">
        <f>B23</f>
        <v>自然及人文环境</v>
      </c>
      <c r="R23" s="704" t="s">
        <v>14</v>
      </c>
      <c r="S23" s="705">
        <f>F23</f>
        <v>100</v>
      </c>
      <c r="T23" s="704" t="s">
        <v>14</v>
      </c>
      <c r="U23" s="705">
        <f>H23</f>
        <v>100</v>
      </c>
      <c r="V23" s="704" t="s">
        <v>14</v>
      </c>
      <c r="W23" s="705">
        <f>J23</f>
        <v>100</v>
      </c>
      <c r="X23" s="1354"/>
      <c r="Y23" s="3722"/>
      <c r="Z23" s="1355" t="str">
        <f>Q23</f>
        <v>自然及人文环境</v>
      </c>
      <c r="AA23" s="1352">
        <f t="shared" si="3"/>
        <v>1</v>
      </c>
      <c r="AB23" s="1352">
        <f t="shared" si="4"/>
        <v>1</v>
      </c>
      <c r="AC23" s="1352">
        <f t="shared" si="5"/>
        <v>1</v>
      </c>
    </row>
    <row r="24" spans="1:29" ht="15">
      <c r="A24" s="379"/>
      <c r="B24" s="407"/>
      <c r="C24" s="3475" t="s">
        <v>3436</v>
      </c>
      <c r="D24" s="399"/>
      <c r="E24" s="3479" t="s">
        <v>3436</v>
      </c>
      <c r="F24" s="400"/>
      <c r="G24" s="3480" t="s">
        <v>3437</v>
      </c>
      <c r="H24" s="399"/>
      <c r="I24" s="3479" t="s">
        <v>3436</v>
      </c>
      <c r="J24" s="399"/>
      <c r="K24" s="564"/>
      <c r="L24" s="2719"/>
      <c r="M24" s="2713"/>
      <c r="N24" s="2713"/>
      <c r="O24" s="2713"/>
      <c r="P24" s="3720"/>
      <c r="Q24" s="1351"/>
      <c r="R24" s="704"/>
      <c r="S24" s="705"/>
      <c r="T24" s="704"/>
      <c r="U24" s="705"/>
      <c r="V24" s="704"/>
      <c r="W24" s="705"/>
      <c r="X24" s="1354"/>
      <c r="Y24" s="372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20"/>
      <c r="Q25" s="1351" t="str">
        <f t="shared" ref="Q25:Q46" si="11">B25</f>
        <v>临街状况</v>
      </c>
      <c r="R25" s="704" t="s">
        <v>14</v>
      </c>
      <c r="S25" s="705">
        <f>F25</f>
        <v>100</v>
      </c>
      <c r="T25" s="704" t="s">
        <v>14</v>
      </c>
      <c r="U25" s="705">
        <f>H25</f>
        <v>100</v>
      </c>
      <c r="V25" s="704" t="s">
        <v>14</v>
      </c>
      <c r="W25" s="705">
        <f>J25</f>
        <v>100</v>
      </c>
      <c r="X25" s="1354"/>
      <c r="Y25" s="372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0"/>
      <c r="Q26" s="1351" t="str">
        <f t="shared" si="11"/>
        <v>平面位置/可视性</v>
      </c>
      <c r="R26" s="704" t="s">
        <v>14</v>
      </c>
      <c r="S26" s="705">
        <f>F26</f>
        <v>100</v>
      </c>
      <c r="T26" s="704" t="s">
        <v>14</v>
      </c>
      <c r="U26" s="705">
        <f>H26</f>
        <v>100</v>
      </c>
      <c r="V26" s="704" t="s">
        <v>14</v>
      </c>
      <c r="W26" s="705">
        <f>J26</f>
        <v>100</v>
      </c>
      <c r="X26" s="1354"/>
      <c r="Y26" s="372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20"/>
      <c r="Q27" s="1342" t="str">
        <f t="shared" si="11"/>
        <v>人流量</v>
      </c>
      <c r="R27" s="700" t="s">
        <v>14</v>
      </c>
      <c r="S27" s="701">
        <f>F27</f>
        <v>100</v>
      </c>
      <c r="T27" s="700" t="s">
        <v>14</v>
      </c>
      <c r="U27" s="701">
        <f>H27</f>
        <v>100</v>
      </c>
      <c r="V27" s="700" t="s">
        <v>14</v>
      </c>
      <c r="W27" s="701">
        <f>J27</f>
        <v>100</v>
      </c>
      <c r="X27" s="702"/>
      <c r="Y27" s="3722"/>
      <c r="Z27" s="52" t="str">
        <f>Q27</f>
        <v>人流量</v>
      </c>
      <c r="AA27" s="1352">
        <f>D27/F27</f>
        <v>1</v>
      </c>
      <c r="AB27" s="1352">
        <f>D27/H27</f>
        <v>1</v>
      </c>
      <c r="AC27" s="1352">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9"/>
      <c r="M28" s="2713"/>
      <c r="N28" s="2713"/>
      <c r="O28" s="2713"/>
      <c r="P28" s="372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2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0"/>
      <c r="Q29" s="1351">
        <f t="shared" si="11"/>
        <v>111</v>
      </c>
      <c r="R29" s="704" t="s">
        <v>14</v>
      </c>
      <c r="S29" s="705">
        <f t="shared" si="12"/>
        <v>100</v>
      </c>
      <c r="T29" s="704" t="s">
        <v>14</v>
      </c>
      <c r="U29" s="705">
        <f t="shared" si="13"/>
        <v>100</v>
      </c>
      <c r="V29" s="704" t="s">
        <v>14</v>
      </c>
      <c r="W29" s="705">
        <f t="shared" si="14"/>
        <v>100</v>
      </c>
      <c r="X29" s="1354"/>
      <c r="Y29" s="372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0"/>
      <c r="Q30" s="1351">
        <f t="shared" si="11"/>
        <v>111</v>
      </c>
      <c r="R30" s="704" t="s">
        <v>14</v>
      </c>
      <c r="S30" s="705">
        <f t="shared" si="12"/>
        <v>100</v>
      </c>
      <c r="T30" s="704" t="s">
        <v>14</v>
      </c>
      <c r="U30" s="705">
        <f t="shared" si="13"/>
        <v>100</v>
      </c>
      <c r="V30" s="704" t="s">
        <v>14</v>
      </c>
      <c r="W30" s="705">
        <f t="shared" si="14"/>
        <v>100</v>
      </c>
      <c r="X30" s="1354"/>
      <c r="Y30" s="372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0"/>
      <c r="Q31" s="1351">
        <f t="shared" si="11"/>
        <v>111</v>
      </c>
      <c r="R31" s="704" t="s">
        <v>14</v>
      </c>
      <c r="S31" s="705">
        <f t="shared" si="12"/>
        <v>100</v>
      </c>
      <c r="T31" s="704" t="s">
        <v>14</v>
      </c>
      <c r="U31" s="705">
        <f t="shared" si="13"/>
        <v>100</v>
      </c>
      <c r="V31" s="704" t="s">
        <v>14</v>
      </c>
      <c r="W31" s="705">
        <f t="shared" si="14"/>
        <v>100</v>
      </c>
      <c r="X31" s="1354"/>
      <c r="Y31" s="372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23" t="s">
        <v>1696</v>
      </c>
      <c r="Q32" s="1351" t="str">
        <f t="shared" si="11"/>
        <v>商业类型</v>
      </c>
      <c r="R32" s="704" t="s">
        <v>14</v>
      </c>
      <c r="S32" s="705">
        <f t="shared" si="12"/>
        <v>100</v>
      </c>
      <c r="T32" s="704" t="s">
        <v>14</v>
      </c>
      <c r="U32" s="705">
        <f t="shared" si="13"/>
        <v>100</v>
      </c>
      <c r="V32" s="704" t="s">
        <v>14</v>
      </c>
      <c r="W32" s="705">
        <f t="shared" si="14"/>
        <v>100</v>
      </c>
      <c r="X32" s="1354"/>
      <c r="Y32" s="3726" t="s">
        <v>1696</v>
      </c>
      <c r="Z32" s="1355" t="str">
        <f t="shared" si="15"/>
        <v>商业类型</v>
      </c>
      <c r="AA32" s="1352">
        <f t="shared" si="3"/>
        <v>1</v>
      </c>
      <c r="AB32" s="1352">
        <f t="shared" si="4"/>
        <v>1</v>
      </c>
      <c r="AC32" s="1352">
        <f t="shared" si="5"/>
        <v>1</v>
      </c>
    </row>
    <row r="33" spans="1:29" s="422" customFormat="1" ht="15">
      <c r="A33" s="419"/>
      <c r="B33" s="375" t="s">
        <v>1697</v>
      </c>
      <c r="C33" s="420">
        <f>'数据-取费表'!V28</f>
        <v>3773.9799999999996</v>
      </c>
      <c r="D33" s="127">
        <v>100</v>
      </c>
      <c r="E33" s="381">
        <v>295</v>
      </c>
      <c r="F33" s="376">
        <f>LOOKUP(E33,103:103,104:104)-LOOKUP(C33,103:103,104:104)+100</f>
        <v>116</v>
      </c>
      <c r="G33" s="380">
        <v>285.39999999999998</v>
      </c>
      <c r="H33" s="127">
        <f>LOOKUP(G33,103:103,104:104)-LOOKUP(C33,103:103,104:104)+100</f>
        <v>116</v>
      </c>
      <c r="I33" s="380">
        <v>980</v>
      </c>
      <c r="J33" s="127">
        <f>LOOKUP(I33,103:103,104:104)-LOOKUP(C33,103:103,104:104)+100</f>
        <v>104</v>
      </c>
      <c r="K33" s="562"/>
      <c r="L33" s="2718"/>
      <c r="M33" s="2720"/>
      <c r="N33" s="2720"/>
      <c r="O33" s="2720"/>
      <c r="P33" s="3724"/>
      <c r="Q33" s="706" t="str">
        <f t="shared" si="11"/>
        <v>项目建筑规模</v>
      </c>
      <c r="R33" s="707" t="s">
        <v>14</v>
      </c>
      <c r="S33" s="708">
        <f t="shared" si="12"/>
        <v>116</v>
      </c>
      <c r="T33" s="707" t="s">
        <v>14</v>
      </c>
      <c r="U33" s="708">
        <f t="shared" si="13"/>
        <v>116</v>
      </c>
      <c r="V33" s="707" t="s">
        <v>14</v>
      </c>
      <c r="W33" s="708">
        <f t="shared" si="14"/>
        <v>104</v>
      </c>
      <c r="X33" s="709"/>
      <c r="Y33" s="3726"/>
      <c r="Z33" s="710" t="str">
        <f t="shared" si="15"/>
        <v>项目建筑规模</v>
      </c>
      <c r="AA33" s="1352">
        <f t="shared" si="3"/>
        <v>0.86206896551724133</v>
      </c>
      <c r="AB33" s="1352">
        <f t="shared" si="4"/>
        <v>0.86206896551724133</v>
      </c>
      <c r="AC33" s="1352">
        <f t="shared" si="5"/>
        <v>0.96153846153846156</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24"/>
      <c r="Q34" s="1351" t="str">
        <f t="shared" si="11"/>
        <v>建筑结构</v>
      </c>
      <c r="R34" s="704" t="s">
        <v>14</v>
      </c>
      <c r="S34" s="705">
        <f t="shared" si="12"/>
        <v>100</v>
      </c>
      <c r="T34" s="704" t="s">
        <v>14</v>
      </c>
      <c r="U34" s="705">
        <f t="shared" si="13"/>
        <v>100</v>
      </c>
      <c r="V34" s="704" t="s">
        <v>14</v>
      </c>
      <c r="W34" s="705">
        <f t="shared" si="14"/>
        <v>100</v>
      </c>
      <c r="X34" s="1354"/>
      <c r="Y34" s="372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24"/>
      <c r="Q35" s="1351" t="str">
        <f t="shared" si="11"/>
        <v>公共部分装修</v>
      </c>
      <c r="R35" s="704" t="s">
        <v>14</v>
      </c>
      <c r="S35" s="705">
        <f t="shared" si="12"/>
        <v>100</v>
      </c>
      <c r="T35" s="704" t="s">
        <v>14</v>
      </c>
      <c r="U35" s="705">
        <f t="shared" si="13"/>
        <v>100</v>
      </c>
      <c r="V35" s="704" t="s">
        <v>14</v>
      </c>
      <c r="W35" s="705">
        <f t="shared" si="14"/>
        <v>100</v>
      </c>
      <c r="X35" s="1354"/>
      <c r="Y35" s="3726"/>
      <c r="Z35" s="1355" t="str">
        <f t="shared" si="15"/>
        <v>公共部分装修</v>
      </c>
      <c r="AA35" s="1352">
        <f t="shared" si="3"/>
        <v>1</v>
      </c>
      <c r="AB35" s="1352">
        <f t="shared" si="4"/>
        <v>1</v>
      </c>
      <c r="AC35" s="1352">
        <f t="shared" si="5"/>
        <v>1</v>
      </c>
    </row>
    <row r="36" spans="1:29" ht="15">
      <c r="A36" s="423"/>
      <c r="B36" s="375" t="s">
        <v>1786</v>
      </c>
      <c r="C36" s="425">
        <f>'数据-取费表'!N6</f>
        <v>0.78</v>
      </c>
      <c r="D36" s="386">
        <v>100</v>
      </c>
      <c r="E36" s="425">
        <v>0.7</v>
      </c>
      <c r="F36" s="412">
        <f>LOOKUP(E36,110:110,111:111)-LOOKUP(C36,110:110,111:111)+100</f>
        <v>100</v>
      </c>
      <c r="G36" s="425">
        <v>0.7</v>
      </c>
      <c r="H36" s="412">
        <f>LOOKUP(G36,110:110,111:111)-LOOKUP(C36,110:110,111:111)+100</f>
        <v>100</v>
      </c>
      <c r="I36" s="425">
        <v>0.82</v>
      </c>
      <c r="J36" s="386">
        <f>LOOKUP(I36,110:110,111:111)-LOOKUP(C36,110:110,111:111)+100</f>
        <v>102</v>
      </c>
      <c r="K36" s="561">
        <v>2</v>
      </c>
      <c r="L36" s="2719"/>
      <c r="M36" s="2713"/>
      <c r="N36" s="2713"/>
      <c r="O36" s="2713"/>
      <c r="P36" s="3724"/>
      <c r="Q36" s="1351" t="str">
        <f t="shared" si="11"/>
        <v>成新度</v>
      </c>
      <c r="R36" s="704" t="s">
        <v>14</v>
      </c>
      <c r="S36" s="705">
        <f t="shared" si="12"/>
        <v>100</v>
      </c>
      <c r="T36" s="704" t="s">
        <v>14</v>
      </c>
      <c r="U36" s="705">
        <f t="shared" si="13"/>
        <v>100</v>
      </c>
      <c r="V36" s="704" t="s">
        <v>14</v>
      </c>
      <c r="W36" s="705">
        <f t="shared" si="14"/>
        <v>102</v>
      </c>
      <c r="X36" s="1354"/>
      <c r="Y36" s="3726"/>
      <c r="Z36" s="1355" t="str">
        <f t="shared" si="15"/>
        <v>成新度</v>
      </c>
      <c r="AA36" s="1352">
        <f t="shared" si="3"/>
        <v>1</v>
      </c>
      <c r="AB36" s="1352">
        <f t="shared" si="4"/>
        <v>1</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24"/>
      <c r="Q37" s="1342" t="str">
        <f t="shared" si="11"/>
        <v>市政基础设施</v>
      </c>
      <c r="R37" s="700" t="s">
        <v>14</v>
      </c>
      <c r="S37" s="701">
        <f t="shared" si="12"/>
        <v>100</v>
      </c>
      <c r="T37" s="700" t="s">
        <v>14</v>
      </c>
      <c r="U37" s="701">
        <f t="shared" si="13"/>
        <v>100</v>
      </c>
      <c r="V37" s="700" t="s">
        <v>14</v>
      </c>
      <c r="W37" s="701">
        <f t="shared" si="14"/>
        <v>100</v>
      </c>
      <c r="X37" s="702"/>
      <c r="Y37" s="372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24" t="s">
        <v>1696</v>
      </c>
      <c r="Q38" s="1351" t="str">
        <f t="shared" si="11"/>
        <v>业态</v>
      </c>
      <c r="R38" s="704" t="s">
        <v>14</v>
      </c>
      <c r="S38" s="705">
        <f t="shared" si="12"/>
        <v>100</v>
      </c>
      <c r="T38" s="704" t="s">
        <v>14</v>
      </c>
      <c r="U38" s="705">
        <f t="shared" si="13"/>
        <v>100</v>
      </c>
      <c r="V38" s="704" t="s">
        <v>14</v>
      </c>
      <c r="W38" s="705">
        <f t="shared" si="14"/>
        <v>100</v>
      </c>
      <c r="X38" s="1354"/>
      <c r="Y38" s="372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24"/>
      <c r="Q39" s="1351" t="str">
        <f t="shared" si="11"/>
        <v>层高</v>
      </c>
      <c r="R39" s="704" t="s">
        <v>14</v>
      </c>
      <c r="S39" s="705">
        <f t="shared" si="12"/>
        <v>100</v>
      </c>
      <c r="T39" s="704" t="s">
        <v>14</v>
      </c>
      <c r="U39" s="705">
        <f t="shared" si="13"/>
        <v>100</v>
      </c>
      <c r="V39" s="704" t="s">
        <v>14</v>
      </c>
      <c r="W39" s="705">
        <f t="shared" si="14"/>
        <v>100</v>
      </c>
      <c r="X39" s="1354"/>
      <c r="Y39" s="372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4"/>
      <c r="Q40" s="1351" t="str">
        <f t="shared" si="11"/>
        <v>单套建筑面积</v>
      </c>
      <c r="R40" s="704" t="s">
        <v>14</v>
      </c>
      <c r="S40" s="705">
        <f t="shared" si="12"/>
        <v>100</v>
      </c>
      <c r="T40" s="704" t="s">
        <v>14</v>
      </c>
      <c r="U40" s="705">
        <f t="shared" si="13"/>
        <v>100</v>
      </c>
      <c r="V40" s="704" t="s">
        <v>14</v>
      </c>
      <c r="W40" s="705">
        <f t="shared" si="14"/>
        <v>100</v>
      </c>
      <c r="X40" s="1354"/>
      <c r="Y40" s="3726"/>
      <c r="Z40" s="1355" t="str">
        <f t="shared" si="15"/>
        <v>单套建筑面积</v>
      </c>
      <c r="AA40" s="1352">
        <f t="shared" si="3"/>
        <v>1</v>
      </c>
      <c r="AB40" s="1352">
        <f t="shared" si="4"/>
        <v>1</v>
      </c>
      <c r="AC40" s="1352">
        <f t="shared" si="5"/>
        <v>1</v>
      </c>
    </row>
    <row r="41" spans="1:29" s="422" customFormat="1" ht="15">
      <c r="A41" s="419"/>
      <c r="B41" s="1353" t="s">
        <v>1791</v>
      </c>
      <c r="C41" s="3481" t="s">
        <v>3440</v>
      </c>
      <c r="D41" s="386">
        <v>100</v>
      </c>
      <c r="E41" s="3481" t="s">
        <v>3474</v>
      </c>
      <c r="F41" s="412">
        <f>SUMIF(120:120,E41,121:121)-SUMIF(120:120,C41,121:121)+100</f>
        <v>120</v>
      </c>
      <c r="G41" s="3481" t="s">
        <v>3474</v>
      </c>
      <c r="H41" s="386">
        <f>SUMIF(120:120,G41,121:121)-SUMIF(120:120,C41,121:121)+100</f>
        <v>120</v>
      </c>
      <c r="I41" s="3481" t="s">
        <v>3474</v>
      </c>
      <c r="J41" s="386">
        <f>SUMIF(120:120,I41,121:121)-SUMIF(120:120,C41,121:121)+100</f>
        <v>120</v>
      </c>
      <c r="K41" s="561">
        <v>20</v>
      </c>
      <c r="L41" s="2718"/>
      <c r="M41" s="2720"/>
      <c r="N41" s="2720"/>
      <c r="O41" s="2720"/>
      <c r="P41" s="3724"/>
      <c r="Q41" s="706" t="str">
        <f t="shared" si="11"/>
        <v>进深比</v>
      </c>
      <c r="R41" s="707" t="s">
        <v>14</v>
      </c>
      <c r="S41" s="708">
        <f t="shared" si="12"/>
        <v>120</v>
      </c>
      <c r="T41" s="707" t="s">
        <v>14</v>
      </c>
      <c r="U41" s="708">
        <f t="shared" si="13"/>
        <v>120</v>
      </c>
      <c r="V41" s="707" t="s">
        <v>14</v>
      </c>
      <c r="W41" s="708">
        <f t="shared" si="14"/>
        <v>120</v>
      </c>
      <c r="X41" s="709"/>
      <c r="Y41" s="3726"/>
      <c r="Z41" s="710" t="str">
        <f t="shared" si="15"/>
        <v>进深比</v>
      </c>
      <c r="AA41" s="1352">
        <f t="shared" si="3"/>
        <v>0.83333333333333337</v>
      </c>
      <c r="AB41" s="1352">
        <f t="shared" si="4"/>
        <v>0.83333333333333337</v>
      </c>
      <c r="AC41" s="1352">
        <f t="shared" si="5"/>
        <v>0.83333333333333337</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24"/>
      <c r="Q42" s="1351" t="str">
        <f t="shared" si="11"/>
        <v>内部装修</v>
      </c>
      <c r="R42" s="704" t="s">
        <v>14</v>
      </c>
      <c r="S42" s="705">
        <f t="shared" si="12"/>
        <v>100</v>
      </c>
      <c r="T42" s="704" t="s">
        <v>14</v>
      </c>
      <c r="U42" s="705">
        <f t="shared" si="13"/>
        <v>100</v>
      </c>
      <c r="V42" s="704" t="s">
        <v>14</v>
      </c>
      <c r="W42" s="705">
        <f t="shared" si="14"/>
        <v>100</v>
      </c>
      <c r="X42" s="1354"/>
      <c r="Y42" s="372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24"/>
      <c r="Q43" s="1351" t="str">
        <f t="shared" si="11"/>
        <v>内部装修维护情况</v>
      </c>
      <c r="R43" s="704" t="s">
        <v>14</v>
      </c>
      <c r="S43" s="705">
        <f t="shared" si="12"/>
        <v>100</v>
      </c>
      <c r="T43" s="704" t="s">
        <v>14</v>
      </c>
      <c r="U43" s="705">
        <f t="shared" si="13"/>
        <v>100</v>
      </c>
      <c r="V43" s="704" t="s">
        <v>14</v>
      </c>
      <c r="W43" s="705">
        <f t="shared" si="14"/>
        <v>100</v>
      </c>
      <c r="X43" s="1354"/>
      <c r="Y43" s="372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4"/>
      <c r="Q44" s="1342">
        <f t="shared" si="11"/>
        <v>111</v>
      </c>
      <c r="R44" s="700" t="s">
        <v>14</v>
      </c>
      <c r="S44" s="701">
        <f t="shared" si="12"/>
        <v>100</v>
      </c>
      <c r="T44" s="700" t="s">
        <v>14</v>
      </c>
      <c r="U44" s="701">
        <f t="shared" si="13"/>
        <v>100</v>
      </c>
      <c r="V44" s="700" t="s">
        <v>14</v>
      </c>
      <c r="W44" s="701">
        <f t="shared" si="14"/>
        <v>100</v>
      </c>
      <c r="X44" s="702"/>
      <c r="Y44" s="372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4"/>
      <c r="Q45" s="1351">
        <f t="shared" si="11"/>
        <v>111</v>
      </c>
      <c r="R45" s="704" t="s">
        <v>14</v>
      </c>
      <c r="S45" s="705">
        <f t="shared" si="12"/>
        <v>100</v>
      </c>
      <c r="T45" s="704" t="s">
        <v>14</v>
      </c>
      <c r="U45" s="705">
        <f t="shared" si="13"/>
        <v>100</v>
      </c>
      <c r="V45" s="704" t="s">
        <v>14</v>
      </c>
      <c r="W45" s="705">
        <f t="shared" si="14"/>
        <v>100</v>
      </c>
      <c r="X45" s="1354"/>
      <c r="Y45" s="372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5"/>
      <c r="Q46" s="1351">
        <f t="shared" si="11"/>
        <v>111</v>
      </c>
      <c r="R46" s="704" t="s">
        <v>14</v>
      </c>
      <c r="S46" s="705">
        <f t="shared" si="12"/>
        <v>100</v>
      </c>
      <c r="T46" s="704" t="s">
        <v>14</v>
      </c>
      <c r="U46" s="705">
        <f t="shared" si="13"/>
        <v>100</v>
      </c>
      <c r="V46" s="704" t="s">
        <v>14</v>
      </c>
      <c r="W46" s="705">
        <f t="shared" si="14"/>
        <v>100</v>
      </c>
      <c r="X46" s="1354"/>
      <c r="Y46" s="3727"/>
      <c r="Z46" s="1355">
        <f t="shared" si="15"/>
        <v>111</v>
      </c>
      <c r="AA46" s="1352">
        <f t="shared" si="3"/>
        <v>1</v>
      </c>
      <c r="AB46" s="1352">
        <f t="shared" si="4"/>
        <v>1</v>
      </c>
      <c r="AC46" s="1352">
        <f t="shared" si="5"/>
        <v>1</v>
      </c>
    </row>
    <row r="47" spans="1:29" ht="15">
      <c r="A47" s="430" t="s">
        <v>1708</v>
      </c>
      <c r="B47" s="431"/>
      <c r="C47" s="1153" t="s">
        <v>0</v>
      </c>
      <c r="D47" s="1154"/>
      <c r="E47" s="1155">
        <f>市调!J112</f>
        <v>45762</v>
      </c>
      <c r="F47" s="1156"/>
      <c r="G47" s="1157">
        <f>市调!J113</f>
        <v>50456</v>
      </c>
      <c r="H47" s="1158"/>
      <c r="I47" s="1155">
        <f>市调!J114</f>
        <v>44082</v>
      </c>
      <c r="J47" s="1158"/>
      <c r="K47" s="713"/>
      <c r="L47" s="2721"/>
      <c r="M47" s="2722"/>
      <c r="N47" s="2713"/>
      <c r="O47" s="2722"/>
      <c r="P47" s="3714" t="str">
        <f>A47</f>
        <v>成交单价（元/平方米）</v>
      </c>
      <c r="Q47" s="3714"/>
      <c r="R47" s="3728">
        <f>E47</f>
        <v>45762</v>
      </c>
      <c r="S47" s="3728"/>
      <c r="T47" s="3728">
        <f>G47</f>
        <v>50456</v>
      </c>
      <c r="U47" s="3728"/>
      <c r="V47" s="3728">
        <f>I47</f>
        <v>44082</v>
      </c>
      <c r="W47" s="3728"/>
      <c r="X47" s="689"/>
      <c r="Y47" s="711"/>
      <c r="Z47" s="689"/>
      <c r="AA47" s="689"/>
      <c r="AB47" s="689"/>
      <c r="AC47" s="689"/>
    </row>
    <row r="48" spans="1:29" ht="15.75" thickBot="1">
      <c r="A48" s="437" t="s">
        <v>1793</v>
      </c>
      <c r="B48" s="438"/>
      <c r="C48" s="1159">
        <f>R49</f>
        <v>34682</v>
      </c>
      <c r="D48" s="2316" t="s">
        <v>2137</v>
      </c>
      <c r="E48" s="1160">
        <f>R48</f>
        <v>34106</v>
      </c>
      <c r="F48" s="2317"/>
      <c r="G48" s="1159">
        <f>T48</f>
        <v>37605</v>
      </c>
      <c r="H48" s="2317"/>
      <c r="I48" s="1160">
        <f>V48</f>
        <v>32334</v>
      </c>
      <c r="J48" s="2317"/>
      <c r="K48" s="2319">
        <f>F48+H48+J48</f>
        <v>0</v>
      </c>
      <c r="L48" s="2721"/>
      <c r="M48" s="2722"/>
      <c r="N48" s="2713"/>
      <c r="O48" s="2722"/>
      <c r="P48" s="3714" t="str">
        <f>A48</f>
        <v>比较价值（元/平方米）</v>
      </c>
      <c r="Q48" s="3714"/>
      <c r="R48" s="3715">
        <f>IF(F1="售价",ROUND(PRODUCT(R47,AA7:AA46),0),ROUND(PRODUCT(R47,AA7:AA46),1))</f>
        <v>34106</v>
      </c>
      <c r="S48" s="3715"/>
      <c r="T48" s="3715">
        <f>IF(F1="售价",ROUND(PRODUCT(T47,AB7:AB46),0),ROUND(PRODUCT(T47,AB7:AB46),1))</f>
        <v>37605</v>
      </c>
      <c r="U48" s="3715"/>
      <c r="V48" s="3715">
        <f>IF(F1="售价",ROUND(PRODUCT(V47,AC7:AC46),0),ROUND(PRODUCT(V47,AC7:AC46),1))</f>
        <v>32334</v>
      </c>
      <c r="W48" s="3715"/>
      <c r="X48" s="689"/>
      <c r="Y48" s="689"/>
      <c r="Z48" s="689"/>
      <c r="AA48" s="689"/>
      <c r="AB48" s="689"/>
      <c r="AC48" s="689"/>
    </row>
    <row r="49" spans="1:29" ht="15.75" thickBot="1">
      <c r="A49" s="441" t="s">
        <v>1794</v>
      </c>
      <c r="B49" s="442"/>
      <c r="C49" s="1162">
        <f>R49</f>
        <v>34682</v>
      </c>
      <c r="D49" s="1162"/>
      <c r="E49" s="1162"/>
      <c r="F49" s="1162"/>
      <c r="G49" s="1162"/>
      <c r="H49" s="1162"/>
      <c r="I49" s="1162"/>
      <c r="J49" s="1162"/>
      <c r="K49" s="714"/>
      <c r="L49" s="2721"/>
      <c r="M49" s="2722"/>
      <c r="N49" s="2713"/>
      <c r="O49" s="2722"/>
      <c r="P49" s="3716" t="str">
        <f>A49</f>
        <v>估价对象XX用房的比较价值（楼面单价，元/平方米）</v>
      </c>
      <c r="Q49" s="3717"/>
      <c r="R49" s="3718">
        <f>IF(F1="售价",ROUND(IF(D48="简单平均",AVERAGE(R48:V48),R48*F48+T48*H48+V48*J48),0),ROUND(IF(D48="简单平均",AVERAGE(R48:V48),R48*F48+T48*H48+V48*J48),1))</f>
        <v>34682</v>
      </c>
      <c r="S49" s="3718"/>
      <c r="T49" s="3718"/>
      <c r="U49" s="3718"/>
      <c r="V49" s="3718"/>
      <c r="W49" s="3718"/>
      <c r="X49" s="689"/>
      <c r="Y49" s="689"/>
      <c r="Z49" s="689"/>
      <c r="AA49" s="689"/>
      <c r="AB49" s="689"/>
      <c r="AC49" s="689"/>
    </row>
    <row r="50" spans="1:29">
      <c r="A50" s="2722"/>
      <c r="B50" s="2722"/>
      <c r="C50" s="2722">
        <f>项目基本情况!D15</f>
        <v>26.88</v>
      </c>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0.34175804843722513</v>
      </c>
      <c r="F52" s="449" t="str">
        <f>IF(OR(E52&gt;=0.3,E52&lt;=-0.3),"超过30%","")</f>
        <v>超过30%</v>
      </c>
      <c r="G52" s="448">
        <f>IF(G47&lt;G48,G48/G47-1,G47/G48-1)</f>
        <v>0.34173647121393436</v>
      </c>
      <c r="H52" s="449" t="str">
        <f>IF(OR(G52&gt;=0.3,G52&lt;=-0.3),"超过30%","")</f>
        <v>超过30%</v>
      </c>
      <c r="I52" s="448">
        <f>IF(I47&lt;I48,I48/I47-1,I47/I48-1)</f>
        <v>0.36333271478938589</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0.10259191931038525</v>
      </c>
      <c r="F53" s="449" t="str">
        <f>IF(OR(E53&gt;=0.2,E53&lt;=-0.2),"超过20%","")</f>
        <v/>
      </c>
      <c r="G53" s="448">
        <f>IF(G48&lt;I48,I48/G48-1,G48/I48-1)</f>
        <v>0.16301725737613659</v>
      </c>
      <c r="H53" s="449" t="str">
        <f>IF(OR(G53&gt;=0.2,G53&lt;=-0.2),"超过20%","")</f>
        <v/>
      </c>
      <c r="I53" s="448">
        <f>IF(I48&lt;E48,E48/I48-1,I48/E48-1)</f>
        <v>5.4802993752706142E-2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0.10257418819107555</v>
      </c>
      <c r="F54" s="449" t="str">
        <f>IF(OR(E54&gt;=0.3,E54&lt;=-0.3),"超过30%","")</f>
        <v/>
      </c>
      <c r="G54" s="448">
        <f>IF(G47&lt;I47,I47/G47-1,G47/I47-1)</f>
        <v>0.14459416541899195</v>
      </c>
      <c r="H54" s="449" t="str">
        <f>IF(OR(G54&gt;=0.3,G54&lt;=-0.3),"超过30%","")</f>
        <v/>
      </c>
      <c r="I54" s="448">
        <f>IF(I47&lt;E47,E47/I47-1,I47/E47-1)</f>
        <v>3.8110793521165087E-2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512" t="s">
        <v>3478</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3433</v>
      </c>
      <c r="D65" s="532" t="s">
        <v>3434</v>
      </c>
      <c r="E65" s="3474" t="s">
        <v>3435</v>
      </c>
      <c r="F65" s="532" t="s">
        <v>3430</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v>95</v>
      </c>
      <c r="E66" s="485">
        <v>90</v>
      </c>
      <c r="F66" s="485">
        <v>85</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0(含)-300</v>
      </c>
      <c r="D102" s="527" t="str">
        <f t="shared" ref="D102:L102" si="23">D103&amp;"(含)"&amp;"-"&amp;E103</f>
        <v>300(含)-500</v>
      </c>
      <c r="E102" s="527" t="str">
        <f t="shared" si="23"/>
        <v>500(含)-800</v>
      </c>
      <c r="F102" s="527" t="str">
        <f t="shared" si="23"/>
        <v>800(含)-1500</v>
      </c>
      <c r="G102" s="527" t="str">
        <f t="shared" si="23"/>
        <v>1500(含)-3000</v>
      </c>
      <c r="H102" s="527" t="str">
        <f t="shared" si="23"/>
        <v>3000(含)-5000</v>
      </c>
      <c r="I102" s="527" t="str">
        <f t="shared" si="23"/>
        <v>5000(含)-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300</v>
      </c>
      <c r="E103" s="544">
        <v>500</v>
      </c>
      <c r="F103" s="544">
        <v>800</v>
      </c>
      <c r="G103" s="544">
        <v>1500</v>
      </c>
      <c r="H103" s="544">
        <v>3000</v>
      </c>
      <c r="I103" s="544">
        <v>5000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95</v>
      </c>
      <c r="E104" s="485">
        <v>90</v>
      </c>
      <c r="F104" s="485">
        <f>E104-2</f>
        <v>88</v>
      </c>
      <c r="G104" s="485">
        <f t="shared" ref="G104:I104" si="24">F104-2</f>
        <v>86</v>
      </c>
      <c r="H104" s="485">
        <f t="shared" si="24"/>
        <v>84</v>
      </c>
      <c r="I104" s="485">
        <f t="shared" si="24"/>
        <v>82</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482" t="s">
        <v>3475</v>
      </c>
      <c r="D120" s="3482" t="s">
        <v>3476</v>
      </c>
      <c r="E120" s="3482"/>
      <c r="F120"/>
      <c r="G120" s="3483"/>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80</v>
      </c>
      <c r="E121" s="493">
        <f t="shared" ref="E121:M121" si="30">D121-$K41</f>
        <v>60</v>
      </c>
      <c r="F121" s="493">
        <f t="shared" si="30"/>
        <v>40</v>
      </c>
      <c r="G121" s="493">
        <f t="shared" si="30"/>
        <v>20</v>
      </c>
      <c r="H121" s="493">
        <f t="shared" si="30"/>
        <v>0</v>
      </c>
      <c r="I121" s="493">
        <f t="shared" si="30"/>
        <v>-20</v>
      </c>
      <c r="J121" s="493">
        <f t="shared" si="30"/>
        <v>-40</v>
      </c>
      <c r="K121" s="493">
        <f t="shared" si="30"/>
        <v>-60</v>
      </c>
      <c r="L121" s="493">
        <f t="shared" si="30"/>
        <v>-80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01" priority="21" stopIfTrue="1" operator="containsText" text="超过">
      <formula>NOT(ISERROR(SEARCH("超过",F52)))</formula>
    </cfRule>
  </conditionalFormatting>
  <conditionalFormatting sqref="H54">
    <cfRule type="containsText" dxfId="200" priority="19" stopIfTrue="1" operator="containsText" text="超过">
      <formula>NOT(ISERROR(SEARCH("超过",H54)))</formula>
    </cfRule>
  </conditionalFormatting>
  <conditionalFormatting sqref="F54">
    <cfRule type="containsText" dxfId="199" priority="18" stopIfTrue="1" operator="containsText" text="超过">
      <formula>NOT(ISERROR(SEARCH("超过",F54)))</formula>
    </cfRule>
  </conditionalFormatting>
  <conditionalFormatting sqref="F53 H53">
    <cfRule type="containsText" dxfId="198" priority="17" stopIfTrue="1" operator="containsText" text="超过">
      <formula>NOT(ISERROR(SEARCH("超过",F53)))</formula>
    </cfRule>
  </conditionalFormatting>
  <conditionalFormatting sqref="E52">
    <cfRule type="expression" dxfId="197" priority="16" stopIfTrue="1">
      <formula>$F$52="超过30%"</formula>
    </cfRule>
  </conditionalFormatting>
  <conditionalFormatting sqref="E53">
    <cfRule type="expression" dxfId="196" priority="15" stopIfTrue="1">
      <formula>$F$53="超过20%"</formula>
    </cfRule>
  </conditionalFormatting>
  <conditionalFormatting sqref="E54">
    <cfRule type="expression" dxfId="195" priority="14" stopIfTrue="1">
      <formula>$F$54="超过30%"</formula>
    </cfRule>
  </conditionalFormatting>
  <conditionalFormatting sqref="G54">
    <cfRule type="expression" dxfId="194" priority="13" stopIfTrue="1">
      <formula>$H$54="超过30%"</formula>
    </cfRule>
  </conditionalFormatting>
  <conditionalFormatting sqref="G52">
    <cfRule type="expression" dxfId="193" priority="12" stopIfTrue="1">
      <formula>$H$52="超过30%"</formula>
    </cfRule>
  </conditionalFormatting>
  <conditionalFormatting sqref="G53">
    <cfRule type="expression" dxfId="192" priority="11" stopIfTrue="1">
      <formula>$H$53="超过20%"</formula>
    </cfRule>
  </conditionalFormatting>
  <conditionalFormatting sqref="J52">
    <cfRule type="containsText" dxfId="191" priority="10" stopIfTrue="1" operator="containsText" text="超过">
      <formula>NOT(ISERROR(SEARCH("超过",J52)))</formula>
    </cfRule>
  </conditionalFormatting>
  <conditionalFormatting sqref="J54">
    <cfRule type="containsText" dxfId="190" priority="9" stopIfTrue="1" operator="containsText" text="超过">
      <formula>NOT(ISERROR(SEARCH("超过",J54)))</formula>
    </cfRule>
  </conditionalFormatting>
  <conditionalFormatting sqref="J53">
    <cfRule type="containsText" dxfId="189" priority="8" stopIfTrue="1" operator="containsText" text="超过">
      <formula>NOT(ISERROR(SEARCH("超过",J53)))</formula>
    </cfRule>
  </conditionalFormatting>
  <conditionalFormatting sqref="I52">
    <cfRule type="expression" dxfId="188" priority="7" stopIfTrue="1">
      <formula>$J$52="超过30%"</formula>
    </cfRule>
  </conditionalFormatting>
  <conditionalFormatting sqref="I53">
    <cfRule type="expression" dxfId="187" priority="6" stopIfTrue="1">
      <formula>$J$53="超过20%"</formula>
    </cfRule>
  </conditionalFormatting>
  <conditionalFormatting sqref="I54">
    <cfRule type="expression" dxfId="186" priority="5" stopIfTrue="1">
      <formula>$J$54="超过30%"</formula>
    </cfRule>
  </conditionalFormatting>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F7:F46 H7:H46 J7:J46">
    <cfRule type="cellIs" dxfId="18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32" t="str">
        <f>项目基本情况!B1</f>
        <v>北京市房地产抵押价值预评估</v>
      </c>
      <c r="C37" s="3532"/>
      <c r="D37" s="3532"/>
      <c r="E37" s="3532"/>
      <c r="F37" s="3532"/>
      <c r="G37" s="3532"/>
      <c r="H37" s="3532"/>
      <c r="I37" s="353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S1" zoomScale="90" zoomScaleNormal="90" workbookViewId="0">
      <pane ySplit="24" topLeftCell="A25" activePane="bottomLeft" state="frozen"/>
      <selection activeCell="C50" sqref="C50"/>
      <selection pane="bottomLeft" activeCell="AA21" sqref="AA2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64" t="s">
        <v>2084</v>
      </c>
      <c r="D1" s="3765"/>
      <c r="E1" s="3765"/>
      <c r="F1" s="3765"/>
      <c r="G1" s="3765"/>
      <c r="H1" s="3765"/>
      <c r="I1" s="3765"/>
      <c r="J1" s="3765"/>
      <c r="K1" s="3765"/>
      <c r="L1" s="3765"/>
      <c r="M1" s="3765"/>
      <c r="N1" s="3765"/>
      <c r="O1" s="3765"/>
      <c r="P1" s="3765"/>
      <c r="Q1" s="3765"/>
      <c r="R1" s="3765"/>
      <c r="S1" s="3766"/>
      <c r="T1" s="982" t="s">
        <v>2085</v>
      </c>
    </row>
    <row r="2" spans="1:45" s="655" customFormat="1" ht="38.25">
      <c r="A2" s="983"/>
      <c r="B2" s="651" t="s">
        <v>2086</v>
      </c>
      <c r="C2" s="652" t="str">
        <f t="shared" ref="C2:L2" si="0">C3&amp;"(含)"&amp;"-"&amp;D3</f>
        <v>0(含)-300</v>
      </c>
      <c r="D2" s="653" t="str">
        <f t="shared" si="0"/>
        <v>300(含)-500</v>
      </c>
      <c r="E2" s="653" t="str">
        <f t="shared" si="0"/>
        <v>500(含)-800</v>
      </c>
      <c r="F2" s="653" t="str">
        <f t="shared" si="0"/>
        <v>800(含)-1500</v>
      </c>
      <c r="G2" s="653" t="str">
        <f t="shared" si="0"/>
        <v>1500(含)-3000</v>
      </c>
      <c r="H2" s="653" t="str">
        <f t="shared" si="0"/>
        <v>3000(含)-5000</v>
      </c>
      <c r="I2" s="653" t="str">
        <f t="shared" si="0"/>
        <v>5000(含)-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300</v>
      </c>
      <c r="E3" s="657">
        <f>'比较法-商业'!E103</f>
        <v>500</v>
      </c>
      <c r="F3" s="657">
        <f>'比较法-商业'!F103</f>
        <v>800</v>
      </c>
      <c r="G3" s="657">
        <f>'比较法-商业'!G103</f>
        <v>1500</v>
      </c>
      <c r="H3" s="657">
        <f>'比较法-商业'!H103</f>
        <v>3000</v>
      </c>
      <c r="I3" s="657">
        <f>'比较法-商业'!I103</f>
        <v>5000</v>
      </c>
      <c r="J3" s="657"/>
      <c r="K3" s="657"/>
      <c r="L3" s="657"/>
      <c r="M3" s="657"/>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95</v>
      </c>
      <c r="E4" s="657">
        <f>'比较法-商业'!E104</f>
        <v>90</v>
      </c>
      <c r="F4" s="657">
        <f>'比较法-商业'!F104</f>
        <v>88</v>
      </c>
      <c r="G4" s="657">
        <f>'比较法-商业'!G104</f>
        <v>86</v>
      </c>
      <c r="H4" s="657">
        <f>'比较法-商业'!H104</f>
        <v>84</v>
      </c>
      <c r="I4" s="657">
        <f>'比较法-商业'!I104</f>
        <v>82</v>
      </c>
      <c r="J4" s="657"/>
      <c r="K4" s="657"/>
      <c r="L4" s="657"/>
      <c r="M4" s="657"/>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v>1</v>
      </c>
      <c r="D17" s="1010">
        <v>2</v>
      </c>
      <c r="E17" s="1010">
        <v>3</v>
      </c>
      <c r="F17" s="1010">
        <v>4</v>
      </c>
      <c r="G17" s="1010" t="s">
        <v>3447</v>
      </c>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80</v>
      </c>
      <c r="E18" s="1022">
        <v>70</v>
      </c>
      <c r="F18" s="1022">
        <v>70</v>
      </c>
      <c r="G18" s="1022">
        <v>40</v>
      </c>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50835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26187</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19411.939999999999</v>
      </c>
      <c r="C22" s="3761" t="s">
        <v>27</v>
      </c>
      <c r="D22" s="3762"/>
      <c r="E22" s="3762"/>
      <c r="F22" s="3762"/>
      <c r="G22" s="3762"/>
      <c r="H22" s="3762"/>
      <c r="I22" s="3762"/>
      <c r="J22" s="3762"/>
      <c r="K22" s="3762"/>
      <c r="L22" s="3762"/>
      <c r="M22" s="3762"/>
      <c r="N22" s="3762"/>
      <c r="O22" s="3762"/>
      <c r="P22" s="3762"/>
      <c r="Q22" s="3763"/>
      <c r="R22" s="662">
        <f>ROUND(S22*10000/B22,0)</f>
        <v>26187</v>
      </c>
      <c r="S22" s="21">
        <f>SUM(S24:S10000)</f>
        <v>50835</v>
      </c>
      <c r="U22" s="724">
        <f ca="1">ROUND(V22/(B24+B25+B26+B27)*10000,0)</f>
        <v>28735</v>
      </c>
      <c r="V22" s="724">
        <f ca="1">V24+V25+V26+V27</f>
        <v>50629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84" t="s">
        <v>3441</v>
      </c>
      <c r="B24" s="664">
        <f>'数据-取费表'!V28</f>
        <v>3773.9799999999996</v>
      </c>
      <c r="C24" s="2807">
        <v>1</v>
      </c>
      <c r="D24" s="2808"/>
      <c r="E24" s="2807">
        <v>1</v>
      </c>
      <c r="F24" s="2808"/>
      <c r="G24" s="2807">
        <v>1</v>
      </c>
      <c r="H24" s="2808"/>
      <c r="I24" s="2807">
        <v>1</v>
      </c>
      <c r="J24" s="2808"/>
      <c r="K24" s="2807">
        <v>1</v>
      </c>
      <c r="L24" s="2808"/>
      <c r="M24" s="2807">
        <v>1</v>
      </c>
      <c r="N24" s="2808"/>
      <c r="O24" s="2807">
        <v>1</v>
      </c>
      <c r="P24" s="2808">
        <v>1</v>
      </c>
      <c r="Q24" s="2807">
        <v>1</v>
      </c>
      <c r="R24" s="667">
        <f>'比较法-商业'!C49</f>
        <v>34682</v>
      </c>
      <c r="S24" s="665">
        <f t="shared" ref="S24:S54" si="11">ROUND(R24*B24/10000,0)</f>
        <v>13089</v>
      </c>
      <c r="T24" s="729"/>
      <c r="U24" s="729">
        <f ca="1">ROUND(结果表!G19/(典型户型修正!B24+典型户型修正!B25*典型户型修正!Q25+典型户型修正!B26*典型户型修正!Q26+典型户型修正!B27*典型户型修正!Q27+典型户型修正!B28*典型户型修正!Q28)*10000,0)</f>
        <v>36356</v>
      </c>
      <c r="V24" s="729">
        <f ca="1">ROUND(U24*B24/10000,0)</f>
        <v>13721</v>
      </c>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3442</v>
      </c>
      <c r="B25" s="664">
        <f>'数据-取费表'!V29</f>
        <v>4603.1499999999996</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0.8</v>
      </c>
      <c r="R25" s="662">
        <f>IF(B25="",0,ROUND($R$24*C25*E25*G25*I25*K25*M25*O25*Q25,0))</f>
        <v>27746</v>
      </c>
      <c r="S25" s="316">
        <f t="shared" si="11"/>
        <v>12772</v>
      </c>
      <c r="U25" s="724">
        <f ca="1">ROUND($U$24*Q25,0)</f>
        <v>29085</v>
      </c>
      <c r="V25" s="729">
        <f t="shared" ref="V25:V28" ca="1" si="12">ROUND(U25*B25/10000,0)</f>
        <v>13388</v>
      </c>
    </row>
    <row r="26" spans="1:45">
      <c r="A26" s="150" t="s">
        <v>3443</v>
      </c>
      <c r="B26" s="664">
        <f>'数据-取费表'!V30</f>
        <v>4612.1499999999996</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v>3</v>
      </c>
      <c r="Q26" s="21">
        <f t="shared" ref="Q26:Q89" si="20">(SUMIF($17:$17,P26,$18:$18)-SUMIF($17:$17,$P$24,$18:$18)+100)/100</f>
        <v>0.7</v>
      </c>
      <c r="R26" s="662">
        <f t="shared" ref="R26:R89" si="21">IF(B26="",0,ROUND($R$24*C26*E26*G26*I26*K26*M26*O26*Q26,0))</f>
        <v>24277</v>
      </c>
      <c r="S26" s="316">
        <f t="shared" si="11"/>
        <v>11197</v>
      </c>
      <c r="U26" s="724">
        <f t="shared" ref="U26:U28" ca="1" si="22">ROUND($U$24*Q26,0)</f>
        <v>25449</v>
      </c>
      <c r="V26" s="729">
        <f t="shared" ca="1" si="12"/>
        <v>11737</v>
      </c>
    </row>
    <row r="27" spans="1:45">
      <c r="A27" s="150" t="s">
        <v>3444</v>
      </c>
      <c r="B27" s="664">
        <f>'数据-取费表'!V31</f>
        <v>4630</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v>4</v>
      </c>
      <c r="Q27" s="21">
        <f t="shared" si="20"/>
        <v>0.7</v>
      </c>
      <c r="R27" s="662">
        <f t="shared" si="21"/>
        <v>24277</v>
      </c>
      <c r="S27" s="316">
        <f t="shared" si="11"/>
        <v>11240</v>
      </c>
      <c r="U27" s="724">
        <f t="shared" ca="1" si="22"/>
        <v>25449</v>
      </c>
      <c r="V27" s="729">
        <f t="shared" ca="1" si="12"/>
        <v>11783</v>
      </c>
    </row>
    <row r="28" spans="1:45">
      <c r="A28" s="150" t="s">
        <v>3445</v>
      </c>
      <c r="B28" s="664">
        <f>'数据-取费表'!V32</f>
        <v>1792.66</v>
      </c>
      <c r="C28" s="21">
        <f t="shared" si="13"/>
        <v>1.02</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t="s">
        <v>3446</v>
      </c>
      <c r="Q28" s="21">
        <f t="shared" si="20"/>
        <v>0.4</v>
      </c>
      <c r="R28" s="662">
        <f t="shared" si="21"/>
        <v>14150</v>
      </c>
      <c r="S28" s="316">
        <f t="shared" si="11"/>
        <v>2537</v>
      </c>
      <c r="U28" s="724">
        <f t="shared" ca="1" si="22"/>
        <v>14542</v>
      </c>
      <c r="V28" s="729">
        <f t="shared" ca="1" si="12"/>
        <v>2607</v>
      </c>
    </row>
    <row r="29" spans="1:45">
      <c r="A29" s="150"/>
      <c r="B29" s="54"/>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0</v>
      </c>
      <c r="R29" s="662">
        <f t="shared" si="21"/>
        <v>0</v>
      </c>
      <c r="S29" s="316">
        <f t="shared" si="11"/>
        <v>0</v>
      </c>
    </row>
    <row r="30" spans="1:45">
      <c r="A30" s="150"/>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0</v>
      </c>
      <c r="R30" s="662">
        <f t="shared" si="21"/>
        <v>0</v>
      </c>
      <c r="S30" s="316">
        <f t="shared" si="11"/>
        <v>0</v>
      </c>
      <c r="U30" s="724">
        <f ca="1">ROUND(V30/B28*10000,0)</f>
        <v>14543</v>
      </c>
      <c r="V30" s="724">
        <f ca="1">结果表!G19-典型户型修正!V24-典型户型修正!V25-典型户型修正!V26-典型户型修正!V27</f>
        <v>2607</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0</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0</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0</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0</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0</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0</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0</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0</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0</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0</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0</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0</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0</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0</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0</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0</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0</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0</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0</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0</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0</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0</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0</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0</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0</v>
      </c>
      <c r="R55" s="662">
        <f t="shared" si="21"/>
        <v>0</v>
      </c>
      <c r="S55" s="316">
        <f t="shared" ref="S55:S77" si="23">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0</v>
      </c>
      <c r="R56" s="662">
        <f t="shared" si="21"/>
        <v>0</v>
      </c>
      <c r="S56" s="316">
        <f t="shared" si="23"/>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0</v>
      </c>
      <c r="R57" s="662">
        <f t="shared" si="21"/>
        <v>0</v>
      </c>
      <c r="S57" s="316">
        <f t="shared" si="23"/>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0</v>
      </c>
      <c r="R58" s="662">
        <f t="shared" si="21"/>
        <v>0</v>
      </c>
      <c r="S58" s="316">
        <f t="shared" si="23"/>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0</v>
      </c>
      <c r="R59" s="662">
        <f t="shared" si="21"/>
        <v>0</v>
      </c>
      <c r="S59" s="316">
        <f t="shared" si="23"/>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0</v>
      </c>
      <c r="R60" s="662">
        <f t="shared" si="21"/>
        <v>0</v>
      </c>
      <c r="S60" s="316">
        <f t="shared" si="23"/>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0</v>
      </c>
      <c r="R61" s="662">
        <f t="shared" si="21"/>
        <v>0</v>
      </c>
      <c r="S61" s="316">
        <f t="shared" si="23"/>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0</v>
      </c>
      <c r="R62" s="662">
        <f t="shared" si="21"/>
        <v>0</v>
      </c>
      <c r="S62" s="316">
        <f t="shared" si="23"/>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0</v>
      </c>
      <c r="R63" s="662">
        <f t="shared" si="21"/>
        <v>0</v>
      </c>
      <c r="S63" s="316">
        <f t="shared" si="23"/>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0</v>
      </c>
      <c r="R64" s="662">
        <f t="shared" si="21"/>
        <v>0</v>
      </c>
      <c r="S64" s="316">
        <f t="shared" si="23"/>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0</v>
      </c>
      <c r="R65" s="662">
        <f t="shared" si="21"/>
        <v>0</v>
      </c>
      <c r="S65" s="316">
        <f t="shared" si="23"/>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0</v>
      </c>
      <c r="R66" s="662">
        <f t="shared" si="21"/>
        <v>0</v>
      </c>
      <c r="S66" s="316">
        <f t="shared" si="23"/>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0</v>
      </c>
      <c r="R67" s="662">
        <f t="shared" si="21"/>
        <v>0</v>
      </c>
      <c r="S67" s="316">
        <f t="shared" si="23"/>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0</v>
      </c>
      <c r="R68" s="662">
        <f t="shared" si="21"/>
        <v>0</v>
      </c>
      <c r="S68" s="316">
        <f t="shared" si="23"/>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0</v>
      </c>
      <c r="R69" s="662">
        <f t="shared" si="21"/>
        <v>0</v>
      </c>
      <c r="S69" s="316">
        <f t="shared" si="23"/>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0</v>
      </c>
      <c r="R70" s="662">
        <f t="shared" si="21"/>
        <v>0</v>
      </c>
      <c r="S70" s="316">
        <f t="shared" si="23"/>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0</v>
      </c>
      <c r="R71" s="662">
        <f t="shared" si="21"/>
        <v>0</v>
      </c>
      <c r="S71" s="316">
        <f t="shared" si="23"/>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0</v>
      </c>
      <c r="R72" s="662">
        <f t="shared" si="21"/>
        <v>0</v>
      </c>
      <c r="S72" s="316">
        <f t="shared" si="23"/>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0</v>
      </c>
      <c r="R73" s="662">
        <f t="shared" si="21"/>
        <v>0</v>
      </c>
      <c r="S73" s="316">
        <f t="shared" si="23"/>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0</v>
      </c>
      <c r="R74" s="662">
        <f t="shared" si="21"/>
        <v>0</v>
      </c>
      <c r="S74" s="316">
        <f t="shared" si="23"/>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0</v>
      </c>
      <c r="R75" s="662">
        <f t="shared" si="21"/>
        <v>0</v>
      </c>
      <c r="S75" s="316">
        <f t="shared" si="23"/>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0</v>
      </c>
      <c r="R76" s="662">
        <f t="shared" si="21"/>
        <v>0</v>
      </c>
      <c r="S76" s="316">
        <f t="shared" si="23"/>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0</v>
      </c>
      <c r="R77" s="662">
        <f t="shared" si="21"/>
        <v>0</v>
      </c>
      <c r="S77" s="316">
        <f t="shared" si="23"/>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0</v>
      </c>
      <c r="R78" s="662">
        <f t="shared" si="21"/>
        <v>0</v>
      </c>
      <c r="S78" s="316">
        <f t="shared" ref="S78:S122" si="24">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0</v>
      </c>
      <c r="R79" s="662">
        <f t="shared" si="21"/>
        <v>0</v>
      </c>
      <c r="S79" s="316">
        <f t="shared" si="24"/>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0</v>
      </c>
      <c r="R80" s="662">
        <f t="shared" si="21"/>
        <v>0</v>
      </c>
      <c r="S80" s="316">
        <f t="shared" si="24"/>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0</v>
      </c>
      <c r="R81" s="662">
        <f t="shared" si="21"/>
        <v>0</v>
      </c>
      <c r="S81" s="316">
        <f t="shared" si="24"/>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0</v>
      </c>
      <c r="R82" s="662">
        <f t="shared" si="21"/>
        <v>0</v>
      </c>
      <c r="S82" s="316">
        <f t="shared" si="24"/>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0</v>
      </c>
      <c r="R83" s="662">
        <f t="shared" si="21"/>
        <v>0</v>
      </c>
      <c r="S83" s="316">
        <f t="shared" si="24"/>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0</v>
      </c>
      <c r="R84" s="662">
        <f t="shared" si="21"/>
        <v>0</v>
      </c>
      <c r="S84" s="316">
        <f t="shared" si="24"/>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0</v>
      </c>
      <c r="R85" s="662">
        <f t="shared" si="21"/>
        <v>0</v>
      </c>
      <c r="S85" s="316">
        <f t="shared" si="24"/>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0</v>
      </c>
      <c r="R86" s="662">
        <f t="shared" si="21"/>
        <v>0</v>
      </c>
      <c r="S86" s="316">
        <f t="shared" si="24"/>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0</v>
      </c>
      <c r="R87" s="662">
        <f t="shared" si="21"/>
        <v>0</v>
      </c>
      <c r="S87" s="316">
        <f t="shared" si="24"/>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0</v>
      </c>
      <c r="R88" s="662">
        <f t="shared" si="21"/>
        <v>0</v>
      </c>
      <c r="S88" s="316">
        <f t="shared" si="24"/>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0</v>
      </c>
      <c r="R89" s="662">
        <f t="shared" si="21"/>
        <v>0</v>
      </c>
      <c r="S89" s="316">
        <f t="shared" si="24"/>
        <v>0</v>
      </c>
    </row>
    <row r="90" spans="1:19">
      <c r="A90" s="150"/>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0</v>
      </c>
      <c r="R90" s="662">
        <f t="shared" ref="R90:R153" si="33">IF(B90="",0,ROUND($R$24*C90*E90*G90*I90*K90*M90*O90*Q90,0))</f>
        <v>0</v>
      </c>
      <c r="S90" s="316">
        <f t="shared" si="24"/>
        <v>0</v>
      </c>
    </row>
    <row r="91" spans="1:19">
      <c r="A91" s="150"/>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0</v>
      </c>
      <c r="R91" s="662">
        <f t="shared" si="33"/>
        <v>0</v>
      </c>
      <c r="S91" s="316">
        <f t="shared" si="24"/>
        <v>0</v>
      </c>
    </row>
    <row r="92" spans="1:19">
      <c r="A92" s="150"/>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0</v>
      </c>
      <c r="R92" s="662">
        <f t="shared" si="33"/>
        <v>0</v>
      </c>
      <c r="S92" s="316">
        <f t="shared" si="24"/>
        <v>0</v>
      </c>
    </row>
    <row r="93" spans="1:19">
      <c r="A93" s="150"/>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0</v>
      </c>
      <c r="R93" s="662">
        <f t="shared" si="33"/>
        <v>0</v>
      </c>
      <c r="S93" s="316">
        <f t="shared" si="24"/>
        <v>0</v>
      </c>
    </row>
    <row r="94" spans="1:19">
      <c r="A94" s="150"/>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0</v>
      </c>
      <c r="R94" s="662">
        <f t="shared" si="33"/>
        <v>0</v>
      </c>
      <c r="S94" s="316">
        <f t="shared" si="24"/>
        <v>0</v>
      </c>
    </row>
    <row r="95" spans="1:19">
      <c r="A95" s="150"/>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0</v>
      </c>
      <c r="R95" s="662">
        <f t="shared" si="33"/>
        <v>0</v>
      </c>
      <c r="S95" s="316">
        <f t="shared" si="24"/>
        <v>0</v>
      </c>
    </row>
    <row r="96" spans="1:19">
      <c r="A96" s="150"/>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0</v>
      </c>
      <c r="R96" s="662">
        <f t="shared" si="33"/>
        <v>0</v>
      </c>
      <c r="S96" s="316">
        <f t="shared" si="24"/>
        <v>0</v>
      </c>
    </row>
    <row r="97" spans="1:19">
      <c r="A97" s="150"/>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0</v>
      </c>
      <c r="R97" s="662">
        <f t="shared" si="33"/>
        <v>0</v>
      </c>
      <c r="S97" s="316">
        <f t="shared" si="24"/>
        <v>0</v>
      </c>
    </row>
    <row r="98" spans="1:19">
      <c r="A98" s="150"/>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0</v>
      </c>
      <c r="R98" s="662">
        <f t="shared" si="33"/>
        <v>0</v>
      </c>
      <c r="S98" s="316">
        <f t="shared" si="24"/>
        <v>0</v>
      </c>
    </row>
    <row r="99" spans="1:19">
      <c r="A99" s="150"/>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0</v>
      </c>
      <c r="R99" s="662">
        <f t="shared" si="33"/>
        <v>0</v>
      </c>
      <c r="S99" s="316">
        <f t="shared" si="24"/>
        <v>0</v>
      </c>
    </row>
    <row r="100" spans="1:19">
      <c r="A100" s="150"/>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0</v>
      </c>
      <c r="R100" s="662">
        <f t="shared" si="33"/>
        <v>0</v>
      </c>
      <c r="S100" s="316">
        <f t="shared" si="24"/>
        <v>0</v>
      </c>
    </row>
    <row r="101" spans="1:19">
      <c r="A101" s="150"/>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0</v>
      </c>
      <c r="R101" s="662">
        <f t="shared" si="33"/>
        <v>0</v>
      </c>
      <c r="S101" s="316">
        <f t="shared" si="24"/>
        <v>0</v>
      </c>
    </row>
    <row r="102" spans="1:19">
      <c r="A102" s="150"/>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0</v>
      </c>
      <c r="R102" s="662">
        <f t="shared" si="33"/>
        <v>0</v>
      </c>
      <c r="S102" s="316">
        <f t="shared" si="24"/>
        <v>0</v>
      </c>
    </row>
    <row r="103" spans="1:19">
      <c r="A103" s="150"/>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0</v>
      </c>
      <c r="R103" s="662">
        <f t="shared" si="33"/>
        <v>0</v>
      </c>
      <c r="S103" s="316">
        <f t="shared" si="24"/>
        <v>0</v>
      </c>
    </row>
    <row r="104" spans="1:19">
      <c r="A104" s="150"/>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0</v>
      </c>
      <c r="R104" s="662">
        <f t="shared" si="33"/>
        <v>0</v>
      </c>
      <c r="S104" s="316">
        <f t="shared" si="24"/>
        <v>0</v>
      </c>
    </row>
    <row r="105" spans="1:19">
      <c r="A105" s="150"/>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0</v>
      </c>
      <c r="R105" s="662">
        <f t="shared" si="33"/>
        <v>0</v>
      </c>
      <c r="S105" s="316">
        <f t="shared" si="24"/>
        <v>0</v>
      </c>
    </row>
    <row r="106" spans="1:19">
      <c r="A106" s="150"/>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0</v>
      </c>
      <c r="R106" s="662">
        <f t="shared" si="33"/>
        <v>0</v>
      </c>
      <c r="S106" s="316">
        <f t="shared" si="24"/>
        <v>0</v>
      </c>
    </row>
    <row r="107" spans="1:19">
      <c r="A107" s="150"/>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0</v>
      </c>
      <c r="R107" s="662">
        <f t="shared" si="33"/>
        <v>0</v>
      </c>
      <c r="S107" s="316">
        <f t="shared" si="24"/>
        <v>0</v>
      </c>
    </row>
    <row r="108" spans="1:19">
      <c r="A108" s="150"/>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0</v>
      </c>
      <c r="R108" s="662">
        <f t="shared" si="33"/>
        <v>0</v>
      </c>
      <c r="S108" s="316">
        <f t="shared" si="24"/>
        <v>0</v>
      </c>
    </row>
    <row r="109" spans="1:19">
      <c r="A109" s="150"/>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0</v>
      </c>
      <c r="R109" s="662">
        <f t="shared" si="33"/>
        <v>0</v>
      </c>
      <c r="S109" s="316">
        <f t="shared" si="24"/>
        <v>0</v>
      </c>
    </row>
    <row r="110" spans="1:19">
      <c r="A110" s="150"/>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0</v>
      </c>
      <c r="R110" s="662">
        <f t="shared" si="33"/>
        <v>0</v>
      </c>
      <c r="S110" s="316">
        <f t="shared" si="24"/>
        <v>0</v>
      </c>
    </row>
    <row r="111" spans="1:19">
      <c r="A111" s="150"/>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0</v>
      </c>
      <c r="R111" s="662">
        <f t="shared" si="33"/>
        <v>0</v>
      </c>
      <c r="S111" s="316">
        <f t="shared" si="24"/>
        <v>0</v>
      </c>
    </row>
    <row r="112" spans="1:19">
      <c r="A112" s="150"/>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0</v>
      </c>
      <c r="R112" s="662">
        <f t="shared" si="33"/>
        <v>0</v>
      </c>
      <c r="S112" s="316">
        <f t="shared" si="24"/>
        <v>0</v>
      </c>
    </row>
    <row r="113" spans="1:19">
      <c r="A113" s="150"/>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0</v>
      </c>
      <c r="R113" s="662">
        <f t="shared" si="33"/>
        <v>0</v>
      </c>
      <c r="S113" s="316">
        <f t="shared" si="24"/>
        <v>0</v>
      </c>
    </row>
    <row r="114" spans="1:19">
      <c r="A114" s="150"/>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0</v>
      </c>
      <c r="R114" s="662">
        <f t="shared" si="33"/>
        <v>0</v>
      </c>
      <c r="S114" s="316">
        <f t="shared" si="24"/>
        <v>0</v>
      </c>
    </row>
    <row r="115" spans="1:19">
      <c r="A115" s="150"/>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0</v>
      </c>
      <c r="R115" s="662">
        <f t="shared" si="33"/>
        <v>0</v>
      </c>
      <c r="S115" s="316">
        <f t="shared" si="24"/>
        <v>0</v>
      </c>
    </row>
    <row r="116" spans="1:19">
      <c r="A116" s="150"/>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0</v>
      </c>
      <c r="R116" s="662">
        <f t="shared" si="33"/>
        <v>0</v>
      </c>
      <c r="S116" s="316">
        <f t="shared" si="24"/>
        <v>0</v>
      </c>
    </row>
    <row r="117" spans="1:19">
      <c r="A117" s="150"/>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0</v>
      </c>
      <c r="R117" s="662">
        <f t="shared" si="33"/>
        <v>0</v>
      </c>
      <c r="S117" s="316">
        <f t="shared" si="24"/>
        <v>0</v>
      </c>
    </row>
    <row r="118" spans="1:19">
      <c r="A118" s="150"/>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0</v>
      </c>
      <c r="R118" s="662">
        <f t="shared" si="33"/>
        <v>0</v>
      </c>
      <c r="S118" s="316">
        <f t="shared" si="24"/>
        <v>0</v>
      </c>
    </row>
    <row r="119" spans="1:19">
      <c r="A119" s="150"/>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0</v>
      </c>
      <c r="R119" s="662">
        <f t="shared" si="33"/>
        <v>0</v>
      </c>
      <c r="S119" s="316">
        <f t="shared" si="24"/>
        <v>0</v>
      </c>
    </row>
    <row r="120" spans="1:19">
      <c r="A120" s="150"/>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0</v>
      </c>
      <c r="R120" s="662">
        <f t="shared" si="33"/>
        <v>0</v>
      </c>
      <c r="S120" s="316">
        <f t="shared" si="24"/>
        <v>0</v>
      </c>
    </row>
    <row r="121" spans="1:19">
      <c r="A121" s="150"/>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0</v>
      </c>
      <c r="R121" s="662">
        <f t="shared" si="33"/>
        <v>0</v>
      </c>
      <c r="S121" s="316">
        <f t="shared" si="24"/>
        <v>0</v>
      </c>
    </row>
    <row r="122" spans="1:19">
      <c r="A122" s="150"/>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0</v>
      </c>
      <c r="R122" s="662">
        <f t="shared" si="33"/>
        <v>0</v>
      </c>
      <c r="S122" s="316">
        <f t="shared" si="24"/>
        <v>0</v>
      </c>
    </row>
    <row r="123" spans="1:19">
      <c r="A123" s="150"/>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0</v>
      </c>
      <c r="R123" s="662">
        <f t="shared" si="33"/>
        <v>0</v>
      </c>
      <c r="S123" s="316">
        <f t="shared" ref="S123:S186" si="34">ROUND(R123*B123/10000,0)</f>
        <v>0</v>
      </c>
    </row>
    <row r="124" spans="1:19">
      <c r="A124" s="150"/>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0</v>
      </c>
      <c r="R124" s="662">
        <f t="shared" si="33"/>
        <v>0</v>
      </c>
      <c r="S124" s="316">
        <f t="shared" si="34"/>
        <v>0</v>
      </c>
    </row>
    <row r="125" spans="1:19">
      <c r="A125" s="150"/>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0</v>
      </c>
      <c r="R125" s="662">
        <f t="shared" si="33"/>
        <v>0</v>
      </c>
      <c r="S125" s="316">
        <f t="shared" si="34"/>
        <v>0</v>
      </c>
    </row>
    <row r="126" spans="1:19">
      <c r="A126" s="150"/>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0</v>
      </c>
      <c r="R126" s="662">
        <f t="shared" si="33"/>
        <v>0</v>
      </c>
      <c r="S126" s="316">
        <f t="shared" si="34"/>
        <v>0</v>
      </c>
    </row>
    <row r="127" spans="1:19">
      <c r="A127" s="150"/>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0</v>
      </c>
      <c r="R127" s="662">
        <f t="shared" si="33"/>
        <v>0</v>
      </c>
      <c r="S127" s="316">
        <f t="shared" si="34"/>
        <v>0</v>
      </c>
    </row>
    <row r="128" spans="1:19">
      <c r="A128" s="150"/>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0</v>
      </c>
      <c r="R128" s="662">
        <f t="shared" si="33"/>
        <v>0</v>
      </c>
      <c r="S128" s="316">
        <f t="shared" si="34"/>
        <v>0</v>
      </c>
    </row>
    <row r="129" spans="1:19">
      <c r="A129" s="150"/>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0</v>
      </c>
      <c r="R129" s="662">
        <f t="shared" si="33"/>
        <v>0</v>
      </c>
      <c r="S129" s="316">
        <f t="shared" si="34"/>
        <v>0</v>
      </c>
    </row>
    <row r="130" spans="1:19">
      <c r="A130" s="150"/>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0</v>
      </c>
      <c r="R130" s="662">
        <f t="shared" si="33"/>
        <v>0</v>
      </c>
      <c r="S130" s="316">
        <f t="shared" si="34"/>
        <v>0</v>
      </c>
    </row>
    <row r="131" spans="1:19">
      <c r="A131" s="150"/>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0</v>
      </c>
      <c r="R131" s="662">
        <f t="shared" si="33"/>
        <v>0</v>
      </c>
      <c r="S131" s="316">
        <f t="shared" si="34"/>
        <v>0</v>
      </c>
    </row>
    <row r="132" spans="1:19">
      <c r="A132" s="150"/>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0</v>
      </c>
      <c r="R132" s="662">
        <f t="shared" si="33"/>
        <v>0</v>
      </c>
      <c r="S132" s="316">
        <f t="shared" si="34"/>
        <v>0</v>
      </c>
    </row>
    <row r="133" spans="1:19">
      <c r="A133" s="150"/>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0</v>
      </c>
      <c r="R133" s="662">
        <f t="shared" si="33"/>
        <v>0</v>
      </c>
      <c r="S133" s="316">
        <f t="shared" si="34"/>
        <v>0</v>
      </c>
    </row>
    <row r="134" spans="1:19">
      <c r="A134" s="150"/>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0</v>
      </c>
      <c r="R134" s="662">
        <f t="shared" si="33"/>
        <v>0</v>
      </c>
      <c r="S134" s="316">
        <f t="shared" si="34"/>
        <v>0</v>
      </c>
    </row>
    <row r="135" spans="1:19">
      <c r="A135" s="150"/>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0</v>
      </c>
      <c r="R135" s="662">
        <f t="shared" si="33"/>
        <v>0</v>
      </c>
      <c r="S135" s="316">
        <f t="shared" si="34"/>
        <v>0</v>
      </c>
    </row>
    <row r="136" spans="1:19">
      <c r="A136" s="150"/>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0</v>
      </c>
      <c r="R136" s="662">
        <f t="shared" si="33"/>
        <v>0</v>
      </c>
      <c r="S136" s="316">
        <f t="shared" si="34"/>
        <v>0</v>
      </c>
    </row>
    <row r="137" spans="1:19">
      <c r="A137" s="150"/>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0</v>
      </c>
      <c r="R137" s="662">
        <f t="shared" si="33"/>
        <v>0</v>
      </c>
      <c r="S137" s="316">
        <f t="shared" si="34"/>
        <v>0</v>
      </c>
    </row>
    <row r="138" spans="1:19">
      <c r="A138" s="150"/>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0</v>
      </c>
      <c r="R138" s="662">
        <f t="shared" si="33"/>
        <v>0</v>
      </c>
      <c r="S138" s="316">
        <f t="shared" si="34"/>
        <v>0</v>
      </c>
    </row>
    <row r="139" spans="1:19">
      <c r="A139" s="150"/>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0</v>
      </c>
      <c r="R139" s="662">
        <f t="shared" si="33"/>
        <v>0</v>
      </c>
      <c r="S139" s="316">
        <f t="shared" si="34"/>
        <v>0</v>
      </c>
    </row>
    <row r="140" spans="1:19">
      <c r="A140" s="150"/>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0</v>
      </c>
      <c r="R140" s="662">
        <f t="shared" si="33"/>
        <v>0</v>
      </c>
      <c r="S140" s="316">
        <f t="shared" si="34"/>
        <v>0</v>
      </c>
    </row>
    <row r="141" spans="1:19">
      <c r="A141" s="150"/>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0</v>
      </c>
      <c r="R141" s="662">
        <f t="shared" si="33"/>
        <v>0</v>
      </c>
      <c r="S141" s="316">
        <f t="shared" si="34"/>
        <v>0</v>
      </c>
    </row>
    <row r="142" spans="1:19">
      <c r="A142" s="150"/>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0</v>
      </c>
      <c r="R142" s="662">
        <f t="shared" si="33"/>
        <v>0</v>
      </c>
      <c r="S142" s="316">
        <f t="shared" si="34"/>
        <v>0</v>
      </c>
    </row>
    <row r="143" spans="1:19">
      <c r="A143" s="150"/>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0</v>
      </c>
      <c r="R143" s="662">
        <f t="shared" si="33"/>
        <v>0</v>
      </c>
      <c r="S143" s="316">
        <f t="shared" si="34"/>
        <v>0</v>
      </c>
    </row>
    <row r="144" spans="1:19">
      <c r="A144" s="150"/>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0</v>
      </c>
      <c r="R144" s="662">
        <f t="shared" si="33"/>
        <v>0</v>
      </c>
      <c r="S144" s="316">
        <f t="shared" si="34"/>
        <v>0</v>
      </c>
    </row>
    <row r="145" spans="1:19">
      <c r="A145" s="150"/>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0</v>
      </c>
      <c r="R145" s="662">
        <f t="shared" si="33"/>
        <v>0</v>
      </c>
      <c r="S145" s="316">
        <f t="shared" si="34"/>
        <v>0</v>
      </c>
    </row>
    <row r="146" spans="1:19">
      <c r="A146" s="150"/>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0</v>
      </c>
      <c r="R146" s="662">
        <f t="shared" si="33"/>
        <v>0</v>
      </c>
      <c r="S146" s="316">
        <f t="shared" si="34"/>
        <v>0</v>
      </c>
    </row>
    <row r="147" spans="1:19">
      <c r="A147" s="150"/>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0</v>
      </c>
      <c r="R147" s="662">
        <f t="shared" si="33"/>
        <v>0</v>
      </c>
      <c r="S147" s="316">
        <f t="shared" si="34"/>
        <v>0</v>
      </c>
    </row>
    <row r="148" spans="1:19">
      <c r="A148" s="150"/>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0</v>
      </c>
      <c r="R148" s="662">
        <f t="shared" si="33"/>
        <v>0</v>
      </c>
      <c r="S148" s="316">
        <f t="shared" si="34"/>
        <v>0</v>
      </c>
    </row>
    <row r="149" spans="1:19">
      <c r="A149" s="150"/>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0</v>
      </c>
      <c r="R149" s="662">
        <f t="shared" si="33"/>
        <v>0</v>
      </c>
      <c r="S149" s="316">
        <f t="shared" si="34"/>
        <v>0</v>
      </c>
    </row>
    <row r="150" spans="1:19">
      <c r="A150" s="150"/>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0</v>
      </c>
      <c r="R150" s="662">
        <f t="shared" si="33"/>
        <v>0</v>
      </c>
      <c r="S150" s="316">
        <f t="shared" si="34"/>
        <v>0</v>
      </c>
    </row>
    <row r="151" spans="1:19">
      <c r="A151" s="150"/>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0</v>
      </c>
      <c r="R151" s="662">
        <f t="shared" si="33"/>
        <v>0</v>
      </c>
      <c r="S151" s="316">
        <f t="shared" si="34"/>
        <v>0</v>
      </c>
    </row>
    <row r="152" spans="1:19">
      <c r="A152" s="150"/>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0</v>
      </c>
      <c r="R152" s="662">
        <f t="shared" si="33"/>
        <v>0</v>
      </c>
      <c r="S152" s="316">
        <f t="shared" si="34"/>
        <v>0</v>
      </c>
    </row>
    <row r="153" spans="1:19">
      <c r="A153" s="150"/>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0</v>
      </c>
      <c r="R153" s="662">
        <f t="shared" si="33"/>
        <v>0</v>
      </c>
      <c r="S153" s="316">
        <f t="shared" si="34"/>
        <v>0</v>
      </c>
    </row>
    <row r="154" spans="1:19">
      <c r="A154" s="150"/>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0</v>
      </c>
      <c r="R154" s="662">
        <f t="shared" ref="R154:R217" si="43">IF(B154="",0,ROUND($R$24*C154*E154*G154*I154*K154*M154*O154*Q154,0))</f>
        <v>0</v>
      </c>
      <c r="S154" s="316">
        <f t="shared" si="34"/>
        <v>0</v>
      </c>
    </row>
    <row r="155" spans="1:19">
      <c r="A155" s="150"/>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0</v>
      </c>
      <c r="R155" s="662">
        <f t="shared" si="43"/>
        <v>0</v>
      </c>
      <c r="S155" s="316">
        <f t="shared" si="34"/>
        <v>0</v>
      </c>
    </row>
    <row r="156" spans="1:19">
      <c r="A156" s="150"/>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0</v>
      </c>
      <c r="R156" s="662">
        <f t="shared" si="43"/>
        <v>0</v>
      </c>
      <c r="S156" s="316">
        <f t="shared" si="34"/>
        <v>0</v>
      </c>
    </row>
    <row r="157" spans="1:19">
      <c r="A157" s="150"/>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0</v>
      </c>
      <c r="R157" s="662">
        <f t="shared" si="43"/>
        <v>0</v>
      </c>
      <c r="S157" s="316">
        <f t="shared" si="34"/>
        <v>0</v>
      </c>
    </row>
    <row r="158" spans="1:19">
      <c r="A158" s="150"/>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0</v>
      </c>
      <c r="R158" s="662">
        <f t="shared" si="43"/>
        <v>0</v>
      </c>
      <c r="S158" s="316">
        <f t="shared" si="34"/>
        <v>0</v>
      </c>
    </row>
    <row r="159" spans="1:19">
      <c r="A159" s="150"/>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0</v>
      </c>
      <c r="R159" s="662">
        <f t="shared" si="43"/>
        <v>0</v>
      </c>
      <c r="S159" s="316">
        <f t="shared" si="34"/>
        <v>0</v>
      </c>
    </row>
    <row r="160" spans="1:19">
      <c r="A160" s="150"/>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0</v>
      </c>
      <c r="R160" s="662">
        <f t="shared" si="43"/>
        <v>0</v>
      </c>
      <c r="S160" s="316">
        <f t="shared" si="34"/>
        <v>0</v>
      </c>
    </row>
    <row r="161" spans="1:19">
      <c r="A161" s="150"/>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0</v>
      </c>
      <c r="R161" s="662">
        <f t="shared" si="43"/>
        <v>0</v>
      </c>
      <c r="S161" s="316">
        <f t="shared" si="34"/>
        <v>0</v>
      </c>
    </row>
    <row r="162" spans="1:19">
      <c r="A162" s="150"/>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0</v>
      </c>
      <c r="R162" s="662">
        <f t="shared" si="43"/>
        <v>0</v>
      </c>
      <c r="S162" s="316">
        <f t="shared" si="34"/>
        <v>0</v>
      </c>
    </row>
    <row r="163" spans="1:19">
      <c r="A163" s="150"/>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0</v>
      </c>
      <c r="R163" s="662">
        <f t="shared" si="43"/>
        <v>0</v>
      </c>
      <c r="S163" s="316">
        <f t="shared" si="34"/>
        <v>0</v>
      </c>
    </row>
    <row r="164" spans="1:19">
      <c r="A164" s="150"/>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0</v>
      </c>
      <c r="R164" s="662">
        <f t="shared" si="43"/>
        <v>0</v>
      </c>
      <c r="S164" s="316">
        <f t="shared" si="34"/>
        <v>0</v>
      </c>
    </row>
    <row r="165" spans="1:19">
      <c r="A165" s="150"/>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0</v>
      </c>
      <c r="R165" s="662">
        <f t="shared" si="43"/>
        <v>0</v>
      </c>
      <c r="S165" s="316">
        <f t="shared" si="34"/>
        <v>0</v>
      </c>
    </row>
    <row r="166" spans="1:19">
      <c r="A166" s="150"/>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0</v>
      </c>
      <c r="R166" s="662">
        <f t="shared" si="43"/>
        <v>0</v>
      </c>
      <c r="S166" s="316">
        <f t="shared" si="34"/>
        <v>0</v>
      </c>
    </row>
    <row r="167" spans="1:19">
      <c r="A167" s="150"/>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0</v>
      </c>
      <c r="R167" s="662">
        <f t="shared" si="43"/>
        <v>0</v>
      </c>
      <c r="S167" s="316">
        <f t="shared" si="34"/>
        <v>0</v>
      </c>
    </row>
    <row r="168" spans="1:19">
      <c r="A168" s="150"/>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0</v>
      </c>
      <c r="R168" s="662">
        <f t="shared" si="43"/>
        <v>0</v>
      </c>
      <c r="S168" s="316">
        <f t="shared" si="34"/>
        <v>0</v>
      </c>
    </row>
    <row r="169" spans="1:19">
      <c r="A169" s="150"/>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0</v>
      </c>
      <c r="R169" s="662">
        <f t="shared" si="43"/>
        <v>0</v>
      </c>
      <c r="S169" s="316">
        <f t="shared" si="34"/>
        <v>0</v>
      </c>
    </row>
    <row r="170" spans="1:19">
      <c r="A170" s="150"/>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0</v>
      </c>
      <c r="R170" s="662">
        <f t="shared" si="43"/>
        <v>0</v>
      </c>
      <c r="S170" s="316">
        <f t="shared" si="34"/>
        <v>0</v>
      </c>
    </row>
    <row r="171" spans="1:19">
      <c r="A171" s="150"/>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0</v>
      </c>
      <c r="R171" s="662">
        <f t="shared" si="43"/>
        <v>0</v>
      </c>
      <c r="S171" s="316">
        <f t="shared" si="34"/>
        <v>0</v>
      </c>
    </row>
    <row r="172" spans="1:19">
      <c r="A172" s="150"/>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0</v>
      </c>
      <c r="R172" s="662">
        <f t="shared" si="43"/>
        <v>0</v>
      </c>
      <c r="S172" s="316">
        <f t="shared" si="34"/>
        <v>0</v>
      </c>
    </row>
    <row r="173" spans="1:19">
      <c r="A173" s="150"/>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0</v>
      </c>
      <c r="R173" s="662">
        <f t="shared" si="43"/>
        <v>0</v>
      </c>
      <c r="S173" s="316">
        <f t="shared" si="34"/>
        <v>0</v>
      </c>
    </row>
    <row r="174" spans="1:19">
      <c r="A174" s="150"/>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0</v>
      </c>
      <c r="R174" s="662">
        <f t="shared" si="43"/>
        <v>0</v>
      </c>
      <c r="S174" s="316">
        <f t="shared" si="34"/>
        <v>0</v>
      </c>
    </row>
    <row r="175" spans="1:19">
      <c r="A175" s="150"/>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0</v>
      </c>
      <c r="R175" s="662">
        <f t="shared" si="43"/>
        <v>0</v>
      </c>
      <c r="S175" s="316">
        <f t="shared" si="34"/>
        <v>0</v>
      </c>
    </row>
    <row r="176" spans="1:19">
      <c r="A176" s="150"/>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0</v>
      </c>
      <c r="R176" s="662">
        <f t="shared" si="43"/>
        <v>0</v>
      </c>
      <c r="S176" s="316">
        <f t="shared" si="34"/>
        <v>0</v>
      </c>
    </row>
    <row r="177" spans="1:19">
      <c r="A177" s="150"/>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0</v>
      </c>
      <c r="R177" s="662">
        <f t="shared" si="43"/>
        <v>0</v>
      </c>
      <c r="S177" s="316">
        <f t="shared" si="34"/>
        <v>0</v>
      </c>
    </row>
    <row r="178" spans="1:19">
      <c r="A178" s="150"/>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0</v>
      </c>
      <c r="R178" s="662">
        <f t="shared" si="43"/>
        <v>0</v>
      </c>
      <c r="S178" s="316">
        <f t="shared" si="34"/>
        <v>0</v>
      </c>
    </row>
    <row r="179" spans="1:19">
      <c r="A179" s="150"/>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0</v>
      </c>
      <c r="R179" s="662">
        <f t="shared" si="43"/>
        <v>0</v>
      </c>
      <c r="S179" s="316">
        <f t="shared" si="34"/>
        <v>0</v>
      </c>
    </row>
    <row r="180" spans="1:19">
      <c r="A180" s="150"/>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0</v>
      </c>
      <c r="R180" s="662">
        <f t="shared" si="43"/>
        <v>0</v>
      </c>
      <c r="S180" s="316">
        <f t="shared" si="34"/>
        <v>0</v>
      </c>
    </row>
    <row r="181" spans="1:19">
      <c r="A181" s="150"/>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0</v>
      </c>
      <c r="R181" s="662">
        <f t="shared" si="43"/>
        <v>0</v>
      </c>
      <c r="S181" s="316">
        <f t="shared" si="34"/>
        <v>0</v>
      </c>
    </row>
    <row r="182" spans="1:19">
      <c r="A182" s="150"/>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0</v>
      </c>
      <c r="R182" s="662">
        <f t="shared" si="43"/>
        <v>0</v>
      </c>
      <c r="S182" s="316">
        <f t="shared" si="34"/>
        <v>0</v>
      </c>
    </row>
    <row r="183" spans="1:19">
      <c r="A183" s="150"/>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0</v>
      </c>
      <c r="R183" s="662">
        <f t="shared" si="43"/>
        <v>0</v>
      </c>
      <c r="S183" s="316">
        <f t="shared" si="34"/>
        <v>0</v>
      </c>
    </row>
    <row r="184" spans="1:19">
      <c r="A184" s="150"/>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0</v>
      </c>
      <c r="R184" s="662">
        <f t="shared" si="43"/>
        <v>0</v>
      </c>
      <c r="S184" s="316">
        <f t="shared" si="34"/>
        <v>0</v>
      </c>
    </row>
    <row r="185" spans="1:19">
      <c r="A185" s="150"/>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0</v>
      </c>
      <c r="R185" s="662">
        <f t="shared" si="43"/>
        <v>0</v>
      </c>
      <c r="S185" s="316">
        <f t="shared" si="34"/>
        <v>0</v>
      </c>
    </row>
    <row r="186" spans="1:19">
      <c r="A186" s="150"/>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0</v>
      </c>
      <c r="R186" s="662">
        <f t="shared" si="43"/>
        <v>0</v>
      </c>
      <c r="S186" s="316">
        <f t="shared" si="34"/>
        <v>0</v>
      </c>
    </row>
    <row r="187" spans="1:19">
      <c r="A187" s="150"/>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0</v>
      </c>
      <c r="R187" s="662">
        <f t="shared" si="43"/>
        <v>0</v>
      </c>
      <c r="S187" s="316">
        <f t="shared" ref="S187:S222" si="44">ROUND(R187*B187/10000,0)</f>
        <v>0</v>
      </c>
    </row>
    <row r="188" spans="1:19">
      <c r="A188" s="150"/>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0</v>
      </c>
      <c r="R188" s="662">
        <f t="shared" si="43"/>
        <v>0</v>
      </c>
      <c r="S188" s="316">
        <f t="shared" si="44"/>
        <v>0</v>
      </c>
    </row>
    <row r="189" spans="1:19">
      <c r="A189" s="150"/>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0</v>
      </c>
      <c r="R189" s="662">
        <f t="shared" si="43"/>
        <v>0</v>
      </c>
      <c r="S189" s="316">
        <f t="shared" si="44"/>
        <v>0</v>
      </c>
    </row>
    <row r="190" spans="1:19">
      <c r="A190" s="150"/>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0</v>
      </c>
      <c r="R190" s="662">
        <f t="shared" si="43"/>
        <v>0</v>
      </c>
      <c r="S190" s="316">
        <f t="shared" si="44"/>
        <v>0</v>
      </c>
    </row>
    <row r="191" spans="1:19">
      <c r="A191" s="150"/>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0</v>
      </c>
      <c r="R191" s="662">
        <f t="shared" si="43"/>
        <v>0</v>
      </c>
      <c r="S191" s="316">
        <f t="shared" si="44"/>
        <v>0</v>
      </c>
    </row>
    <row r="192" spans="1:19">
      <c r="A192" s="150"/>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0</v>
      </c>
      <c r="R192" s="662">
        <f t="shared" si="43"/>
        <v>0</v>
      </c>
      <c r="S192" s="316">
        <f t="shared" si="44"/>
        <v>0</v>
      </c>
    </row>
    <row r="193" spans="1:19">
      <c r="A193" s="150"/>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0</v>
      </c>
      <c r="R193" s="662">
        <f t="shared" si="43"/>
        <v>0</v>
      </c>
      <c r="S193" s="316">
        <f t="shared" si="44"/>
        <v>0</v>
      </c>
    </row>
    <row r="194" spans="1:19">
      <c r="A194" s="150"/>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0</v>
      </c>
      <c r="R194" s="662">
        <f t="shared" si="43"/>
        <v>0</v>
      </c>
      <c r="S194" s="316">
        <f t="shared" si="44"/>
        <v>0</v>
      </c>
    </row>
    <row r="195" spans="1:19">
      <c r="A195" s="150"/>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0</v>
      </c>
      <c r="R195" s="662">
        <f t="shared" si="43"/>
        <v>0</v>
      </c>
      <c r="S195" s="316">
        <f t="shared" si="44"/>
        <v>0</v>
      </c>
    </row>
    <row r="196" spans="1:19">
      <c r="A196" s="150"/>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0</v>
      </c>
      <c r="R196" s="662">
        <f t="shared" si="43"/>
        <v>0</v>
      </c>
      <c r="S196" s="316">
        <f t="shared" si="44"/>
        <v>0</v>
      </c>
    </row>
    <row r="197" spans="1:19">
      <c r="A197" s="150"/>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0</v>
      </c>
      <c r="R197" s="662">
        <f t="shared" si="43"/>
        <v>0</v>
      </c>
      <c r="S197" s="316">
        <f t="shared" si="44"/>
        <v>0</v>
      </c>
    </row>
    <row r="198" spans="1:19">
      <c r="A198" s="150"/>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0</v>
      </c>
      <c r="R198" s="662">
        <f t="shared" si="43"/>
        <v>0</v>
      </c>
      <c r="S198" s="316">
        <f t="shared" si="44"/>
        <v>0</v>
      </c>
    </row>
    <row r="199" spans="1:19">
      <c r="A199" s="150"/>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0</v>
      </c>
      <c r="R199" s="662">
        <f t="shared" si="43"/>
        <v>0</v>
      </c>
      <c r="S199" s="316">
        <f t="shared" si="44"/>
        <v>0</v>
      </c>
    </row>
    <row r="200" spans="1:19">
      <c r="A200" s="150"/>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0</v>
      </c>
      <c r="R200" s="662">
        <f t="shared" si="43"/>
        <v>0</v>
      </c>
      <c r="S200" s="316">
        <f t="shared" si="44"/>
        <v>0</v>
      </c>
    </row>
    <row r="201" spans="1:19">
      <c r="A201" s="150"/>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0</v>
      </c>
      <c r="R201" s="662">
        <f t="shared" si="43"/>
        <v>0</v>
      </c>
      <c r="S201" s="316">
        <f t="shared" si="44"/>
        <v>0</v>
      </c>
    </row>
    <row r="202" spans="1:19">
      <c r="A202" s="150"/>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0</v>
      </c>
      <c r="R202" s="662">
        <f t="shared" si="43"/>
        <v>0</v>
      </c>
      <c r="S202" s="316">
        <f t="shared" si="44"/>
        <v>0</v>
      </c>
    </row>
    <row r="203" spans="1:19">
      <c r="A203" s="150"/>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0</v>
      </c>
      <c r="R203" s="662">
        <f t="shared" si="43"/>
        <v>0</v>
      </c>
      <c r="S203" s="316">
        <f t="shared" si="44"/>
        <v>0</v>
      </c>
    </row>
    <row r="204" spans="1:19">
      <c r="A204" s="150"/>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0</v>
      </c>
      <c r="R204" s="662">
        <f t="shared" si="43"/>
        <v>0</v>
      </c>
      <c r="S204" s="316">
        <f t="shared" si="44"/>
        <v>0</v>
      </c>
    </row>
    <row r="205" spans="1:19">
      <c r="A205" s="150"/>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0</v>
      </c>
      <c r="R205" s="662">
        <f t="shared" si="43"/>
        <v>0</v>
      </c>
      <c r="S205" s="316">
        <f t="shared" si="44"/>
        <v>0</v>
      </c>
    </row>
    <row r="206" spans="1:19">
      <c r="A206" s="150"/>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0</v>
      </c>
      <c r="R206" s="662">
        <f t="shared" si="43"/>
        <v>0</v>
      </c>
      <c r="S206" s="316">
        <f t="shared" si="44"/>
        <v>0</v>
      </c>
    </row>
    <row r="207" spans="1:19">
      <c r="A207" s="150"/>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0</v>
      </c>
      <c r="R207" s="662">
        <f t="shared" si="43"/>
        <v>0</v>
      </c>
      <c r="S207" s="316">
        <f t="shared" si="44"/>
        <v>0</v>
      </c>
    </row>
    <row r="208" spans="1:19">
      <c r="A208" s="150"/>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0</v>
      </c>
      <c r="R208" s="662">
        <f t="shared" si="43"/>
        <v>0</v>
      </c>
      <c r="S208" s="316">
        <f t="shared" si="44"/>
        <v>0</v>
      </c>
    </row>
    <row r="209" spans="1:19">
      <c r="A209" s="150"/>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0</v>
      </c>
      <c r="R209" s="662">
        <f t="shared" si="43"/>
        <v>0</v>
      </c>
      <c r="S209" s="316">
        <f t="shared" si="44"/>
        <v>0</v>
      </c>
    </row>
    <row r="210" spans="1:19">
      <c r="A210" s="150"/>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0</v>
      </c>
      <c r="R210" s="662">
        <f t="shared" si="43"/>
        <v>0</v>
      </c>
      <c r="S210" s="316">
        <f t="shared" si="44"/>
        <v>0</v>
      </c>
    </row>
    <row r="211" spans="1:19">
      <c r="A211" s="150"/>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0</v>
      </c>
      <c r="R211" s="662">
        <f t="shared" si="43"/>
        <v>0</v>
      </c>
      <c r="S211" s="316">
        <f t="shared" si="44"/>
        <v>0</v>
      </c>
    </row>
    <row r="212" spans="1:19">
      <c r="A212" s="150"/>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0</v>
      </c>
      <c r="R212" s="662">
        <f t="shared" si="43"/>
        <v>0</v>
      </c>
      <c r="S212" s="316">
        <f t="shared" si="44"/>
        <v>0</v>
      </c>
    </row>
    <row r="213" spans="1:19">
      <c r="A213" s="150"/>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0</v>
      </c>
      <c r="R213" s="662">
        <f t="shared" si="43"/>
        <v>0</v>
      </c>
      <c r="S213" s="316">
        <f t="shared" si="44"/>
        <v>0</v>
      </c>
    </row>
    <row r="214" spans="1:19">
      <c r="A214" s="150"/>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0</v>
      </c>
      <c r="R214" s="662">
        <f t="shared" si="43"/>
        <v>0</v>
      </c>
      <c r="S214" s="316">
        <f t="shared" si="44"/>
        <v>0</v>
      </c>
    </row>
    <row r="215" spans="1:19">
      <c r="A215" s="150"/>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0</v>
      </c>
      <c r="R215" s="662">
        <f t="shared" si="43"/>
        <v>0</v>
      </c>
      <c r="S215" s="316">
        <f t="shared" si="44"/>
        <v>0</v>
      </c>
    </row>
    <row r="216" spans="1:19">
      <c r="A216" s="150"/>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0</v>
      </c>
      <c r="R216" s="662">
        <f t="shared" si="43"/>
        <v>0</v>
      </c>
      <c r="S216" s="316">
        <f t="shared" si="44"/>
        <v>0</v>
      </c>
    </row>
    <row r="217" spans="1:19">
      <c r="A217" s="150"/>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0</v>
      </c>
      <c r="R217" s="662">
        <f t="shared" si="43"/>
        <v>0</v>
      </c>
      <c r="S217" s="316">
        <f t="shared" si="44"/>
        <v>0</v>
      </c>
    </row>
    <row r="218" spans="1:19">
      <c r="A218" s="150"/>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0</v>
      </c>
      <c r="R218" s="662">
        <f t="shared" ref="R218:R281" si="53">IF(B218="",0,ROUND($R$24*C218*E218*G218*I218*K218*M218*O218*Q218,0))</f>
        <v>0</v>
      </c>
      <c r="S218" s="316">
        <f t="shared" si="44"/>
        <v>0</v>
      </c>
    </row>
    <row r="219" spans="1:19">
      <c r="A219" s="150"/>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0</v>
      </c>
      <c r="R219" s="662">
        <f t="shared" si="53"/>
        <v>0</v>
      </c>
      <c r="S219" s="316">
        <f t="shared" si="44"/>
        <v>0</v>
      </c>
    </row>
    <row r="220" spans="1:19">
      <c r="A220" s="150"/>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0</v>
      </c>
      <c r="R220" s="662">
        <f t="shared" si="53"/>
        <v>0</v>
      </c>
      <c r="S220" s="316">
        <f t="shared" si="44"/>
        <v>0</v>
      </c>
    </row>
    <row r="221" spans="1:19">
      <c r="A221" s="150"/>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0</v>
      </c>
      <c r="R221" s="662">
        <f t="shared" si="53"/>
        <v>0</v>
      </c>
      <c r="S221" s="316">
        <f t="shared" si="44"/>
        <v>0</v>
      </c>
    </row>
    <row r="222" spans="1:19">
      <c r="A222" s="150"/>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0</v>
      </c>
      <c r="R222" s="662">
        <f t="shared" si="53"/>
        <v>0</v>
      </c>
      <c r="S222" s="316">
        <f t="shared" si="44"/>
        <v>0</v>
      </c>
    </row>
    <row r="223" spans="1:19">
      <c r="A223" s="150"/>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0</v>
      </c>
      <c r="R223" s="662">
        <f t="shared" si="53"/>
        <v>0</v>
      </c>
      <c r="S223" s="316">
        <f t="shared" ref="S223:S286" si="54">ROUND(R223*B223/10000,0)</f>
        <v>0</v>
      </c>
    </row>
    <row r="224" spans="1:19">
      <c r="A224" s="150"/>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0</v>
      </c>
      <c r="R224" s="662">
        <f t="shared" si="53"/>
        <v>0</v>
      </c>
      <c r="S224" s="316">
        <f t="shared" si="54"/>
        <v>0</v>
      </c>
    </row>
    <row r="225" spans="1:19">
      <c r="A225" s="150"/>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0</v>
      </c>
      <c r="R225" s="662">
        <f t="shared" si="53"/>
        <v>0</v>
      </c>
      <c r="S225" s="316">
        <f t="shared" si="54"/>
        <v>0</v>
      </c>
    </row>
    <row r="226" spans="1:19">
      <c r="A226" s="150"/>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0</v>
      </c>
      <c r="R226" s="662">
        <f t="shared" si="53"/>
        <v>0</v>
      </c>
      <c r="S226" s="316">
        <f t="shared" si="54"/>
        <v>0</v>
      </c>
    </row>
    <row r="227" spans="1:19">
      <c r="A227" s="150"/>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0</v>
      </c>
      <c r="R227" s="662">
        <f t="shared" si="53"/>
        <v>0</v>
      </c>
      <c r="S227" s="316">
        <f t="shared" si="54"/>
        <v>0</v>
      </c>
    </row>
    <row r="228" spans="1:19">
      <c r="A228" s="150"/>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0</v>
      </c>
      <c r="R228" s="662">
        <f t="shared" si="53"/>
        <v>0</v>
      </c>
      <c r="S228" s="316">
        <f t="shared" si="54"/>
        <v>0</v>
      </c>
    </row>
    <row r="229" spans="1:19">
      <c r="A229" s="150"/>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0</v>
      </c>
      <c r="R229" s="662">
        <f t="shared" si="53"/>
        <v>0</v>
      </c>
      <c r="S229" s="316">
        <f t="shared" si="54"/>
        <v>0</v>
      </c>
    </row>
    <row r="230" spans="1:19">
      <c r="A230" s="150"/>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0</v>
      </c>
      <c r="R230" s="662">
        <f t="shared" si="53"/>
        <v>0</v>
      </c>
      <c r="S230" s="316">
        <f t="shared" si="54"/>
        <v>0</v>
      </c>
    </row>
    <row r="231" spans="1:19">
      <c r="A231" s="150"/>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0</v>
      </c>
      <c r="R231" s="662">
        <f t="shared" si="53"/>
        <v>0</v>
      </c>
      <c r="S231" s="316">
        <f t="shared" si="54"/>
        <v>0</v>
      </c>
    </row>
    <row r="232" spans="1:19">
      <c r="A232" s="150"/>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0</v>
      </c>
      <c r="R232" s="662">
        <f t="shared" si="53"/>
        <v>0</v>
      </c>
      <c r="S232" s="316">
        <f t="shared" si="54"/>
        <v>0</v>
      </c>
    </row>
    <row r="233" spans="1:19">
      <c r="A233" s="150"/>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0</v>
      </c>
      <c r="R233" s="662">
        <f t="shared" si="53"/>
        <v>0</v>
      </c>
      <c r="S233" s="316">
        <f t="shared" si="54"/>
        <v>0</v>
      </c>
    </row>
    <row r="234" spans="1:19">
      <c r="A234" s="150"/>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0</v>
      </c>
      <c r="R234" s="662">
        <f t="shared" si="53"/>
        <v>0</v>
      </c>
      <c r="S234" s="316">
        <f t="shared" si="54"/>
        <v>0</v>
      </c>
    </row>
    <row r="235" spans="1:19">
      <c r="A235" s="150"/>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0</v>
      </c>
      <c r="R235" s="662">
        <f t="shared" si="53"/>
        <v>0</v>
      </c>
      <c r="S235" s="316">
        <f t="shared" si="54"/>
        <v>0</v>
      </c>
    </row>
    <row r="236" spans="1:19">
      <c r="A236" s="150"/>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0</v>
      </c>
      <c r="R236" s="662">
        <f t="shared" si="53"/>
        <v>0</v>
      </c>
      <c r="S236" s="316">
        <f t="shared" si="54"/>
        <v>0</v>
      </c>
    </row>
    <row r="237" spans="1:19">
      <c r="A237" s="150"/>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0</v>
      </c>
      <c r="R237" s="662">
        <f t="shared" si="53"/>
        <v>0</v>
      </c>
      <c r="S237" s="316">
        <f t="shared" si="54"/>
        <v>0</v>
      </c>
    </row>
    <row r="238" spans="1:19">
      <c r="A238" s="150"/>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0</v>
      </c>
      <c r="R238" s="662">
        <f t="shared" si="53"/>
        <v>0</v>
      </c>
      <c r="S238" s="316">
        <f t="shared" si="54"/>
        <v>0</v>
      </c>
    </row>
    <row r="239" spans="1:19">
      <c r="A239" s="150"/>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0</v>
      </c>
      <c r="R239" s="662">
        <f t="shared" si="53"/>
        <v>0</v>
      </c>
      <c r="S239" s="316">
        <f t="shared" si="54"/>
        <v>0</v>
      </c>
    </row>
    <row r="240" spans="1:19">
      <c r="A240" s="150"/>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0</v>
      </c>
      <c r="R240" s="662">
        <f t="shared" si="53"/>
        <v>0</v>
      </c>
      <c r="S240" s="316">
        <f t="shared" si="54"/>
        <v>0</v>
      </c>
    </row>
    <row r="241" spans="1:19">
      <c r="A241" s="150"/>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0</v>
      </c>
      <c r="R241" s="662">
        <f t="shared" si="53"/>
        <v>0</v>
      </c>
      <c r="S241" s="316">
        <f t="shared" si="54"/>
        <v>0</v>
      </c>
    </row>
    <row r="242" spans="1:19">
      <c r="A242" s="150"/>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0</v>
      </c>
      <c r="R242" s="662">
        <f t="shared" si="53"/>
        <v>0</v>
      </c>
      <c r="S242" s="316">
        <f t="shared" si="54"/>
        <v>0</v>
      </c>
    </row>
    <row r="243" spans="1:19">
      <c r="A243" s="150"/>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0</v>
      </c>
      <c r="R243" s="662">
        <f t="shared" si="53"/>
        <v>0</v>
      </c>
      <c r="S243" s="316">
        <f t="shared" si="54"/>
        <v>0</v>
      </c>
    </row>
    <row r="244" spans="1:19">
      <c r="A244" s="150"/>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0</v>
      </c>
      <c r="R244" s="662">
        <f t="shared" si="53"/>
        <v>0</v>
      </c>
      <c r="S244" s="316">
        <f t="shared" si="54"/>
        <v>0</v>
      </c>
    </row>
    <row r="245" spans="1:19">
      <c r="A245" s="150"/>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0</v>
      </c>
      <c r="R245" s="662">
        <f t="shared" si="53"/>
        <v>0</v>
      </c>
      <c r="S245" s="316">
        <f t="shared" si="54"/>
        <v>0</v>
      </c>
    </row>
    <row r="246" spans="1:19">
      <c r="A246" s="150"/>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0</v>
      </c>
      <c r="R246" s="662">
        <f t="shared" si="53"/>
        <v>0</v>
      </c>
      <c r="S246" s="316">
        <f t="shared" si="54"/>
        <v>0</v>
      </c>
    </row>
    <row r="247" spans="1:19">
      <c r="A247" s="150"/>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0</v>
      </c>
      <c r="R247" s="662">
        <f t="shared" si="53"/>
        <v>0</v>
      </c>
      <c r="S247" s="316">
        <f t="shared" si="54"/>
        <v>0</v>
      </c>
    </row>
    <row r="248" spans="1:19">
      <c r="A248" s="150"/>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0</v>
      </c>
      <c r="R248" s="662">
        <f t="shared" si="53"/>
        <v>0</v>
      </c>
      <c r="S248" s="316">
        <f t="shared" si="54"/>
        <v>0</v>
      </c>
    </row>
    <row r="249" spans="1:19">
      <c r="A249" s="150"/>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0</v>
      </c>
      <c r="R249" s="662">
        <f t="shared" si="53"/>
        <v>0</v>
      </c>
      <c r="S249" s="316">
        <f t="shared" si="54"/>
        <v>0</v>
      </c>
    </row>
    <row r="250" spans="1:19">
      <c r="A250" s="150"/>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0</v>
      </c>
      <c r="R250" s="662">
        <f t="shared" si="53"/>
        <v>0</v>
      </c>
      <c r="S250" s="316">
        <f t="shared" si="54"/>
        <v>0</v>
      </c>
    </row>
    <row r="251" spans="1:19">
      <c r="A251" s="150"/>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0</v>
      </c>
      <c r="R251" s="662">
        <f t="shared" si="53"/>
        <v>0</v>
      </c>
      <c r="S251" s="316">
        <f t="shared" si="54"/>
        <v>0</v>
      </c>
    </row>
    <row r="252" spans="1:19">
      <c r="A252" s="150"/>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0</v>
      </c>
      <c r="R252" s="662">
        <f t="shared" si="53"/>
        <v>0</v>
      </c>
      <c r="S252" s="316">
        <f t="shared" si="54"/>
        <v>0</v>
      </c>
    </row>
    <row r="253" spans="1:19">
      <c r="A253" s="150"/>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0</v>
      </c>
      <c r="R253" s="662">
        <f t="shared" si="53"/>
        <v>0</v>
      </c>
      <c r="S253" s="316">
        <f t="shared" si="54"/>
        <v>0</v>
      </c>
    </row>
    <row r="254" spans="1:19">
      <c r="A254" s="150"/>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0</v>
      </c>
      <c r="R254" s="662">
        <f t="shared" si="53"/>
        <v>0</v>
      </c>
      <c r="S254" s="316">
        <f t="shared" si="54"/>
        <v>0</v>
      </c>
    </row>
    <row r="255" spans="1:19">
      <c r="A255" s="150"/>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0</v>
      </c>
      <c r="R255" s="662">
        <f t="shared" si="53"/>
        <v>0</v>
      </c>
      <c r="S255" s="316">
        <f t="shared" si="54"/>
        <v>0</v>
      </c>
    </row>
    <row r="256" spans="1:19">
      <c r="A256" s="150"/>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0</v>
      </c>
      <c r="R256" s="662">
        <f t="shared" si="53"/>
        <v>0</v>
      </c>
      <c r="S256" s="316">
        <f t="shared" si="54"/>
        <v>0</v>
      </c>
    </row>
    <row r="257" spans="1:19">
      <c r="A257" s="150"/>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0</v>
      </c>
      <c r="R257" s="662">
        <f t="shared" si="53"/>
        <v>0</v>
      </c>
      <c r="S257" s="316">
        <f t="shared" si="54"/>
        <v>0</v>
      </c>
    </row>
    <row r="258" spans="1:19">
      <c r="A258" s="150"/>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0</v>
      </c>
      <c r="R258" s="662">
        <f t="shared" si="53"/>
        <v>0</v>
      </c>
      <c r="S258" s="316">
        <f t="shared" si="54"/>
        <v>0</v>
      </c>
    </row>
    <row r="259" spans="1:19">
      <c r="A259" s="150"/>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0</v>
      </c>
      <c r="R259" s="662">
        <f t="shared" si="53"/>
        <v>0</v>
      </c>
      <c r="S259" s="316">
        <f t="shared" si="54"/>
        <v>0</v>
      </c>
    </row>
    <row r="260" spans="1:19">
      <c r="A260" s="150"/>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0</v>
      </c>
      <c r="R260" s="662">
        <f t="shared" si="53"/>
        <v>0</v>
      </c>
      <c r="S260" s="316">
        <f t="shared" si="54"/>
        <v>0</v>
      </c>
    </row>
    <row r="261" spans="1:19">
      <c r="A261" s="150"/>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0</v>
      </c>
      <c r="R261" s="662">
        <f t="shared" si="53"/>
        <v>0</v>
      </c>
      <c r="S261" s="316">
        <f t="shared" si="54"/>
        <v>0</v>
      </c>
    </row>
    <row r="262" spans="1:19">
      <c r="A262" s="150"/>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0</v>
      </c>
      <c r="R262" s="662">
        <f t="shared" si="53"/>
        <v>0</v>
      </c>
      <c r="S262" s="316">
        <f t="shared" si="54"/>
        <v>0</v>
      </c>
    </row>
    <row r="263" spans="1:19">
      <c r="A263" s="150"/>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0</v>
      </c>
      <c r="R263" s="662">
        <f t="shared" si="53"/>
        <v>0</v>
      </c>
      <c r="S263" s="316">
        <f t="shared" si="54"/>
        <v>0</v>
      </c>
    </row>
    <row r="264" spans="1:19">
      <c r="A264" s="150"/>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0</v>
      </c>
      <c r="R264" s="662">
        <f t="shared" si="53"/>
        <v>0</v>
      </c>
      <c r="S264" s="316">
        <f t="shared" si="54"/>
        <v>0</v>
      </c>
    </row>
    <row r="265" spans="1:19">
      <c r="A265" s="150"/>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0</v>
      </c>
      <c r="R265" s="662">
        <f t="shared" si="53"/>
        <v>0</v>
      </c>
      <c r="S265" s="316">
        <f t="shared" si="54"/>
        <v>0</v>
      </c>
    </row>
    <row r="266" spans="1:19">
      <c r="A266" s="150"/>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0</v>
      </c>
      <c r="R266" s="662">
        <f t="shared" si="53"/>
        <v>0</v>
      </c>
      <c r="S266" s="316">
        <f t="shared" si="54"/>
        <v>0</v>
      </c>
    </row>
    <row r="267" spans="1:19">
      <c r="A267" s="150"/>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0</v>
      </c>
      <c r="R267" s="662">
        <f t="shared" si="53"/>
        <v>0</v>
      </c>
      <c r="S267" s="316">
        <f t="shared" si="54"/>
        <v>0</v>
      </c>
    </row>
    <row r="268" spans="1:19">
      <c r="A268" s="150"/>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0</v>
      </c>
      <c r="R268" s="662">
        <f t="shared" si="53"/>
        <v>0</v>
      </c>
      <c r="S268" s="316">
        <f t="shared" si="54"/>
        <v>0</v>
      </c>
    </row>
    <row r="269" spans="1:19">
      <c r="A269" s="150"/>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0</v>
      </c>
      <c r="R269" s="662">
        <f t="shared" si="53"/>
        <v>0</v>
      </c>
      <c r="S269" s="316">
        <f t="shared" si="54"/>
        <v>0</v>
      </c>
    </row>
    <row r="270" spans="1:19">
      <c r="A270" s="150"/>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0</v>
      </c>
      <c r="R270" s="662">
        <f t="shared" si="53"/>
        <v>0</v>
      </c>
      <c r="S270" s="316">
        <f t="shared" si="54"/>
        <v>0</v>
      </c>
    </row>
    <row r="271" spans="1:19">
      <c r="A271" s="150"/>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0</v>
      </c>
      <c r="R271" s="662">
        <f t="shared" si="53"/>
        <v>0</v>
      </c>
      <c r="S271" s="316">
        <f t="shared" si="54"/>
        <v>0</v>
      </c>
    </row>
    <row r="272" spans="1:19">
      <c r="A272" s="150"/>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0</v>
      </c>
      <c r="R272" s="662">
        <f t="shared" si="53"/>
        <v>0</v>
      </c>
      <c r="S272" s="316">
        <f t="shared" si="54"/>
        <v>0</v>
      </c>
    </row>
    <row r="273" spans="1:19">
      <c r="A273" s="150"/>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0</v>
      </c>
      <c r="R273" s="662">
        <f t="shared" si="53"/>
        <v>0</v>
      </c>
      <c r="S273" s="316">
        <f t="shared" si="54"/>
        <v>0</v>
      </c>
    </row>
    <row r="274" spans="1:19">
      <c r="A274" s="150"/>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0</v>
      </c>
      <c r="R274" s="662">
        <f t="shared" si="53"/>
        <v>0</v>
      </c>
      <c r="S274" s="316">
        <f t="shared" si="54"/>
        <v>0</v>
      </c>
    </row>
    <row r="275" spans="1:19">
      <c r="A275" s="150"/>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0</v>
      </c>
      <c r="R275" s="662">
        <f t="shared" si="53"/>
        <v>0</v>
      </c>
      <c r="S275" s="316">
        <f t="shared" si="54"/>
        <v>0</v>
      </c>
    </row>
    <row r="276" spans="1:19">
      <c r="A276" s="150"/>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0</v>
      </c>
      <c r="R276" s="662">
        <f t="shared" si="53"/>
        <v>0</v>
      </c>
      <c r="S276" s="316">
        <f t="shared" si="54"/>
        <v>0</v>
      </c>
    </row>
    <row r="277" spans="1:19">
      <c r="A277" s="150"/>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0</v>
      </c>
      <c r="R277" s="662">
        <f t="shared" si="53"/>
        <v>0</v>
      </c>
      <c r="S277" s="316">
        <f t="shared" si="54"/>
        <v>0</v>
      </c>
    </row>
    <row r="278" spans="1:19">
      <c r="A278" s="150"/>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0</v>
      </c>
      <c r="R278" s="662">
        <f t="shared" si="53"/>
        <v>0</v>
      </c>
      <c r="S278" s="316">
        <f t="shared" si="54"/>
        <v>0</v>
      </c>
    </row>
    <row r="279" spans="1:19">
      <c r="A279" s="150"/>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0</v>
      </c>
      <c r="R279" s="662">
        <f t="shared" si="53"/>
        <v>0</v>
      </c>
      <c r="S279" s="316">
        <f t="shared" si="54"/>
        <v>0</v>
      </c>
    </row>
    <row r="280" spans="1:19">
      <c r="A280" s="150"/>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0</v>
      </c>
      <c r="R280" s="662">
        <f t="shared" si="53"/>
        <v>0</v>
      </c>
      <c r="S280" s="316">
        <f t="shared" si="54"/>
        <v>0</v>
      </c>
    </row>
    <row r="281" spans="1:19">
      <c r="A281" s="150"/>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0</v>
      </c>
      <c r="R281" s="662">
        <f t="shared" si="53"/>
        <v>0</v>
      </c>
      <c r="S281" s="316">
        <f t="shared" si="54"/>
        <v>0</v>
      </c>
    </row>
    <row r="282" spans="1:19">
      <c r="A282" s="150"/>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0</v>
      </c>
      <c r="R282" s="662">
        <f t="shared" ref="R282:R345" si="63">IF(B282="",0,ROUND($R$24*C282*E282*G282*I282*K282*M282*O282*Q282,0))</f>
        <v>0</v>
      </c>
      <c r="S282" s="316">
        <f t="shared" si="54"/>
        <v>0</v>
      </c>
    </row>
    <row r="283" spans="1:19">
      <c r="A283" s="150"/>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0</v>
      </c>
      <c r="R283" s="662">
        <f t="shared" si="63"/>
        <v>0</v>
      </c>
      <c r="S283" s="316">
        <f t="shared" si="54"/>
        <v>0</v>
      </c>
    </row>
    <row r="284" spans="1:19">
      <c r="A284" s="150"/>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0</v>
      </c>
      <c r="R284" s="662">
        <f t="shared" si="63"/>
        <v>0</v>
      </c>
      <c r="S284" s="316">
        <f t="shared" si="54"/>
        <v>0</v>
      </c>
    </row>
    <row r="285" spans="1:19">
      <c r="A285" s="150"/>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0</v>
      </c>
      <c r="R285" s="662">
        <f t="shared" si="63"/>
        <v>0</v>
      </c>
      <c r="S285" s="316">
        <f t="shared" si="54"/>
        <v>0</v>
      </c>
    </row>
    <row r="286" spans="1:19">
      <c r="A286" s="150"/>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0</v>
      </c>
      <c r="R286" s="662">
        <f t="shared" si="63"/>
        <v>0</v>
      </c>
      <c r="S286" s="316">
        <f t="shared" si="54"/>
        <v>0</v>
      </c>
    </row>
    <row r="287" spans="1:19">
      <c r="A287" s="150"/>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0</v>
      </c>
      <c r="R287" s="662">
        <f t="shared" si="63"/>
        <v>0</v>
      </c>
      <c r="S287" s="316">
        <f t="shared" ref="S287:S320" si="64">ROUND(R287*B287/10000,0)</f>
        <v>0</v>
      </c>
    </row>
    <row r="288" spans="1:19">
      <c r="A288" s="150"/>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0</v>
      </c>
      <c r="R288" s="662">
        <f t="shared" si="63"/>
        <v>0</v>
      </c>
      <c r="S288" s="316">
        <f t="shared" si="64"/>
        <v>0</v>
      </c>
    </row>
    <row r="289" spans="1:19">
      <c r="A289" s="150"/>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0</v>
      </c>
      <c r="R289" s="662">
        <f t="shared" si="63"/>
        <v>0</v>
      </c>
      <c r="S289" s="316">
        <f t="shared" si="64"/>
        <v>0</v>
      </c>
    </row>
    <row r="290" spans="1:19">
      <c r="A290" s="150"/>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0</v>
      </c>
      <c r="R290" s="662">
        <f t="shared" si="63"/>
        <v>0</v>
      </c>
      <c r="S290" s="316">
        <f t="shared" si="64"/>
        <v>0</v>
      </c>
    </row>
    <row r="291" spans="1:19">
      <c r="A291" s="150"/>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0</v>
      </c>
      <c r="R291" s="662">
        <f t="shared" si="63"/>
        <v>0</v>
      </c>
      <c r="S291" s="316">
        <f t="shared" si="64"/>
        <v>0</v>
      </c>
    </row>
    <row r="292" spans="1:19">
      <c r="A292" s="150"/>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0</v>
      </c>
      <c r="R292" s="662">
        <f t="shared" si="63"/>
        <v>0</v>
      </c>
      <c r="S292" s="316">
        <f t="shared" si="64"/>
        <v>0</v>
      </c>
    </row>
    <row r="293" spans="1:19">
      <c r="A293" s="150"/>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0</v>
      </c>
      <c r="R293" s="662">
        <f t="shared" si="63"/>
        <v>0</v>
      </c>
      <c r="S293" s="316">
        <f t="shared" si="64"/>
        <v>0</v>
      </c>
    </row>
    <row r="294" spans="1:19">
      <c r="A294" s="150"/>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0</v>
      </c>
      <c r="R294" s="662">
        <f t="shared" si="63"/>
        <v>0</v>
      </c>
      <c r="S294" s="316">
        <f t="shared" si="64"/>
        <v>0</v>
      </c>
    </row>
    <row r="295" spans="1:19">
      <c r="A295" s="150"/>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0</v>
      </c>
      <c r="R295" s="662">
        <f t="shared" si="63"/>
        <v>0</v>
      </c>
      <c r="S295" s="316">
        <f t="shared" si="64"/>
        <v>0</v>
      </c>
    </row>
    <row r="296" spans="1:19">
      <c r="A296" s="150"/>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0</v>
      </c>
      <c r="R296" s="662">
        <f t="shared" si="63"/>
        <v>0</v>
      </c>
      <c r="S296" s="316">
        <f t="shared" si="64"/>
        <v>0</v>
      </c>
    </row>
    <row r="297" spans="1:19">
      <c r="A297" s="150"/>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0</v>
      </c>
      <c r="R297" s="662">
        <f t="shared" si="63"/>
        <v>0</v>
      </c>
      <c r="S297" s="316">
        <f t="shared" si="64"/>
        <v>0</v>
      </c>
    </row>
    <row r="298" spans="1:19">
      <c r="A298" s="150"/>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0</v>
      </c>
      <c r="R298" s="662">
        <f t="shared" si="63"/>
        <v>0</v>
      </c>
      <c r="S298" s="316">
        <f t="shared" si="64"/>
        <v>0</v>
      </c>
    </row>
    <row r="299" spans="1:19">
      <c r="A299" s="150"/>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0</v>
      </c>
      <c r="R299" s="662">
        <f t="shared" si="63"/>
        <v>0</v>
      </c>
      <c r="S299" s="316">
        <f t="shared" si="64"/>
        <v>0</v>
      </c>
    </row>
    <row r="300" spans="1:19">
      <c r="A300" s="150"/>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0</v>
      </c>
      <c r="R300" s="662">
        <f t="shared" si="63"/>
        <v>0</v>
      </c>
      <c r="S300" s="316">
        <f t="shared" si="64"/>
        <v>0</v>
      </c>
    </row>
    <row r="301" spans="1:19">
      <c r="A301" s="150"/>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0</v>
      </c>
      <c r="R301" s="662">
        <f t="shared" si="63"/>
        <v>0</v>
      </c>
      <c r="S301" s="316">
        <f t="shared" si="64"/>
        <v>0</v>
      </c>
    </row>
    <row r="302" spans="1:19">
      <c r="A302" s="150"/>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0</v>
      </c>
      <c r="R302" s="662">
        <f t="shared" si="63"/>
        <v>0</v>
      </c>
      <c r="S302" s="316">
        <f t="shared" si="64"/>
        <v>0</v>
      </c>
    </row>
    <row r="303" spans="1:19">
      <c r="A303" s="150"/>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0</v>
      </c>
      <c r="R303" s="662">
        <f t="shared" si="63"/>
        <v>0</v>
      </c>
      <c r="S303" s="316">
        <f t="shared" si="64"/>
        <v>0</v>
      </c>
    </row>
    <row r="304" spans="1:19">
      <c r="A304" s="150"/>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0</v>
      </c>
      <c r="R304" s="662">
        <f t="shared" si="63"/>
        <v>0</v>
      </c>
      <c r="S304" s="316">
        <f t="shared" si="64"/>
        <v>0</v>
      </c>
    </row>
    <row r="305" spans="1:19">
      <c r="A305" s="150"/>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0</v>
      </c>
      <c r="R305" s="662">
        <f t="shared" si="63"/>
        <v>0</v>
      </c>
      <c r="S305" s="316">
        <f t="shared" si="64"/>
        <v>0</v>
      </c>
    </row>
    <row r="306" spans="1:19">
      <c r="A306" s="150"/>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0</v>
      </c>
      <c r="R306" s="662">
        <f t="shared" si="63"/>
        <v>0</v>
      </c>
      <c r="S306" s="316">
        <f t="shared" si="64"/>
        <v>0</v>
      </c>
    </row>
    <row r="307" spans="1:19">
      <c r="A307" s="150"/>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0</v>
      </c>
      <c r="R307" s="662">
        <f t="shared" si="63"/>
        <v>0</v>
      </c>
      <c r="S307" s="316">
        <f t="shared" si="64"/>
        <v>0</v>
      </c>
    </row>
    <row r="308" spans="1:19">
      <c r="A308" s="150"/>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0</v>
      </c>
      <c r="R308" s="662">
        <f t="shared" si="63"/>
        <v>0</v>
      </c>
      <c r="S308" s="316">
        <f t="shared" si="64"/>
        <v>0</v>
      </c>
    </row>
    <row r="309" spans="1:19">
      <c r="A309" s="150"/>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0</v>
      </c>
      <c r="R309" s="662">
        <f t="shared" si="63"/>
        <v>0</v>
      </c>
      <c r="S309" s="316">
        <f t="shared" si="64"/>
        <v>0</v>
      </c>
    </row>
    <row r="310" spans="1:19">
      <c r="A310" s="150"/>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0</v>
      </c>
      <c r="R310" s="662">
        <f t="shared" si="63"/>
        <v>0</v>
      </c>
      <c r="S310" s="316">
        <f t="shared" si="64"/>
        <v>0</v>
      </c>
    </row>
    <row r="311" spans="1:19">
      <c r="A311" s="150"/>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0</v>
      </c>
      <c r="R311" s="662">
        <f t="shared" si="63"/>
        <v>0</v>
      </c>
      <c r="S311" s="316">
        <f t="shared" si="64"/>
        <v>0</v>
      </c>
    </row>
    <row r="312" spans="1:19">
      <c r="A312" s="150"/>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0</v>
      </c>
      <c r="R312" s="662">
        <f t="shared" si="63"/>
        <v>0</v>
      </c>
      <c r="S312" s="316">
        <f t="shared" si="64"/>
        <v>0</v>
      </c>
    </row>
    <row r="313" spans="1:19">
      <c r="A313" s="150"/>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0</v>
      </c>
      <c r="R313" s="662">
        <f t="shared" si="63"/>
        <v>0</v>
      </c>
      <c r="S313" s="316">
        <f t="shared" si="64"/>
        <v>0</v>
      </c>
    </row>
    <row r="314" spans="1:19">
      <c r="A314" s="150"/>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0</v>
      </c>
      <c r="R314" s="662">
        <f t="shared" si="63"/>
        <v>0</v>
      </c>
      <c r="S314" s="316">
        <f t="shared" si="64"/>
        <v>0</v>
      </c>
    </row>
    <row r="315" spans="1:19">
      <c r="A315" s="150"/>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0</v>
      </c>
      <c r="R315" s="662">
        <f t="shared" si="63"/>
        <v>0</v>
      </c>
      <c r="S315" s="316">
        <f t="shared" si="64"/>
        <v>0</v>
      </c>
    </row>
    <row r="316" spans="1:19">
      <c r="A316" s="150"/>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0</v>
      </c>
      <c r="R316" s="662">
        <f t="shared" si="63"/>
        <v>0</v>
      </c>
      <c r="S316" s="316">
        <f t="shared" si="64"/>
        <v>0</v>
      </c>
    </row>
    <row r="317" spans="1:19">
      <c r="A317" s="150"/>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0</v>
      </c>
      <c r="R317" s="662">
        <f t="shared" si="63"/>
        <v>0</v>
      </c>
      <c r="S317" s="316">
        <f t="shared" si="64"/>
        <v>0</v>
      </c>
    </row>
    <row r="318" spans="1:19">
      <c r="A318" s="150"/>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0</v>
      </c>
      <c r="R318" s="662">
        <f t="shared" si="63"/>
        <v>0</v>
      </c>
      <c r="S318" s="316">
        <f t="shared" si="64"/>
        <v>0</v>
      </c>
    </row>
    <row r="319" spans="1:19">
      <c r="A319" s="150"/>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0</v>
      </c>
      <c r="R319" s="662">
        <f t="shared" si="63"/>
        <v>0</v>
      </c>
      <c r="S319" s="316">
        <f t="shared" si="64"/>
        <v>0</v>
      </c>
    </row>
    <row r="320" spans="1:19">
      <c r="A320" s="150"/>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0</v>
      </c>
      <c r="R320" s="662">
        <f t="shared" si="63"/>
        <v>0</v>
      </c>
      <c r="S320" s="316">
        <f t="shared" si="64"/>
        <v>0</v>
      </c>
    </row>
    <row r="321" spans="1:19">
      <c r="A321" s="150"/>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0</v>
      </c>
      <c r="R321" s="662">
        <f t="shared" si="63"/>
        <v>0</v>
      </c>
      <c r="S321" s="316">
        <f t="shared" ref="S321:S384" si="65">ROUND(R321*B321/10000,0)</f>
        <v>0</v>
      </c>
    </row>
    <row r="322" spans="1:19">
      <c r="A322" s="150"/>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0</v>
      </c>
      <c r="R322" s="662">
        <f t="shared" si="63"/>
        <v>0</v>
      </c>
      <c r="S322" s="316">
        <f t="shared" si="65"/>
        <v>0</v>
      </c>
    </row>
    <row r="323" spans="1:19">
      <c r="A323" s="150"/>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0</v>
      </c>
      <c r="R323" s="662">
        <f t="shared" si="63"/>
        <v>0</v>
      </c>
      <c r="S323" s="316">
        <f t="shared" si="65"/>
        <v>0</v>
      </c>
    </row>
    <row r="324" spans="1:19">
      <c r="A324" s="150"/>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0</v>
      </c>
      <c r="R324" s="662">
        <f t="shared" si="63"/>
        <v>0</v>
      </c>
      <c r="S324" s="316">
        <f t="shared" si="65"/>
        <v>0</v>
      </c>
    </row>
    <row r="325" spans="1:19">
      <c r="A325" s="150"/>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0</v>
      </c>
      <c r="R325" s="662">
        <f t="shared" si="63"/>
        <v>0</v>
      </c>
      <c r="S325" s="316">
        <f t="shared" si="65"/>
        <v>0</v>
      </c>
    </row>
    <row r="326" spans="1:19">
      <c r="A326" s="150"/>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0</v>
      </c>
      <c r="R326" s="662">
        <f t="shared" si="63"/>
        <v>0</v>
      </c>
      <c r="S326" s="316">
        <f t="shared" si="65"/>
        <v>0</v>
      </c>
    </row>
    <row r="327" spans="1:19">
      <c r="A327" s="150"/>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0</v>
      </c>
      <c r="R327" s="662">
        <f t="shared" si="63"/>
        <v>0</v>
      </c>
      <c r="S327" s="316">
        <f t="shared" si="65"/>
        <v>0</v>
      </c>
    </row>
    <row r="328" spans="1:19">
      <c r="A328" s="150"/>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0</v>
      </c>
      <c r="R328" s="662">
        <f t="shared" si="63"/>
        <v>0</v>
      </c>
      <c r="S328" s="316">
        <f t="shared" si="65"/>
        <v>0</v>
      </c>
    </row>
    <row r="329" spans="1:19">
      <c r="A329" s="150"/>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0</v>
      </c>
      <c r="R329" s="662">
        <f t="shared" si="63"/>
        <v>0</v>
      </c>
      <c r="S329" s="316">
        <f t="shared" si="65"/>
        <v>0</v>
      </c>
    </row>
    <row r="330" spans="1:19">
      <c r="A330" s="150"/>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0</v>
      </c>
      <c r="R330" s="662">
        <f t="shared" si="63"/>
        <v>0</v>
      </c>
      <c r="S330" s="316">
        <f t="shared" si="65"/>
        <v>0</v>
      </c>
    </row>
    <row r="331" spans="1:19">
      <c r="A331" s="150"/>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0</v>
      </c>
      <c r="R331" s="662">
        <f t="shared" si="63"/>
        <v>0</v>
      </c>
      <c r="S331" s="316">
        <f t="shared" si="65"/>
        <v>0</v>
      </c>
    </row>
    <row r="332" spans="1:19">
      <c r="A332" s="150"/>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0</v>
      </c>
      <c r="R332" s="662">
        <f t="shared" si="63"/>
        <v>0</v>
      </c>
      <c r="S332" s="316">
        <f t="shared" si="65"/>
        <v>0</v>
      </c>
    </row>
    <row r="333" spans="1:19">
      <c r="A333" s="150"/>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0</v>
      </c>
      <c r="R333" s="662">
        <f t="shared" si="63"/>
        <v>0</v>
      </c>
      <c r="S333" s="316">
        <f t="shared" si="65"/>
        <v>0</v>
      </c>
    </row>
    <row r="334" spans="1:19">
      <c r="A334" s="150"/>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0</v>
      </c>
      <c r="R334" s="662">
        <f t="shared" si="63"/>
        <v>0</v>
      </c>
      <c r="S334" s="316">
        <f t="shared" si="65"/>
        <v>0</v>
      </c>
    </row>
    <row r="335" spans="1:19">
      <c r="A335" s="150"/>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0</v>
      </c>
      <c r="R335" s="662">
        <f t="shared" si="63"/>
        <v>0</v>
      </c>
      <c r="S335" s="316">
        <f t="shared" si="65"/>
        <v>0</v>
      </c>
    </row>
    <row r="336" spans="1:19">
      <c r="A336" s="150"/>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0</v>
      </c>
      <c r="R336" s="662">
        <f t="shared" si="63"/>
        <v>0</v>
      </c>
      <c r="S336" s="316">
        <f t="shared" si="65"/>
        <v>0</v>
      </c>
    </row>
    <row r="337" spans="1:19">
      <c r="A337" s="150"/>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0</v>
      </c>
      <c r="R337" s="662">
        <f t="shared" si="63"/>
        <v>0</v>
      </c>
      <c r="S337" s="316">
        <f t="shared" si="65"/>
        <v>0</v>
      </c>
    </row>
    <row r="338" spans="1:19">
      <c r="A338" s="150"/>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0</v>
      </c>
      <c r="R338" s="662">
        <f t="shared" si="63"/>
        <v>0</v>
      </c>
      <c r="S338" s="316">
        <f t="shared" si="65"/>
        <v>0</v>
      </c>
    </row>
    <row r="339" spans="1:19">
      <c r="A339" s="150"/>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0</v>
      </c>
      <c r="R339" s="662">
        <f t="shared" si="63"/>
        <v>0</v>
      </c>
      <c r="S339" s="316">
        <f t="shared" si="65"/>
        <v>0</v>
      </c>
    </row>
    <row r="340" spans="1:19">
      <c r="A340" s="150"/>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0</v>
      </c>
      <c r="R340" s="662">
        <f t="shared" si="63"/>
        <v>0</v>
      </c>
      <c r="S340" s="316">
        <f t="shared" si="65"/>
        <v>0</v>
      </c>
    </row>
    <row r="341" spans="1:19">
      <c r="A341" s="150"/>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0</v>
      </c>
      <c r="R341" s="662">
        <f t="shared" si="63"/>
        <v>0</v>
      </c>
      <c r="S341" s="316">
        <f t="shared" si="65"/>
        <v>0</v>
      </c>
    </row>
    <row r="342" spans="1:19">
      <c r="A342" s="150"/>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0</v>
      </c>
      <c r="R342" s="662">
        <f t="shared" si="63"/>
        <v>0</v>
      </c>
      <c r="S342" s="316">
        <f t="shared" si="65"/>
        <v>0</v>
      </c>
    </row>
    <row r="343" spans="1:19">
      <c r="A343" s="150"/>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0</v>
      </c>
      <c r="R343" s="662">
        <f t="shared" si="63"/>
        <v>0</v>
      </c>
      <c r="S343" s="316">
        <f t="shared" si="65"/>
        <v>0</v>
      </c>
    </row>
    <row r="344" spans="1:19">
      <c r="A344" s="150"/>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0</v>
      </c>
      <c r="R344" s="662">
        <f t="shared" si="63"/>
        <v>0</v>
      </c>
      <c r="S344" s="316">
        <f t="shared" si="65"/>
        <v>0</v>
      </c>
    </row>
    <row r="345" spans="1:19">
      <c r="A345" s="150"/>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0</v>
      </c>
      <c r="R345" s="662">
        <f t="shared" si="63"/>
        <v>0</v>
      </c>
      <c r="S345" s="316">
        <f t="shared" si="65"/>
        <v>0</v>
      </c>
    </row>
    <row r="346" spans="1:19">
      <c r="A346" s="150"/>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0</v>
      </c>
      <c r="R346" s="662">
        <f t="shared" ref="R346:R409" si="74">IF(B346="",0,ROUND($R$24*C346*E346*G346*I346*K346*M346*O346*Q346,0))</f>
        <v>0</v>
      </c>
      <c r="S346" s="316">
        <f t="shared" si="65"/>
        <v>0</v>
      </c>
    </row>
    <row r="347" spans="1:19">
      <c r="A347" s="150"/>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0</v>
      </c>
      <c r="R347" s="662">
        <f t="shared" si="74"/>
        <v>0</v>
      </c>
      <c r="S347" s="316">
        <f t="shared" si="65"/>
        <v>0</v>
      </c>
    </row>
    <row r="348" spans="1:19">
      <c r="A348" s="150"/>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0</v>
      </c>
      <c r="R348" s="662">
        <f t="shared" si="74"/>
        <v>0</v>
      </c>
      <c r="S348" s="316">
        <f t="shared" si="65"/>
        <v>0</v>
      </c>
    </row>
    <row r="349" spans="1:19">
      <c r="A349" s="150"/>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0</v>
      </c>
      <c r="R349" s="662">
        <f t="shared" si="74"/>
        <v>0</v>
      </c>
      <c r="S349" s="316">
        <f t="shared" si="65"/>
        <v>0</v>
      </c>
    </row>
    <row r="350" spans="1:19">
      <c r="A350" s="150"/>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0</v>
      </c>
      <c r="R350" s="662">
        <f t="shared" si="74"/>
        <v>0</v>
      </c>
      <c r="S350" s="316">
        <f t="shared" si="65"/>
        <v>0</v>
      </c>
    </row>
    <row r="351" spans="1:19">
      <c r="A351" s="150"/>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0</v>
      </c>
      <c r="R351" s="662">
        <f t="shared" si="74"/>
        <v>0</v>
      </c>
      <c r="S351" s="316">
        <f t="shared" si="65"/>
        <v>0</v>
      </c>
    </row>
    <row r="352" spans="1:19">
      <c r="A352" s="150"/>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0</v>
      </c>
      <c r="R352" s="662">
        <f t="shared" si="74"/>
        <v>0</v>
      </c>
      <c r="S352" s="316">
        <f t="shared" si="65"/>
        <v>0</v>
      </c>
    </row>
    <row r="353" spans="1:19">
      <c r="A353" s="150"/>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0</v>
      </c>
      <c r="R353" s="662">
        <f t="shared" si="74"/>
        <v>0</v>
      </c>
      <c r="S353" s="316">
        <f t="shared" si="65"/>
        <v>0</v>
      </c>
    </row>
    <row r="354" spans="1:19">
      <c r="A354" s="150"/>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0</v>
      </c>
      <c r="R354" s="662">
        <f t="shared" si="74"/>
        <v>0</v>
      </c>
      <c r="S354" s="316">
        <f t="shared" si="65"/>
        <v>0</v>
      </c>
    </row>
    <row r="355" spans="1:19">
      <c r="A355" s="150"/>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0</v>
      </c>
      <c r="R355" s="662">
        <f t="shared" si="74"/>
        <v>0</v>
      </c>
      <c r="S355" s="316">
        <f t="shared" si="65"/>
        <v>0</v>
      </c>
    </row>
    <row r="356" spans="1:19">
      <c r="A356" s="150"/>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0</v>
      </c>
      <c r="R356" s="662">
        <f t="shared" si="74"/>
        <v>0</v>
      </c>
      <c r="S356" s="316">
        <f t="shared" si="65"/>
        <v>0</v>
      </c>
    </row>
    <row r="357" spans="1:19">
      <c r="A357" s="150"/>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0</v>
      </c>
      <c r="R357" s="662">
        <f t="shared" si="74"/>
        <v>0</v>
      </c>
      <c r="S357" s="316">
        <f t="shared" si="65"/>
        <v>0</v>
      </c>
    </row>
    <row r="358" spans="1:19">
      <c r="A358" s="150"/>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0</v>
      </c>
      <c r="R358" s="662">
        <f t="shared" si="74"/>
        <v>0</v>
      </c>
      <c r="S358" s="316">
        <f t="shared" si="65"/>
        <v>0</v>
      </c>
    </row>
    <row r="359" spans="1:19">
      <c r="A359" s="150"/>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0</v>
      </c>
      <c r="R359" s="662">
        <f t="shared" si="74"/>
        <v>0</v>
      </c>
      <c r="S359" s="316">
        <f t="shared" si="65"/>
        <v>0</v>
      </c>
    </row>
    <row r="360" spans="1:19">
      <c r="A360" s="150"/>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0</v>
      </c>
      <c r="R360" s="662">
        <f t="shared" si="74"/>
        <v>0</v>
      </c>
      <c r="S360" s="316">
        <f t="shared" si="65"/>
        <v>0</v>
      </c>
    </row>
    <row r="361" spans="1:19">
      <c r="A361" s="150"/>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0</v>
      </c>
      <c r="R361" s="662">
        <f t="shared" si="74"/>
        <v>0</v>
      </c>
      <c r="S361" s="316">
        <f t="shared" si="65"/>
        <v>0</v>
      </c>
    </row>
    <row r="362" spans="1:19">
      <c r="A362" s="150"/>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0</v>
      </c>
      <c r="R362" s="662">
        <f t="shared" si="74"/>
        <v>0</v>
      </c>
      <c r="S362" s="316">
        <f t="shared" si="65"/>
        <v>0</v>
      </c>
    </row>
    <row r="363" spans="1:19">
      <c r="A363" s="150"/>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0</v>
      </c>
      <c r="R363" s="662">
        <f t="shared" si="74"/>
        <v>0</v>
      </c>
      <c r="S363" s="316">
        <f t="shared" si="65"/>
        <v>0</v>
      </c>
    </row>
    <row r="364" spans="1:19">
      <c r="A364" s="150"/>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0</v>
      </c>
      <c r="R364" s="662">
        <f t="shared" si="74"/>
        <v>0</v>
      </c>
      <c r="S364" s="316">
        <f t="shared" si="65"/>
        <v>0</v>
      </c>
    </row>
    <row r="365" spans="1:19">
      <c r="A365" s="150"/>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0</v>
      </c>
      <c r="R365" s="662">
        <f t="shared" si="74"/>
        <v>0</v>
      </c>
      <c r="S365" s="316">
        <f t="shared" si="65"/>
        <v>0</v>
      </c>
    </row>
    <row r="366" spans="1:19">
      <c r="A366" s="150"/>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0</v>
      </c>
      <c r="R366" s="662">
        <f t="shared" si="74"/>
        <v>0</v>
      </c>
      <c r="S366" s="316">
        <f t="shared" si="65"/>
        <v>0</v>
      </c>
    </row>
    <row r="367" spans="1:19">
      <c r="A367" s="150"/>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0</v>
      </c>
      <c r="R367" s="662">
        <f t="shared" si="74"/>
        <v>0</v>
      </c>
      <c r="S367" s="316">
        <f t="shared" si="65"/>
        <v>0</v>
      </c>
    </row>
    <row r="368" spans="1:19">
      <c r="A368" s="150"/>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0</v>
      </c>
      <c r="R368" s="662">
        <f t="shared" si="74"/>
        <v>0</v>
      </c>
      <c r="S368" s="316">
        <f t="shared" si="65"/>
        <v>0</v>
      </c>
    </row>
    <row r="369" spans="1:19">
      <c r="A369" s="150"/>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0</v>
      </c>
      <c r="R369" s="662">
        <f t="shared" si="74"/>
        <v>0</v>
      </c>
      <c r="S369" s="316">
        <f t="shared" si="65"/>
        <v>0</v>
      </c>
    </row>
    <row r="370" spans="1:19">
      <c r="A370" s="150"/>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0</v>
      </c>
      <c r="R370" s="662">
        <f t="shared" si="74"/>
        <v>0</v>
      </c>
      <c r="S370" s="316">
        <f t="shared" si="65"/>
        <v>0</v>
      </c>
    </row>
    <row r="371" spans="1:19">
      <c r="A371" s="150"/>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0</v>
      </c>
      <c r="R371" s="662">
        <f t="shared" si="74"/>
        <v>0</v>
      </c>
      <c r="S371" s="316">
        <f t="shared" si="65"/>
        <v>0</v>
      </c>
    </row>
    <row r="372" spans="1:19">
      <c r="A372" s="150"/>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0</v>
      </c>
      <c r="R372" s="662">
        <f t="shared" si="74"/>
        <v>0</v>
      </c>
      <c r="S372" s="316">
        <f t="shared" si="65"/>
        <v>0</v>
      </c>
    </row>
    <row r="373" spans="1:19">
      <c r="A373" s="150"/>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0</v>
      </c>
      <c r="R373" s="662">
        <f t="shared" si="74"/>
        <v>0</v>
      </c>
      <c r="S373" s="316">
        <f t="shared" si="65"/>
        <v>0</v>
      </c>
    </row>
    <row r="374" spans="1:19">
      <c r="A374" s="150"/>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0</v>
      </c>
      <c r="R374" s="662">
        <f t="shared" si="74"/>
        <v>0</v>
      </c>
      <c r="S374" s="316">
        <f t="shared" si="65"/>
        <v>0</v>
      </c>
    </row>
    <row r="375" spans="1:19">
      <c r="A375" s="150"/>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0</v>
      </c>
      <c r="R375" s="662">
        <f t="shared" si="74"/>
        <v>0</v>
      </c>
      <c r="S375" s="316">
        <f t="shared" si="65"/>
        <v>0</v>
      </c>
    </row>
    <row r="376" spans="1:19">
      <c r="A376" s="150"/>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0</v>
      </c>
      <c r="R376" s="662">
        <f t="shared" si="74"/>
        <v>0</v>
      </c>
      <c r="S376" s="316">
        <f t="shared" si="65"/>
        <v>0</v>
      </c>
    </row>
    <row r="377" spans="1:19">
      <c r="A377" s="150"/>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0</v>
      </c>
      <c r="R377" s="662">
        <f t="shared" si="74"/>
        <v>0</v>
      </c>
      <c r="S377" s="316">
        <f t="shared" si="65"/>
        <v>0</v>
      </c>
    </row>
    <row r="378" spans="1:19">
      <c r="A378" s="150"/>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0</v>
      </c>
      <c r="R378" s="662">
        <f t="shared" si="74"/>
        <v>0</v>
      </c>
      <c r="S378" s="316">
        <f t="shared" si="65"/>
        <v>0</v>
      </c>
    </row>
    <row r="379" spans="1:19">
      <c r="A379" s="150"/>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0</v>
      </c>
      <c r="R379" s="662">
        <f t="shared" si="74"/>
        <v>0</v>
      </c>
      <c r="S379" s="316">
        <f t="shared" si="65"/>
        <v>0</v>
      </c>
    </row>
    <row r="380" spans="1:19">
      <c r="A380" s="150"/>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0</v>
      </c>
      <c r="R380" s="662">
        <f t="shared" si="74"/>
        <v>0</v>
      </c>
      <c r="S380" s="316">
        <f t="shared" si="65"/>
        <v>0</v>
      </c>
    </row>
    <row r="381" spans="1:19">
      <c r="A381" s="150"/>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0</v>
      </c>
      <c r="R381" s="662">
        <f t="shared" si="74"/>
        <v>0</v>
      </c>
      <c r="S381" s="316">
        <f t="shared" si="65"/>
        <v>0</v>
      </c>
    </row>
    <row r="382" spans="1:19">
      <c r="A382" s="150"/>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0</v>
      </c>
      <c r="R382" s="662">
        <f t="shared" si="74"/>
        <v>0</v>
      </c>
      <c r="S382" s="316">
        <f t="shared" si="65"/>
        <v>0</v>
      </c>
    </row>
    <row r="383" spans="1:19">
      <c r="A383" s="150"/>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0</v>
      </c>
      <c r="R383" s="662">
        <f t="shared" si="74"/>
        <v>0</v>
      </c>
      <c r="S383" s="316">
        <f t="shared" si="65"/>
        <v>0</v>
      </c>
    </row>
    <row r="384" spans="1:19">
      <c r="A384" s="150"/>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0</v>
      </c>
      <c r="R384" s="662">
        <f t="shared" si="74"/>
        <v>0</v>
      </c>
      <c r="S384" s="316">
        <f t="shared" si="65"/>
        <v>0</v>
      </c>
    </row>
    <row r="385" spans="1:19">
      <c r="A385" s="150"/>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0</v>
      </c>
      <c r="R385" s="662">
        <f t="shared" si="74"/>
        <v>0</v>
      </c>
      <c r="S385" s="316">
        <f t="shared" ref="S385:S422" si="75">ROUND(R385*B385/10000,0)</f>
        <v>0</v>
      </c>
    </row>
    <row r="386" spans="1:19">
      <c r="A386" s="150"/>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0</v>
      </c>
      <c r="R386" s="662">
        <f t="shared" si="74"/>
        <v>0</v>
      </c>
      <c r="S386" s="316">
        <f t="shared" si="75"/>
        <v>0</v>
      </c>
    </row>
    <row r="387" spans="1:19">
      <c r="A387" s="150"/>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0</v>
      </c>
      <c r="R387" s="662">
        <f t="shared" si="74"/>
        <v>0</v>
      </c>
      <c r="S387" s="316">
        <f t="shared" si="75"/>
        <v>0</v>
      </c>
    </row>
    <row r="388" spans="1:19">
      <c r="A388" s="150"/>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0</v>
      </c>
      <c r="R388" s="662">
        <f t="shared" si="74"/>
        <v>0</v>
      </c>
      <c r="S388" s="316">
        <f t="shared" si="75"/>
        <v>0</v>
      </c>
    </row>
    <row r="389" spans="1:19">
      <c r="A389" s="150"/>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0</v>
      </c>
      <c r="R389" s="662">
        <f t="shared" si="74"/>
        <v>0</v>
      </c>
      <c r="S389" s="316">
        <f t="shared" si="75"/>
        <v>0</v>
      </c>
    </row>
    <row r="390" spans="1:19">
      <c r="A390" s="150"/>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0</v>
      </c>
      <c r="R390" s="662">
        <f t="shared" si="74"/>
        <v>0</v>
      </c>
      <c r="S390" s="316">
        <f t="shared" si="75"/>
        <v>0</v>
      </c>
    </row>
    <row r="391" spans="1:19">
      <c r="A391" s="150"/>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0</v>
      </c>
      <c r="R391" s="662">
        <f t="shared" si="74"/>
        <v>0</v>
      </c>
      <c r="S391" s="316">
        <f t="shared" si="75"/>
        <v>0</v>
      </c>
    </row>
    <row r="392" spans="1:19">
      <c r="A392" s="150"/>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0</v>
      </c>
      <c r="R392" s="662">
        <f t="shared" si="74"/>
        <v>0</v>
      </c>
      <c r="S392" s="316">
        <f t="shared" si="75"/>
        <v>0</v>
      </c>
    </row>
    <row r="393" spans="1:19">
      <c r="A393" s="150"/>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0</v>
      </c>
      <c r="R393" s="662">
        <f t="shared" si="74"/>
        <v>0</v>
      </c>
      <c r="S393" s="316">
        <f t="shared" si="75"/>
        <v>0</v>
      </c>
    </row>
    <row r="394" spans="1:19">
      <c r="A394" s="150"/>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0</v>
      </c>
      <c r="R394" s="662">
        <f t="shared" si="74"/>
        <v>0</v>
      </c>
      <c r="S394" s="316">
        <f t="shared" si="75"/>
        <v>0</v>
      </c>
    </row>
    <row r="395" spans="1:19">
      <c r="A395" s="150"/>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0</v>
      </c>
      <c r="R395" s="662">
        <f t="shared" si="74"/>
        <v>0</v>
      </c>
      <c r="S395" s="316">
        <f t="shared" si="75"/>
        <v>0</v>
      </c>
    </row>
    <row r="396" spans="1:19">
      <c r="A396" s="150"/>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0</v>
      </c>
      <c r="R396" s="662">
        <f t="shared" si="74"/>
        <v>0</v>
      </c>
      <c r="S396" s="316">
        <f t="shared" si="75"/>
        <v>0</v>
      </c>
    </row>
    <row r="397" spans="1:19">
      <c r="A397" s="150"/>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0</v>
      </c>
      <c r="R397" s="662">
        <f t="shared" si="74"/>
        <v>0</v>
      </c>
      <c r="S397" s="316">
        <f t="shared" si="75"/>
        <v>0</v>
      </c>
    </row>
    <row r="398" spans="1:19">
      <c r="A398" s="150"/>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0</v>
      </c>
      <c r="R398" s="662">
        <f t="shared" si="74"/>
        <v>0</v>
      </c>
      <c r="S398" s="316">
        <f t="shared" si="75"/>
        <v>0</v>
      </c>
    </row>
    <row r="399" spans="1:19">
      <c r="A399" s="150"/>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0</v>
      </c>
      <c r="R399" s="662">
        <f t="shared" si="74"/>
        <v>0</v>
      </c>
      <c r="S399" s="316">
        <f t="shared" si="75"/>
        <v>0</v>
      </c>
    </row>
    <row r="400" spans="1:19">
      <c r="A400" s="150"/>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0</v>
      </c>
      <c r="R400" s="662">
        <f t="shared" si="74"/>
        <v>0</v>
      </c>
      <c r="S400" s="316">
        <f t="shared" si="75"/>
        <v>0</v>
      </c>
    </row>
    <row r="401" spans="1:19">
      <c r="A401" s="150"/>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0</v>
      </c>
      <c r="R401" s="662">
        <f t="shared" si="74"/>
        <v>0</v>
      </c>
      <c r="S401" s="316">
        <f t="shared" si="75"/>
        <v>0</v>
      </c>
    </row>
    <row r="402" spans="1:19">
      <c r="A402" s="150"/>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0</v>
      </c>
      <c r="R402" s="662">
        <f t="shared" si="74"/>
        <v>0</v>
      </c>
      <c r="S402" s="316">
        <f t="shared" si="75"/>
        <v>0</v>
      </c>
    </row>
    <row r="403" spans="1:19">
      <c r="A403" s="150"/>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0</v>
      </c>
      <c r="R403" s="662">
        <f t="shared" si="74"/>
        <v>0</v>
      </c>
      <c r="S403" s="316">
        <f t="shared" si="75"/>
        <v>0</v>
      </c>
    </row>
    <row r="404" spans="1:19">
      <c r="A404" s="150"/>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0</v>
      </c>
      <c r="R404" s="662">
        <f t="shared" si="74"/>
        <v>0</v>
      </c>
      <c r="S404" s="316">
        <f t="shared" si="75"/>
        <v>0</v>
      </c>
    </row>
    <row r="405" spans="1:19">
      <c r="A405" s="150"/>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0</v>
      </c>
      <c r="R405" s="662">
        <f t="shared" si="74"/>
        <v>0</v>
      </c>
      <c r="S405" s="316">
        <f t="shared" si="75"/>
        <v>0</v>
      </c>
    </row>
    <row r="406" spans="1:19">
      <c r="A406" s="150"/>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0</v>
      </c>
      <c r="R406" s="662">
        <f t="shared" si="74"/>
        <v>0</v>
      </c>
      <c r="S406" s="316">
        <f t="shared" si="75"/>
        <v>0</v>
      </c>
    </row>
    <row r="407" spans="1:19">
      <c r="A407" s="150"/>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0</v>
      </c>
      <c r="R407" s="662">
        <f t="shared" si="74"/>
        <v>0</v>
      </c>
      <c r="S407" s="316">
        <f t="shared" si="75"/>
        <v>0</v>
      </c>
    </row>
    <row r="408" spans="1:19">
      <c r="A408" s="150"/>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0</v>
      </c>
      <c r="R408" s="662">
        <f t="shared" si="74"/>
        <v>0</v>
      </c>
      <c r="S408" s="316">
        <f t="shared" si="75"/>
        <v>0</v>
      </c>
    </row>
    <row r="409" spans="1:19">
      <c r="A409" s="150"/>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0</v>
      </c>
      <c r="R409" s="662">
        <f t="shared" si="74"/>
        <v>0</v>
      </c>
      <c r="S409" s="316">
        <f t="shared" si="75"/>
        <v>0</v>
      </c>
    </row>
    <row r="410" spans="1:19">
      <c r="A410" s="150"/>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0</v>
      </c>
      <c r="R410" s="662">
        <f t="shared" ref="R410:R473" si="84">IF(B410="",0,ROUND($R$24*C410*E410*G410*I410*K410*M410*O410*Q410,0))</f>
        <v>0</v>
      </c>
      <c r="S410" s="316">
        <f t="shared" si="75"/>
        <v>0</v>
      </c>
    </row>
    <row r="411" spans="1:19">
      <c r="A411" s="150"/>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0</v>
      </c>
      <c r="R411" s="662">
        <f t="shared" si="84"/>
        <v>0</v>
      </c>
      <c r="S411" s="316">
        <f t="shared" si="75"/>
        <v>0</v>
      </c>
    </row>
    <row r="412" spans="1:19">
      <c r="A412" s="150"/>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0</v>
      </c>
      <c r="R412" s="662">
        <f t="shared" si="84"/>
        <v>0</v>
      </c>
      <c r="S412" s="316">
        <f t="shared" si="75"/>
        <v>0</v>
      </c>
    </row>
    <row r="413" spans="1:19">
      <c r="A413" s="150"/>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0</v>
      </c>
      <c r="R413" s="662">
        <f t="shared" si="84"/>
        <v>0</v>
      </c>
      <c r="S413" s="316">
        <f t="shared" si="75"/>
        <v>0</v>
      </c>
    </row>
    <row r="414" spans="1:19">
      <c r="A414" s="150"/>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0</v>
      </c>
      <c r="R414" s="662">
        <f t="shared" si="84"/>
        <v>0</v>
      </c>
      <c r="S414" s="316">
        <f t="shared" si="75"/>
        <v>0</v>
      </c>
    </row>
    <row r="415" spans="1:19">
      <c r="A415" s="150"/>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0</v>
      </c>
      <c r="R415" s="662">
        <f t="shared" si="84"/>
        <v>0</v>
      </c>
      <c r="S415" s="316">
        <f t="shared" si="75"/>
        <v>0</v>
      </c>
    </row>
    <row r="416" spans="1:19">
      <c r="A416" s="150"/>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0</v>
      </c>
      <c r="R416" s="662">
        <f t="shared" si="84"/>
        <v>0</v>
      </c>
      <c r="S416" s="316">
        <f t="shared" si="75"/>
        <v>0</v>
      </c>
    </row>
    <row r="417" spans="1:19">
      <c r="A417" s="150"/>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0</v>
      </c>
      <c r="R417" s="662">
        <f t="shared" si="84"/>
        <v>0</v>
      </c>
      <c r="S417" s="316">
        <f t="shared" si="75"/>
        <v>0</v>
      </c>
    </row>
    <row r="418" spans="1:19">
      <c r="A418" s="150"/>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0</v>
      </c>
      <c r="R418" s="662">
        <f t="shared" si="84"/>
        <v>0</v>
      </c>
      <c r="S418" s="316">
        <f t="shared" si="75"/>
        <v>0</v>
      </c>
    </row>
    <row r="419" spans="1:19">
      <c r="A419" s="150"/>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0</v>
      </c>
      <c r="R419" s="662">
        <f t="shared" si="84"/>
        <v>0</v>
      </c>
      <c r="S419" s="316">
        <f t="shared" si="75"/>
        <v>0</v>
      </c>
    </row>
    <row r="420" spans="1:19">
      <c r="A420" s="150"/>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0</v>
      </c>
      <c r="R420" s="662">
        <f t="shared" si="84"/>
        <v>0</v>
      </c>
      <c r="S420" s="316">
        <f t="shared" si="75"/>
        <v>0</v>
      </c>
    </row>
    <row r="421" spans="1:19">
      <c r="A421" s="150"/>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0</v>
      </c>
      <c r="R421" s="662">
        <f t="shared" si="84"/>
        <v>0</v>
      </c>
      <c r="S421" s="316">
        <f t="shared" si="75"/>
        <v>0</v>
      </c>
    </row>
    <row r="422" spans="1:19">
      <c r="A422" s="150"/>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0</v>
      </c>
      <c r="R422" s="662">
        <f t="shared" si="84"/>
        <v>0</v>
      </c>
      <c r="S422" s="316">
        <f t="shared" si="75"/>
        <v>0</v>
      </c>
    </row>
    <row r="423" spans="1:19">
      <c r="A423" s="150"/>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0</v>
      </c>
      <c r="R423" s="662">
        <f t="shared" si="84"/>
        <v>0</v>
      </c>
      <c r="S423" s="316">
        <f t="shared" ref="S423:S467" si="85">ROUND(R423*B423/10000,0)</f>
        <v>0</v>
      </c>
    </row>
    <row r="424" spans="1:19">
      <c r="A424" s="150"/>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0</v>
      </c>
      <c r="R424" s="662">
        <f t="shared" si="84"/>
        <v>0</v>
      </c>
      <c r="S424" s="316">
        <f t="shared" si="85"/>
        <v>0</v>
      </c>
    </row>
    <row r="425" spans="1:19">
      <c r="A425" s="150"/>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0</v>
      </c>
      <c r="R425" s="662">
        <f t="shared" si="84"/>
        <v>0</v>
      </c>
      <c r="S425" s="316">
        <f t="shared" si="85"/>
        <v>0</v>
      </c>
    </row>
    <row r="426" spans="1:19">
      <c r="A426" s="150"/>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0</v>
      </c>
      <c r="R426" s="662">
        <f t="shared" si="84"/>
        <v>0</v>
      </c>
      <c r="S426" s="316">
        <f t="shared" si="85"/>
        <v>0</v>
      </c>
    </row>
    <row r="427" spans="1:19">
      <c r="A427" s="150"/>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0</v>
      </c>
      <c r="R427" s="662">
        <f t="shared" si="84"/>
        <v>0</v>
      </c>
      <c r="S427" s="316">
        <f t="shared" si="85"/>
        <v>0</v>
      </c>
    </row>
    <row r="428" spans="1:19">
      <c r="A428" s="150"/>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0</v>
      </c>
      <c r="R428" s="662">
        <f t="shared" si="84"/>
        <v>0</v>
      </c>
      <c r="S428" s="316">
        <f t="shared" si="85"/>
        <v>0</v>
      </c>
    </row>
    <row r="429" spans="1:19">
      <c r="A429" s="150"/>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0</v>
      </c>
      <c r="R429" s="662">
        <f t="shared" si="84"/>
        <v>0</v>
      </c>
      <c r="S429" s="316">
        <f t="shared" si="85"/>
        <v>0</v>
      </c>
    </row>
    <row r="430" spans="1:19">
      <c r="A430" s="150"/>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0</v>
      </c>
      <c r="R430" s="662">
        <f t="shared" si="84"/>
        <v>0</v>
      </c>
      <c r="S430" s="316">
        <f t="shared" si="85"/>
        <v>0</v>
      </c>
    </row>
    <row r="431" spans="1:19">
      <c r="A431" s="150"/>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0</v>
      </c>
      <c r="R431" s="662">
        <f t="shared" si="84"/>
        <v>0</v>
      </c>
      <c r="S431" s="316">
        <f t="shared" si="85"/>
        <v>0</v>
      </c>
    </row>
    <row r="432" spans="1:19">
      <c r="A432" s="150"/>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0</v>
      </c>
      <c r="R432" s="662">
        <f t="shared" si="84"/>
        <v>0</v>
      </c>
      <c r="S432" s="316">
        <f t="shared" si="85"/>
        <v>0</v>
      </c>
    </row>
    <row r="433" spans="1:19">
      <c r="A433" s="150"/>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0</v>
      </c>
      <c r="R433" s="662">
        <f t="shared" si="84"/>
        <v>0</v>
      </c>
      <c r="S433" s="316">
        <f t="shared" si="85"/>
        <v>0</v>
      </c>
    </row>
    <row r="434" spans="1:19">
      <c r="A434" s="150"/>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0</v>
      </c>
      <c r="R434" s="662">
        <f t="shared" si="84"/>
        <v>0</v>
      </c>
      <c r="S434" s="316">
        <f t="shared" si="85"/>
        <v>0</v>
      </c>
    </row>
    <row r="435" spans="1:19">
      <c r="A435" s="150"/>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0</v>
      </c>
      <c r="R435" s="662">
        <f t="shared" si="84"/>
        <v>0</v>
      </c>
      <c r="S435" s="316">
        <f t="shared" si="85"/>
        <v>0</v>
      </c>
    </row>
    <row r="436" spans="1:19">
      <c r="A436" s="150"/>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0</v>
      </c>
      <c r="R436" s="662">
        <f t="shared" si="84"/>
        <v>0</v>
      </c>
      <c r="S436" s="316">
        <f t="shared" si="85"/>
        <v>0</v>
      </c>
    </row>
    <row r="437" spans="1:19">
      <c r="A437" s="150"/>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0</v>
      </c>
      <c r="R437" s="662">
        <f t="shared" si="84"/>
        <v>0</v>
      </c>
      <c r="S437" s="316">
        <f t="shared" si="85"/>
        <v>0</v>
      </c>
    </row>
    <row r="438" spans="1:19">
      <c r="A438" s="150"/>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0</v>
      </c>
      <c r="R438" s="662">
        <f t="shared" si="84"/>
        <v>0</v>
      </c>
      <c r="S438" s="316">
        <f t="shared" si="85"/>
        <v>0</v>
      </c>
    </row>
    <row r="439" spans="1:19">
      <c r="A439" s="150"/>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0</v>
      </c>
      <c r="R439" s="662">
        <f t="shared" si="84"/>
        <v>0</v>
      </c>
      <c r="S439" s="316">
        <f t="shared" si="85"/>
        <v>0</v>
      </c>
    </row>
    <row r="440" spans="1:19">
      <c r="A440" s="150"/>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0</v>
      </c>
      <c r="R440" s="662">
        <f t="shared" si="84"/>
        <v>0</v>
      </c>
      <c r="S440" s="316">
        <f t="shared" si="85"/>
        <v>0</v>
      </c>
    </row>
    <row r="441" spans="1:19">
      <c r="A441" s="150"/>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0</v>
      </c>
      <c r="R441" s="662">
        <f t="shared" si="84"/>
        <v>0</v>
      </c>
      <c r="S441" s="316">
        <f t="shared" si="85"/>
        <v>0</v>
      </c>
    </row>
    <row r="442" spans="1:19">
      <c r="A442" s="150"/>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0</v>
      </c>
      <c r="R442" s="662">
        <f t="shared" si="84"/>
        <v>0</v>
      </c>
      <c r="S442" s="316">
        <f t="shared" si="85"/>
        <v>0</v>
      </c>
    </row>
    <row r="443" spans="1:19">
      <c r="A443" s="150"/>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0</v>
      </c>
      <c r="R443" s="662">
        <f t="shared" si="84"/>
        <v>0</v>
      </c>
      <c r="S443" s="316">
        <f t="shared" si="85"/>
        <v>0</v>
      </c>
    </row>
    <row r="444" spans="1:19">
      <c r="A444" s="150"/>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0</v>
      </c>
      <c r="R444" s="662">
        <f t="shared" si="84"/>
        <v>0</v>
      </c>
      <c r="S444" s="316">
        <f t="shared" si="85"/>
        <v>0</v>
      </c>
    </row>
    <row r="445" spans="1:19">
      <c r="A445" s="150"/>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0</v>
      </c>
      <c r="R445" s="662">
        <f t="shared" si="84"/>
        <v>0</v>
      </c>
      <c r="S445" s="316">
        <f t="shared" si="85"/>
        <v>0</v>
      </c>
    </row>
    <row r="446" spans="1:19">
      <c r="A446" s="150"/>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0</v>
      </c>
      <c r="R446" s="662">
        <f t="shared" si="84"/>
        <v>0</v>
      </c>
      <c r="S446" s="316">
        <f t="shared" si="85"/>
        <v>0</v>
      </c>
    </row>
    <row r="447" spans="1:19">
      <c r="A447" s="150"/>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0</v>
      </c>
      <c r="R447" s="662">
        <f t="shared" si="84"/>
        <v>0</v>
      </c>
      <c r="S447" s="316">
        <f t="shared" si="85"/>
        <v>0</v>
      </c>
    </row>
    <row r="448" spans="1:19">
      <c r="A448" s="150"/>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0</v>
      </c>
      <c r="R448" s="662">
        <f t="shared" si="84"/>
        <v>0</v>
      </c>
      <c r="S448" s="316">
        <f t="shared" si="85"/>
        <v>0</v>
      </c>
    </row>
    <row r="449" spans="1:19">
      <c r="A449" s="150"/>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0</v>
      </c>
      <c r="R449" s="662">
        <f t="shared" si="84"/>
        <v>0</v>
      </c>
      <c r="S449" s="316">
        <f t="shared" si="85"/>
        <v>0</v>
      </c>
    </row>
    <row r="450" spans="1:19">
      <c r="A450" s="150"/>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0</v>
      </c>
      <c r="R450" s="662">
        <f t="shared" si="84"/>
        <v>0</v>
      </c>
      <c r="S450" s="316">
        <f t="shared" si="85"/>
        <v>0</v>
      </c>
    </row>
    <row r="451" spans="1:19">
      <c r="A451" s="150"/>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0</v>
      </c>
      <c r="R451" s="662">
        <f t="shared" si="84"/>
        <v>0</v>
      </c>
      <c r="S451" s="316">
        <f t="shared" si="85"/>
        <v>0</v>
      </c>
    </row>
    <row r="452" spans="1:19">
      <c r="A452" s="150"/>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0</v>
      </c>
      <c r="R452" s="662">
        <f t="shared" si="84"/>
        <v>0</v>
      </c>
      <c r="S452" s="316">
        <f t="shared" si="85"/>
        <v>0</v>
      </c>
    </row>
    <row r="453" spans="1:19">
      <c r="A453" s="150"/>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0</v>
      </c>
      <c r="R453" s="662">
        <f t="shared" si="84"/>
        <v>0</v>
      </c>
      <c r="S453" s="316">
        <f t="shared" si="85"/>
        <v>0</v>
      </c>
    </row>
    <row r="454" spans="1:19">
      <c r="A454" s="150"/>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0</v>
      </c>
      <c r="R454" s="662">
        <f t="shared" si="84"/>
        <v>0</v>
      </c>
      <c r="S454" s="316">
        <f t="shared" si="85"/>
        <v>0</v>
      </c>
    </row>
    <row r="455" spans="1:19">
      <c r="A455" s="150"/>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0</v>
      </c>
      <c r="R455" s="662">
        <f t="shared" si="84"/>
        <v>0</v>
      </c>
      <c r="S455" s="316">
        <f t="shared" si="85"/>
        <v>0</v>
      </c>
    </row>
    <row r="456" spans="1:19">
      <c r="A456" s="150"/>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0</v>
      </c>
      <c r="R456" s="662">
        <f t="shared" si="84"/>
        <v>0</v>
      </c>
      <c r="S456" s="316">
        <f t="shared" si="85"/>
        <v>0</v>
      </c>
    </row>
    <row r="457" spans="1:19">
      <c r="A457" s="150"/>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0</v>
      </c>
      <c r="R457" s="662">
        <f t="shared" si="84"/>
        <v>0</v>
      </c>
      <c r="S457" s="316">
        <f t="shared" si="85"/>
        <v>0</v>
      </c>
    </row>
    <row r="458" spans="1:19">
      <c r="A458" s="150"/>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0</v>
      </c>
      <c r="R458" s="662">
        <f t="shared" si="84"/>
        <v>0</v>
      </c>
      <c r="S458" s="316">
        <f t="shared" si="85"/>
        <v>0</v>
      </c>
    </row>
    <row r="459" spans="1:19">
      <c r="A459" s="150"/>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0</v>
      </c>
      <c r="R459" s="662">
        <f t="shared" si="84"/>
        <v>0</v>
      </c>
      <c r="S459" s="316">
        <f t="shared" si="85"/>
        <v>0</v>
      </c>
    </row>
    <row r="460" spans="1:19">
      <c r="A460" s="150"/>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0</v>
      </c>
      <c r="R460" s="662">
        <f t="shared" si="84"/>
        <v>0</v>
      </c>
      <c r="S460" s="316">
        <f t="shared" si="85"/>
        <v>0</v>
      </c>
    </row>
    <row r="461" spans="1:19">
      <c r="A461" s="150"/>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0</v>
      </c>
      <c r="R461" s="662">
        <f t="shared" si="84"/>
        <v>0</v>
      </c>
      <c r="S461" s="316">
        <f t="shared" si="85"/>
        <v>0</v>
      </c>
    </row>
    <row r="462" spans="1:19">
      <c r="A462" s="150"/>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0</v>
      </c>
      <c r="R462" s="662">
        <f t="shared" si="84"/>
        <v>0</v>
      </c>
      <c r="S462" s="316">
        <f t="shared" si="85"/>
        <v>0</v>
      </c>
    </row>
    <row r="463" spans="1:19">
      <c r="A463" s="150"/>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0</v>
      </c>
      <c r="R463" s="662">
        <f t="shared" si="84"/>
        <v>0</v>
      </c>
      <c r="S463" s="316">
        <f t="shared" si="85"/>
        <v>0</v>
      </c>
    </row>
    <row r="464" spans="1:19">
      <c r="A464" s="150"/>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0</v>
      </c>
      <c r="R464" s="662">
        <f t="shared" si="84"/>
        <v>0</v>
      </c>
      <c r="S464" s="316">
        <f t="shared" si="85"/>
        <v>0</v>
      </c>
    </row>
    <row r="465" spans="1:19">
      <c r="A465" s="150"/>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0</v>
      </c>
      <c r="R465" s="662">
        <f t="shared" si="84"/>
        <v>0</v>
      </c>
      <c r="S465" s="316">
        <f t="shared" si="85"/>
        <v>0</v>
      </c>
    </row>
    <row r="466" spans="1:19">
      <c r="A466" s="150"/>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0</v>
      </c>
      <c r="R466" s="662">
        <f t="shared" si="84"/>
        <v>0</v>
      </c>
      <c r="S466" s="316">
        <f t="shared" si="85"/>
        <v>0</v>
      </c>
    </row>
    <row r="467" spans="1:19">
      <c r="A467" s="150"/>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0</v>
      </c>
      <c r="R467" s="662">
        <f t="shared" si="84"/>
        <v>0</v>
      </c>
      <c r="S467" s="316">
        <f t="shared" si="85"/>
        <v>0</v>
      </c>
    </row>
    <row r="468" spans="1:19">
      <c r="A468" s="150"/>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0</v>
      </c>
      <c r="R468" s="662">
        <f t="shared" si="84"/>
        <v>0</v>
      </c>
      <c r="S468" s="316">
        <f t="shared" ref="S468:S497" si="86">ROUND(R468*B468/10000,0)</f>
        <v>0</v>
      </c>
    </row>
    <row r="469" spans="1:19">
      <c r="A469" s="150"/>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0</v>
      </c>
      <c r="R469" s="662">
        <f t="shared" si="84"/>
        <v>0</v>
      </c>
      <c r="S469" s="316">
        <f t="shared" si="86"/>
        <v>0</v>
      </c>
    </row>
    <row r="470" spans="1:19">
      <c r="A470" s="150"/>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0</v>
      </c>
      <c r="R470" s="662">
        <f t="shared" si="84"/>
        <v>0</v>
      </c>
      <c r="S470" s="316">
        <f t="shared" si="86"/>
        <v>0</v>
      </c>
    </row>
    <row r="471" spans="1:19">
      <c r="A471" s="150"/>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0</v>
      </c>
      <c r="R471" s="662">
        <f t="shared" si="84"/>
        <v>0</v>
      </c>
      <c r="S471" s="316">
        <f t="shared" si="86"/>
        <v>0</v>
      </c>
    </row>
    <row r="472" spans="1:19">
      <c r="A472" s="150"/>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0</v>
      </c>
      <c r="R472" s="662">
        <f t="shared" si="84"/>
        <v>0</v>
      </c>
      <c r="S472" s="316">
        <f t="shared" si="86"/>
        <v>0</v>
      </c>
    </row>
    <row r="473" spans="1:19">
      <c r="A473" s="150"/>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0</v>
      </c>
      <c r="R473" s="662">
        <f t="shared" si="84"/>
        <v>0</v>
      </c>
      <c r="S473" s="316">
        <f t="shared" si="86"/>
        <v>0</v>
      </c>
    </row>
    <row r="474" spans="1:19">
      <c r="A474" s="150"/>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0</v>
      </c>
      <c r="R474" s="662">
        <f t="shared" ref="R474:R524" si="95">IF(B474="",0,ROUND($R$24*C474*E474*G474*I474*K474*M474*O474*Q474,0))</f>
        <v>0</v>
      </c>
      <c r="S474" s="316">
        <f t="shared" si="86"/>
        <v>0</v>
      </c>
    </row>
    <row r="475" spans="1:19">
      <c r="A475" s="150"/>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0</v>
      </c>
      <c r="R475" s="662">
        <f t="shared" si="95"/>
        <v>0</v>
      </c>
      <c r="S475" s="316">
        <f t="shared" si="86"/>
        <v>0</v>
      </c>
    </row>
    <row r="476" spans="1:19">
      <c r="A476" s="150"/>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0</v>
      </c>
      <c r="R476" s="662">
        <f t="shared" si="95"/>
        <v>0</v>
      </c>
      <c r="S476" s="316">
        <f t="shared" si="86"/>
        <v>0</v>
      </c>
    </row>
    <row r="477" spans="1:19">
      <c r="A477" s="150"/>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0</v>
      </c>
      <c r="R477" s="662">
        <f t="shared" si="95"/>
        <v>0</v>
      </c>
      <c r="S477" s="316">
        <f t="shared" si="86"/>
        <v>0</v>
      </c>
    </row>
    <row r="478" spans="1:19">
      <c r="A478" s="150"/>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0</v>
      </c>
      <c r="R478" s="662">
        <f t="shared" si="95"/>
        <v>0</v>
      </c>
      <c r="S478" s="316">
        <f t="shared" si="86"/>
        <v>0</v>
      </c>
    </row>
    <row r="479" spans="1:19">
      <c r="A479" s="150"/>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0</v>
      </c>
      <c r="R479" s="662">
        <f t="shared" si="95"/>
        <v>0</v>
      </c>
      <c r="S479" s="316">
        <f t="shared" si="86"/>
        <v>0</v>
      </c>
    </row>
    <row r="480" spans="1:19">
      <c r="A480" s="150"/>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0</v>
      </c>
      <c r="R480" s="662">
        <f t="shared" si="95"/>
        <v>0</v>
      </c>
      <c r="S480" s="316">
        <f t="shared" si="86"/>
        <v>0</v>
      </c>
    </row>
    <row r="481" spans="1:19">
      <c r="A481" s="150"/>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0</v>
      </c>
      <c r="R481" s="662">
        <f t="shared" si="95"/>
        <v>0</v>
      </c>
      <c r="S481" s="316">
        <f t="shared" si="86"/>
        <v>0</v>
      </c>
    </row>
    <row r="482" spans="1:19">
      <c r="A482" s="150"/>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0</v>
      </c>
      <c r="R482" s="662">
        <f t="shared" si="95"/>
        <v>0</v>
      </c>
      <c r="S482" s="316">
        <f t="shared" si="86"/>
        <v>0</v>
      </c>
    </row>
    <row r="483" spans="1:19">
      <c r="A483" s="150"/>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0</v>
      </c>
      <c r="R483" s="662">
        <f t="shared" si="95"/>
        <v>0</v>
      </c>
      <c r="S483" s="316">
        <f t="shared" si="86"/>
        <v>0</v>
      </c>
    </row>
    <row r="484" spans="1:19">
      <c r="A484" s="150"/>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0</v>
      </c>
      <c r="R484" s="662">
        <f t="shared" si="95"/>
        <v>0</v>
      </c>
      <c r="S484" s="316">
        <f t="shared" si="86"/>
        <v>0</v>
      </c>
    </row>
    <row r="485" spans="1:19">
      <c r="A485" s="150"/>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0</v>
      </c>
      <c r="R485" s="662">
        <f t="shared" si="95"/>
        <v>0</v>
      </c>
      <c r="S485" s="316">
        <f t="shared" si="86"/>
        <v>0</v>
      </c>
    </row>
    <row r="486" spans="1:19">
      <c r="A486" s="150"/>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0</v>
      </c>
      <c r="R486" s="662">
        <f t="shared" si="95"/>
        <v>0</v>
      </c>
      <c r="S486" s="316">
        <f t="shared" si="86"/>
        <v>0</v>
      </c>
    </row>
    <row r="487" spans="1:19">
      <c r="A487" s="150"/>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0</v>
      </c>
      <c r="R487" s="662">
        <f t="shared" si="95"/>
        <v>0</v>
      </c>
      <c r="S487" s="316">
        <f t="shared" si="86"/>
        <v>0</v>
      </c>
    </row>
    <row r="488" spans="1:19">
      <c r="A488" s="150"/>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0</v>
      </c>
      <c r="R488" s="662">
        <f t="shared" si="95"/>
        <v>0</v>
      </c>
      <c r="S488" s="316">
        <f t="shared" si="86"/>
        <v>0</v>
      </c>
    </row>
    <row r="489" spans="1:19">
      <c r="A489" s="150"/>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0</v>
      </c>
      <c r="R489" s="662">
        <f t="shared" si="95"/>
        <v>0</v>
      </c>
      <c r="S489" s="316">
        <f t="shared" si="86"/>
        <v>0</v>
      </c>
    </row>
    <row r="490" spans="1:19">
      <c r="A490" s="150"/>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0</v>
      </c>
      <c r="R490" s="662">
        <f t="shared" si="95"/>
        <v>0</v>
      </c>
      <c r="S490" s="316">
        <f t="shared" si="86"/>
        <v>0</v>
      </c>
    </row>
    <row r="491" spans="1:19">
      <c r="A491" s="150"/>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0</v>
      </c>
      <c r="R491" s="662">
        <f t="shared" si="95"/>
        <v>0</v>
      </c>
      <c r="S491" s="316">
        <f t="shared" si="86"/>
        <v>0</v>
      </c>
    </row>
    <row r="492" spans="1:19">
      <c r="A492" s="150"/>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0</v>
      </c>
      <c r="R492" s="662">
        <f t="shared" si="95"/>
        <v>0</v>
      </c>
      <c r="S492" s="316">
        <f t="shared" si="86"/>
        <v>0</v>
      </c>
    </row>
    <row r="493" spans="1:19">
      <c r="A493" s="150"/>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0</v>
      </c>
      <c r="R493" s="662">
        <f t="shared" si="95"/>
        <v>0</v>
      </c>
      <c r="S493" s="316">
        <f t="shared" si="86"/>
        <v>0</v>
      </c>
    </row>
    <row r="494" spans="1:19">
      <c r="A494" s="150"/>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0</v>
      </c>
      <c r="R494" s="662">
        <f t="shared" si="95"/>
        <v>0</v>
      </c>
      <c r="S494" s="316">
        <f t="shared" si="86"/>
        <v>0</v>
      </c>
    </row>
    <row r="495" spans="1:19">
      <c r="A495" s="150"/>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0</v>
      </c>
      <c r="R495" s="662">
        <f t="shared" si="95"/>
        <v>0</v>
      </c>
      <c r="S495" s="316">
        <f t="shared" si="86"/>
        <v>0</v>
      </c>
    </row>
    <row r="496" spans="1:19">
      <c r="A496" s="150"/>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0</v>
      </c>
      <c r="R496" s="662">
        <f t="shared" si="95"/>
        <v>0</v>
      </c>
      <c r="S496" s="316">
        <f t="shared" si="86"/>
        <v>0</v>
      </c>
    </row>
    <row r="497" spans="1:19">
      <c r="A497" s="150"/>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0</v>
      </c>
      <c r="R497" s="662">
        <f t="shared" si="95"/>
        <v>0</v>
      </c>
      <c r="S497" s="316">
        <f t="shared" si="86"/>
        <v>0</v>
      </c>
    </row>
    <row r="498" spans="1:19">
      <c r="A498" s="150"/>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0</v>
      </c>
      <c r="R498" s="662">
        <f t="shared" si="95"/>
        <v>0</v>
      </c>
      <c r="S498" s="316">
        <f t="shared" ref="S498:S524" si="96">ROUND(R498*B498/10000,0)</f>
        <v>0</v>
      </c>
    </row>
    <row r="499" spans="1:19">
      <c r="A499" s="150"/>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0</v>
      </c>
      <c r="R499" s="662">
        <f t="shared" si="95"/>
        <v>0</v>
      </c>
      <c r="S499" s="316">
        <f t="shared" si="96"/>
        <v>0</v>
      </c>
    </row>
    <row r="500" spans="1:19">
      <c r="A500" s="150"/>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0</v>
      </c>
      <c r="R500" s="662">
        <f t="shared" si="95"/>
        <v>0</v>
      </c>
      <c r="S500" s="316">
        <f t="shared" si="96"/>
        <v>0</v>
      </c>
    </row>
    <row r="501" spans="1:19">
      <c r="A501" s="150"/>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0</v>
      </c>
      <c r="R501" s="662">
        <f t="shared" si="95"/>
        <v>0</v>
      </c>
      <c r="S501" s="316">
        <f t="shared" si="96"/>
        <v>0</v>
      </c>
    </row>
    <row r="502" spans="1:19">
      <c r="A502" s="150"/>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0</v>
      </c>
      <c r="R502" s="662">
        <f t="shared" si="95"/>
        <v>0</v>
      </c>
      <c r="S502" s="316">
        <f t="shared" si="96"/>
        <v>0</v>
      </c>
    </row>
    <row r="503" spans="1:19">
      <c r="A503" s="150"/>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0</v>
      </c>
      <c r="R503" s="662">
        <f t="shared" si="95"/>
        <v>0</v>
      </c>
      <c r="S503" s="316">
        <f t="shared" si="96"/>
        <v>0</v>
      </c>
    </row>
    <row r="504" spans="1:19">
      <c r="A504" s="150"/>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0</v>
      </c>
      <c r="R504" s="662">
        <f t="shared" si="95"/>
        <v>0</v>
      </c>
      <c r="S504" s="316">
        <f t="shared" si="96"/>
        <v>0</v>
      </c>
    </row>
    <row r="505" spans="1:19">
      <c r="A505" s="150"/>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0</v>
      </c>
      <c r="R505" s="662">
        <f t="shared" si="95"/>
        <v>0</v>
      </c>
      <c r="S505" s="316">
        <f t="shared" si="96"/>
        <v>0</v>
      </c>
    </row>
    <row r="506" spans="1:19">
      <c r="A506" s="150"/>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0</v>
      </c>
      <c r="R506" s="662">
        <f t="shared" si="95"/>
        <v>0</v>
      </c>
      <c r="S506" s="316">
        <f t="shared" si="96"/>
        <v>0</v>
      </c>
    </row>
    <row r="507" spans="1:19">
      <c r="A507" s="150"/>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0</v>
      </c>
      <c r="R507" s="662">
        <f t="shared" si="95"/>
        <v>0</v>
      </c>
      <c r="S507" s="316">
        <f t="shared" si="96"/>
        <v>0</v>
      </c>
    </row>
    <row r="508" spans="1:19">
      <c r="A508" s="150"/>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0</v>
      </c>
      <c r="R508" s="662">
        <f t="shared" si="95"/>
        <v>0</v>
      </c>
      <c r="S508" s="316">
        <f t="shared" si="96"/>
        <v>0</v>
      </c>
    </row>
    <row r="509" spans="1:19">
      <c r="A509" s="150"/>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0</v>
      </c>
      <c r="R509" s="662">
        <f t="shared" si="95"/>
        <v>0</v>
      </c>
      <c r="S509" s="316">
        <f t="shared" si="96"/>
        <v>0</v>
      </c>
    </row>
    <row r="510" spans="1:19">
      <c r="A510" s="150"/>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0</v>
      </c>
      <c r="R510" s="662">
        <f t="shared" si="95"/>
        <v>0</v>
      </c>
      <c r="S510" s="316">
        <f t="shared" si="96"/>
        <v>0</v>
      </c>
    </row>
    <row r="511" spans="1:19">
      <c r="A511" s="150"/>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0</v>
      </c>
      <c r="R511" s="662">
        <f t="shared" si="95"/>
        <v>0</v>
      </c>
      <c r="S511" s="316">
        <f t="shared" si="96"/>
        <v>0</v>
      </c>
    </row>
    <row r="512" spans="1:19">
      <c r="A512" s="150"/>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0</v>
      </c>
      <c r="R512" s="662">
        <f t="shared" si="95"/>
        <v>0</v>
      </c>
      <c r="S512" s="316">
        <f t="shared" si="96"/>
        <v>0</v>
      </c>
    </row>
    <row r="513" spans="1:19">
      <c r="A513" s="150"/>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0</v>
      </c>
      <c r="R513" s="662">
        <f t="shared" si="95"/>
        <v>0</v>
      </c>
      <c r="S513" s="316">
        <f t="shared" si="96"/>
        <v>0</v>
      </c>
    </row>
    <row r="514" spans="1:19">
      <c r="A514" s="150"/>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0</v>
      </c>
      <c r="R514" s="662">
        <f t="shared" si="95"/>
        <v>0</v>
      </c>
      <c r="S514" s="316">
        <f t="shared" si="96"/>
        <v>0</v>
      </c>
    </row>
    <row r="515" spans="1:19">
      <c r="A515" s="150"/>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0</v>
      </c>
      <c r="R515" s="662">
        <f t="shared" si="95"/>
        <v>0</v>
      </c>
      <c r="S515" s="316">
        <f t="shared" si="96"/>
        <v>0</v>
      </c>
    </row>
    <row r="516" spans="1:19">
      <c r="A516" s="150"/>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0</v>
      </c>
      <c r="R516" s="662">
        <f t="shared" si="95"/>
        <v>0</v>
      </c>
      <c r="S516" s="316">
        <f t="shared" si="96"/>
        <v>0</v>
      </c>
    </row>
    <row r="517" spans="1:19">
      <c r="A517" s="150"/>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0</v>
      </c>
      <c r="R517" s="662">
        <f t="shared" si="95"/>
        <v>0</v>
      </c>
      <c r="S517" s="316">
        <f t="shared" si="96"/>
        <v>0</v>
      </c>
    </row>
    <row r="518" spans="1:19">
      <c r="A518" s="150"/>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0</v>
      </c>
      <c r="R518" s="662">
        <f t="shared" si="95"/>
        <v>0</v>
      </c>
      <c r="S518" s="316">
        <f t="shared" si="96"/>
        <v>0</v>
      </c>
    </row>
    <row r="519" spans="1:19">
      <c r="A519" s="150"/>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0</v>
      </c>
      <c r="R519" s="662">
        <f t="shared" si="95"/>
        <v>0</v>
      </c>
      <c r="S519" s="316">
        <f t="shared" si="96"/>
        <v>0</v>
      </c>
    </row>
    <row r="520" spans="1:19">
      <c r="A520" s="150"/>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0</v>
      </c>
      <c r="R520" s="662">
        <f t="shared" si="95"/>
        <v>0</v>
      </c>
      <c r="S520" s="316">
        <f t="shared" si="96"/>
        <v>0</v>
      </c>
    </row>
    <row r="521" spans="1:19">
      <c r="A521" s="150"/>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0</v>
      </c>
      <c r="R521" s="662">
        <f t="shared" si="95"/>
        <v>0</v>
      </c>
      <c r="S521" s="316">
        <f t="shared" si="96"/>
        <v>0</v>
      </c>
    </row>
    <row r="522" spans="1:19">
      <c r="A522" s="150"/>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0</v>
      </c>
      <c r="R522" s="662">
        <f t="shared" si="95"/>
        <v>0</v>
      </c>
      <c r="S522" s="316">
        <f t="shared" si="96"/>
        <v>0</v>
      </c>
    </row>
    <row r="523" spans="1:19">
      <c r="A523" s="150"/>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0</v>
      </c>
      <c r="R523" s="662">
        <f t="shared" si="95"/>
        <v>0</v>
      </c>
      <c r="S523" s="316">
        <f t="shared" si="96"/>
        <v>0</v>
      </c>
    </row>
    <row r="524" spans="1:19">
      <c r="A524" s="150"/>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0</v>
      </c>
      <c r="R524" s="662">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673</v>
      </c>
      <c r="C1" s="198"/>
      <c r="D1" s="198"/>
      <c r="E1" s="198"/>
      <c r="F1" s="198"/>
      <c r="G1" s="1125">
        <f>MATCH(B1,'数据-取费表'!A6:A16,0)+5</f>
        <v>6</v>
      </c>
    </row>
    <row r="2" spans="1:9" s="200" customFormat="1" ht="18" customHeight="1">
      <c r="A2" s="201" t="s">
        <v>1462</v>
      </c>
      <c r="B2" s="202">
        <f ca="1">IF(D2="——",C52,C52-E2)</f>
        <v>55637</v>
      </c>
      <c r="C2" s="199" t="s">
        <v>1463</v>
      </c>
      <c r="D2" s="1852" t="s">
        <v>43</v>
      </c>
      <c r="E2" s="1168">
        <f ca="1">SUMIF(INDIRECT("'"&amp;G2&amp;"'"&amp;"!A:A"),"承租人权益价值",INDIRECT("'"&amp;G2&amp;"'"&amp;"!c:c"))</f>
        <v>1125</v>
      </c>
      <c r="F2" s="1853" t="s">
        <v>1463</v>
      </c>
      <c r="G2" s="1854" t="s">
        <v>3383</v>
      </c>
    </row>
    <row r="3" spans="1:9" s="200" customFormat="1" ht="18" customHeight="1" thickBot="1">
      <c r="A3" s="203" t="s">
        <v>1464</v>
      </c>
      <c r="B3" s="204">
        <f ca="1">ROUND(B2*10000/(IF(B1="",'数据-汇总表'!E3,INDIRECT("'数据-取费表'!k"&amp;$G$1))),0)</f>
        <v>28661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35158</v>
      </c>
      <c r="D5" s="211" t="s">
        <v>1469</v>
      </c>
      <c r="E5" s="212" t="s">
        <v>1470</v>
      </c>
      <c r="F5" s="212" t="s">
        <v>1471</v>
      </c>
      <c r="G5" s="213"/>
    </row>
    <row r="6" spans="1:9" s="214" customFormat="1" ht="13.5" customHeight="1">
      <c r="A6" s="777" t="s">
        <v>1472</v>
      </c>
      <c r="B6" s="215" t="s">
        <v>1473</v>
      </c>
      <c r="C6" s="216">
        <f>基准地价修正!V2+基准地价修正!V3+基准地价修正!V4+基准地价修正!V5+基准地价修正!E37</f>
        <v>33741</v>
      </c>
      <c r="D6" s="217"/>
      <c r="E6" s="218"/>
      <c r="F6" s="218"/>
      <c r="G6" s="219"/>
    </row>
    <row r="7" spans="1:9" s="214" customFormat="1" ht="13.5" customHeight="1">
      <c r="A7" s="777" t="s">
        <v>1474</v>
      </c>
      <c r="B7" s="215" t="s">
        <v>1475</v>
      </c>
      <c r="C7" s="220">
        <f>ROUND(C6*F7,0)</f>
        <v>1029</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388</v>
      </c>
      <c r="D8" s="222"/>
      <c r="E8" s="220"/>
      <c r="F8" s="221"/>
      <c r="G8" s="1855" t="s">
        <v>3405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3404</v>
      </c>
      <c r="H9" s="1136"/>
      <c r="I9" s="1857" t="s">
        <v>1479</v>
      </c>
    </row>
    <row r="10" spans="1:9" s="214" customFormat="1" ht="13.5" customHeight="1">
      <c r="A10" s="778" t="s">
        <v>356</v>
      </c>
      <c r="B10" s="224" t="s">
        <v>1480</v>
      </c>
      <c r="C10" s="225">
        <f ca="1">ROUND(D10*E10/10000,0)</f>
        <v>388</v>
      </c>
      <c r="D10" s="844">
        <f ca="1">IF(B1="",'数据-汇总表'!E6,IF(INDIRECT("'数据-取费表'!c"&amp;$G$1)="住宅",INDIRECT("'数据-取费表'!s"&amp;$G$1),INDIRECT("'数据-取费表'!k"&amp;$G$1)+INDIRECT("'数据-取费表'!s"&amp;$G$1)))</f>
        <v>19411.939999999999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19411.939999999999</v>
      </c>
      <c r="E19" s="211">
        <f>'数据-取费表'!B31</f>
        <v>200</v>
      </c>
      <c r="F19" s="231"/>
      <c r="G19" s="1855" t="s">
        <v>3406</v>
      </c>
    </row>
    <row r="20" spans="1:7" s="214" customFormat="1" ht="13.5" customHeight="1">
      <c r="A20" s="255" t="s">
        <v>1493</v>
      </c>
      <c r="B20" s="210" t="s">
        <v>1494</v>
      </c>
      <c r="C20" s="232">
        <f ca="1">ROUND((C5+C19)*F20,0)</f>
        <v>703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3008</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2979</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29</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5379</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5379</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47945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7488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6794</v>
      </c>
      <c r="D34" s="217"/>
      <c r="E34" s="220"/>
      <c r="F34" s="257">
        <f ca="1">IF('数据-取费表'!B24=0,1,IF(B1="",'数据-取费表'!N16,INDIRECT("'数据-取费表'!n"&amp;$G$1)))</f>
        <v>1</v>
      </c>
      <c r="G34" s="219" t="s">
        <v>1526</v>
      </c>
    </row>
    <row r="35" spans="1:7" ht="13.5" customHeight="1">
      <c r="A35" s="779" t="s">
        <v>351</v>
      </c>
      <c r="B35" s="215" t="s">
        <v>1527</v>
      </c>
      <c r="C35" s="220">
        <f ca="1">ROUND(C34*F35,0)</f>
        <v>204</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388</v>
      </c>
      <c r="D37" s="217">
        <f ca="1">D19</f>
        <v>19411.939999999999</v>
      </c>
      <c r="E37" s="249">
        <f>'数据-取费表'!B35</f>
        <v>200</v>
      </c>
      <c r="F37" s="259"/>
      <c r="G37" s="261" t="s">
        <v>1532</v>
      </c>
    </row>
    <row r="38" spans="1:7" ht="13.5" customHeight="1">
      <c r="A38" s="779" t="s">
        <v>354</v>
      </c>
      <c r="B38" s="215" t="s">
        <v>1533</v>
      </c>
      <c r="C38" s="220">
        <f ca="1">ROUND(C34*F38,0)</f>
        <v>102</v>
      </c>
      <c r="D38" s="220"/>
      <c r="E38" s="220"/>
      <c r="F38" s="259">
        <f>'数据-取费表'!B36</f>
        <v>1.4999999999999999E-2</v>
      </c>
      <c r="G38" s="219" t="s">
        <v>1528</v>
      </c>
    </row>
    <row r="39" spans="1:7" s="214" customFormat="1" ht="13.5" customHeight="1">
      <c r="A39" s="255" t="s">
        <v>1534</v>
      </c>
      <c r="B39" s="210" t="s">
        <v>1535</v>
      </c>
      <c r="C39" s="232">
        <f ca="1">ROUND(C33*F20,0)</f>
        <v>150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317</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311</v>
      </c>
      <c r="D42" s="238"/>
      <c r="E42" s="238"/>
      <c r="F42" s="239"/>
      <c r="G42" s="3767" t="s">
        <v>1544</v>
      </c>
    </row>
    <row r="43" spans="1:7" ht="13.5" customHeight="1">
      <c r="A43" s="779" t="s">
        <v>347</v>
      </c>
      <c r="B43" s="215" t="s">
        <v>1545</v>
      </c>
      <c r="C43" s="238">
        <f ca="1">ROUND(IF('数据-取费表'!B22&lt;=1,C39*F22*'数据-取费表'!B21/2,C39*(POWER((1+F22),'数据-取费表'!B21/2)-1)),0)</f>
        <v>6</v>
      </c>
      <c r="D43" s="238"/>
      <c r="E43" s="238"/>
      <c r="F43" s="239"/>
      <c r="G43" s="3768"/>
    </row>
    <row r="44" spans="1:7" ht="13.5" customHeight="1">
      <c r="A44" s="779" t="s">
        <v>348</v>
      </c>
      <c r="B44" s="215" t="s">
        <v>1546</v>
      </c>
      <c r="C44" s="238">
        <f ca="1">ROUND(IF('数据-取费表'!B22&lt;=1,C40*F22*'数据-取费表'!B21/2,C40*(POWER((1+F22),'数据-取费表'!B21/2)-1)),4)</f>
        <v>8.0000000000000004E-4</v>
      </c>
      <c r="D44" s="238"/>
      <c r="E44" s="238"/>
      <c r="F44" s="239"/>
      <c r="G44" s="3769"/>
    </row>
    <row r="45" spans="1:7" s="214" customFormat="1" ht="13.5" customHeight="1">
      <c r="A45" s="255" t="s">
        <v>1547</v>
      </c>
      <c r="B45" s="244" t="s">
        <v>1513</v>
      </c>
      <c r="C45" s="245">
        <f ca="1">C46</f>
        <v>1146</v>
      </c>
      <c r="D45" s="235">
        <f ca="1">C47</f>
        <v>3.0000000000000001E-3</v>
      </c>
      <c r="E45" s="236" t="s">
        <v>1539</v>
      </c>
      <c r="F45" s="246">
        <f ca="1">F27</f>
        <v>0.15</v>
      </c>
      <c r="G45" s="247" t="s">
        <v>1548</v>
      </c>
    </row>
    <row r="46" spans="1:7" s="214" customFormat="1" ht="13.5" customHeight="1">
      <c r="A46" s="779" t="s">
        <v>346</v>
      </c>
      <c r="B46" s="248" t="s">
        <v>1549</v>
      </c>
      <c r="C46" s="249">
        <f ca="1">ROUND((C33+C39)*F27,0)</f>
        <v>1146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9861</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7692</v>
      </c>
      <c r="D51" s="232"/>
      <c r="E51" s="232"/>
      <c r="F51" s="264"/>
      <c r="G51" s="234" t="s">
        <v>1560</v>
      </c>
    </row>
    <row r="52" spans="1:7" s="208" customFormat="1" ht="16.5" thickBot="1">
      <c r="A52" s="265" t="s">
        <v>1561</v>
      </c>
      <c r="B52" s="266"/>
      <c r="C52" s="267">
        <f ca="1">C31+C51</f>
        <v>55637</v>
      </c>
      <c r="D52" s="266"/>
      <c r="E52" s="266"/>
      <c r="F52" s="266"/>
      <c r="G52" s="268"/>
    </row>
    <row r="55" spans="1:7" ht="15">
      <c r="B55" s="270" t="s">
        <v>1562</v>
      </c>
      <c r="C55" s="271"/>
    </row>
    <row r="56" spans="1:7">
      <c r="B56" s="273" t="s">
        <v>802</v>
      </c>
      <c r="C56" s="275">
        <f ca="1">1-C57</f>
        <v>0.86199999999999999</v>
      </c>
    </row>
    <row r="57" spans="1:7">
      <c r="B57" s="273" t="s">
        <v>803</v>
      </c>
      <c r="C57" s="274">
        <f ca="1">ROUND(C51/C52,3)</f>
        <v>0.13800000000000001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8750.3420000000006</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3882388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3882388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3882388</v>
      </c>
      <c r="D10" s="844">
        <f ca="1">IF(B1="",'数据-汇总表'!E6,IF(INDIRECT("'数据-取费表'!c"&amp;$G$1)="住宅",INDIRECT("'数据-取费表'!s"&amp;$G$1),INDIRECT("'数据-取费表'!k"&amp;$G$1)+INDIRECT("'数据-取费表'!s"&amp;$G$1)))</f>
        <v>19411.939999999999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3882388</v>
      </c>
      <c r="D19" s="848">
        <f ca="1">D9+D10</f>
        <v>19411.939999999999</v>
      </c>
      <c r="E19" s="211">
        <f>'数据-取费表'!B31</f>
        <v>200</v>
      </c>
      <c r="F19" s="231"/>
      <c r="G19" s="1855"/>
    </row>
    <row r="20" spans="1:7" s="214" customFormat="1" ht="13.5" customHeight="1">
      <c r="A20" s="255" t="s">
        <v>1574</v>
      </c>
      <c r="B20" s="210" t="s">
        <v>1575</v>
      </c>
      <c r="C20" s="232">
        <f ca="1">ROUND((C5+C19)*F20,0)</f>
        <v>155296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664295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328925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328925</v>
      </c>
      <c r="D24" s="238"/>
      <c r="E24" s="238"/>
      <c r="F24" s="239"/>
      <c r="G24" s="240" t="s">
        <v>1586</v>
      </c>
    </row>
    <row r="25" spans="1:7" s="214" customFormat="1" ht="24">
      <c r="A25" s="779" t="s">
        <v>1476</v>
      </c>
      <c r="B25" s="215" t="s">
        <v>1587</v>
      </c>
      <c r="C25" s="1127">
        <f ca="1">ROUND(IF('数据-取费表'!B22&lt;=1,C20*F22*'数据-取费表'!B22/2,C20*(POWER((1+F22),'数据-取费表'!B22/2)-1)),0)</f>
        <v>6445</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1188011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1188011</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10588772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74881559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67941790</v>
      </c>
      <c r="D34" s="217"/>
      <c r="E34" s="220"/>
      <c r="F34" s="257"/>
      <c r="G34" s="219"/>
    </row>
    <row r="35" spans="1:7" ht="13.5" customHeight="1">
      <c r="A35" s="779" t="s">
        <v>351</v>
      </c>
      <c r="B35" s="215" t="s">
        <v>1527</v>
      </c>
      <c r="C35" s="220">
        <f ca="1">ROUND(C34*F35,0)</f>
        <v>2038254</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3882388</v>
      </c>
      <c r="D37" s="217">
        <f ca="1">D19</f>
        <v>19411.939999999999</v>
      </c>
      <c r="E37" s="249">
        <f>'数据-取费表'!B35</f>
        <v>200</v>
      </c>
      <c r="F37" s="259"/>
      <c r="G37" s="261"/>
    </row>
    <row r="38" spans="1:7" ht="13.5" customHeight="1">
      <c r="A38" s="779" t="s">
        <v>354</v>
      </c>
      <c r="B38" s="215" t="s">
        <v>1533</v>
      </c>
      <c r="C38" s="220">
        <f ca="1">ROUND(C34*F38,0)</f>
        <v>1019127</v>
      </c>
      <c r="D38" s="220"/>
      <c r="E38" s="220"/>
      <c r="F38" s="259">
        <f>'数据-取费表'!B36</f>
        <v>1.4999999999999999E-2</v>
      </c>
      <c r="G38" s="219" t="s">
        <v>1528</v>
      </c>
    </row>
    <row r="39" spans="1:7" s="214" customFormat="1" ht="13.5" customHeight="1">
      <c r="A39" s="255" t="s">
        <v>1534</v>
      </c>
      <c r="B39" s="210" t="s">
        <v>1535</v>
      </c>
      <c r="C39" s="232">
        <f ca="1">ROUND(C33*F20,0)</f>
        <v>1497631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3169737</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3107585</v>
      </c>
      <c r="D42" s="238"/>
      <c r="E42" s="238"/>
      <c r="F42" s="239"/>
      <c r="G42" s="3767" t="s">
        <v>1591</v>
      </c>
    </row>
    <row r="43" spans="1:7" ht="13.5" customHeight="1">
      <c r="A43" s="779" t="s">
        <v>347</v>
      </c>
      <c r="B43" s="215" t="s">
        <v>1545</v>
      </c>
      <c r="C43" s="238">
        <f ca="1">ROUND(IF('数据-取费表'!B22&lt;=1,C39*F22*'数据-取费表'!B20/2,C39*(POWER((1+F22),'数据-取费表'!B20/2)-1)),0)</f>
        <v>62152</v>
      </c>
      <c r="D43" s="238"/>
      <c r="E43" s="238"/>
      <c r="F43" s="239"/>
      <c r="G43" s="3768"/>
    </row>
    <row r="44" spans="1:7" ht="13.5" customHeight="1">
      <c r="A44" s="779" t="s">
        <v>348</v>
      </c>
      <c r="B44" s="215" t="s">
        <v>1546</v>
      </c>
      <c r="C44" s="238">
        <f ca="1">ROUND(IF('数据-取费表'!B22&lt;=1,C40*F22*'数据-取费表'!B20/2,C40*(POWER((1+F22),'数据-取费表'!B20/2)-1)),4)</f>
        <v>8.0000000000000004E-4</v>
      </c>
      <c r="D44" s="238"/>
      <c r="E44" s="238"/>
      <c r="F44" s="239"/>
      <c r="G44" s="3769"/>
    </row>
    <row r="45" spans="1:7" s="214" customFormat="1" ht="13.5" customHeight="1">
      <c r="A45" s="255" t="s">
        <v>1547</v>
      </c>
      <c r="B45" s="244" t="s">
        <v>1513</v>
      </c>
      <c r="C45" s="245">
        <f ca="1">C46</f>
        <v>11456879</v>
      </c>
      <c r="D45" s="235">
        <f ca="1">C47</f>
        <v>3.0000000000000001E-3</v>
      </c>
      <c r="E45" s="236" t="s">
        <v>1539</v>
      </c>
      <c r="F45" s="246">
        <f ca="1">F27</f>
        <v>0.15</v>
      </c>
      <c r="G45" s="247" t="s">
        <v>1548</v>
      </c>
    </row>
    <row r="46" spans="1:7" s="214" customFormat="1" ht="13.5" customHeight="1">
      <c r="A46" s="779" t="s">
        <v>346</v>
      </c>
      <c r="B46" s="248" t="s">
        <v>1549</v>
      </c>
      <c r="C46" s="249">
        <f ca="1">ROUND((C33+C39)*F27,0)</f>
        <v>11456879</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98608523</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76914648</v>
      </c>
      <c r="D51" s="232"/>
      <c r="E51" s="232"/>
      <c r="F51" s="264"/>
      <c r="G51" s="234" t="s">
        <v>1560</v>
      </c>
    </row>
    <row r="52" spans="1:7" s="208" customFormat="1" ht="16.5" thickBot="1">
      <c r="A52" s="265" t="s">
        <v>1561</v>
      </c>
      <c r="B52" s="266"/>
      <c r="C52" s="267">
        <f ca="1">C31+C51</f>
        <v>87503420</v>
      </c>
      <c r="D52" s="266"/>
      <c r="E52" s="266"/>
      <c r="F52" s="266"/>
      <c r="G52" s="268"/>
    </row>
    <row r="55" spans="1:7" ht="15">
      <c r="B55" s="270" t="s">
        <v>1562</v>
      </c>
      <c r="C55" s="271"/>
    </row>
    <row r="56" spans="1:7">
      <c r="B56" s="273" t="s">
        <v>802</v>
      </c>
      <c r="C56" s="275">
        <f ca="1">1-C57</f>
        <v>0.121</v>
      </c>
    </row>
    <row r="57" spans="1:7">
      <c r="B57" s="273" t="s">
        <v>803</v>
      </c>
      <c r="C57" s="274">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19411.939999999999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19411.939999999999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388</v>
      </c>
      <c r="D20" s="845">
        <f ca="1">IF(C1="",'数据-汇总表'!E6,IF(INDIRECT("'数据-取费表'!c"&amp;$K$1)="住宅",INDIRECT("'数据-取费表'!s"&amp;$K$1),INDIRECT("'数据-取费表'!k"&amp;$K$1)+INDIRECT("'数据-取费表'!s"&amp;$K$1)))</f>
        <v>19411.939999999999</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8" sqref="G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1792.66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33741</v>
      </c>
      <c r="C2" s="1998" t="s">
        <v>1935</v>
      </c>
      <c r="D2" s="1999" t="s">
        <v>1936</v>
      </c>
      <c r="E2" s="3421"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Ⅲ—15</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24255</v>
      </c>
      <c r="U2" s="1212">
        <f>'数据-取费表'!V28</f>
        <v>3773.9799999999996</v>
      </c>
      <c r="V2" s="3360">
        <f>ROUND(T2*U2/10000,0)</f>
        <v>9154</v>
      </c>
      <c r="W2" s="1215"/>
      <c r="X2" s="1215"/>
      <c r="Y2" s="1215"/>
      <c r="Z2" s="1215"/>
      <c r="AA2" s="1215"/>
      <c r="AB2" s="1215"/>
      <c r="AC2" s="1216"/>
      <c r="AD2" s="1217"/>
      <c r="AE2" s="1217"/>
      <c r="AF2" s="1217"/>
      <c r="AG2" s="1217"/>
      <c r="AH2" s="1217"/>
      <c r="AI2" s="1217"/>
      <c r="AJ2" s="1218"/>
    </row>
    <row r="3" spans="1:36" ht="15.75">
      <c r="A3" s="203" t="s">
        <v>1940</v>
      </c>
      <c r="B3" s="204">
        <f>ROUND(B2*10000/D1,0)</f>
        <v>188218</v>
      </c>
      <c r="C3" s="1998" t="s">
        <v>1941</v>
      </c>
      <c r="D3" s="1999" t="s">
        <v>1942</v>
      </c>
      <c r="E3" s="3419" t="s">
        <v>2451</v>
      </c>
      <c r="F3" s="2003" t="s">
        <v>3397</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22370</v>
      </c>
      <c r="N3" s="865">
        <f>SUMPRODUCT((因素修正幅度!B30:B54=I2)*(因素修正幅度!C3:G3=E2)*(因素修正幅度!C30:G54))</f>
        <v>9.6000000000000002E-2</v>
      </c>
      <c r="O3" s="1118"/>
      <c r="P3" s="1118"/>
      <c r="Q3" s="1118"/>
      <c r="R3" s="1211">
        <v>2</v>
      </c>
      <c r="S3" s="3360">
        <f>ROUND(SUMPRODUCT((B106:B110=R3)*(C105:N105=G2)*(C106:N110)),4)</f>
        <v>1.1838</v>
      </c>
      <c r="T3" s="3360">
        <f t="shared" si="0"/>
        <v>19118</v>
      </c>
      <c r="U3" s="1212">
        <f>'数据-取费表'!V29</f>
        <v>4603.1499999999996</v>
      </c>
      <c r="V3" s="3360">
        <f t="shared" ref="V3:V16" si="1">ROUND(T3*U3/10000,0)</f>
        <v>8800</v>
      </c>
      <c r="W3" s="1215"/>
      <c r="X3" s="1215"/>
      <c r="Y3" s="1215"/>
      <c r="Z3" s="1215"/>
      <c r="AA3" s="1215"/>
      <c r="AB3" s="1215"/>
      <c r="AC3" s="1216"/>
      <c r="AD3" s="1217"/>
      <c r="AE3" s="1217"/>
      <c r="AF3" s="1217"/>
      <c r="AG3" s="1217"/>
      <c r="AH3" s="1217"/>
      <c r="AI3" s="1217"/>
      <c r="AJ3" s="1218"/>
    </row>
    <row r="4" spans="1:36" ht="15.75">
      <c r="A4" s="3777"/>
      <c r="B4" s="3778"/>
      <c r="C4" s="3778"/>
      <c r="D4" s="3779"/>
      <c r="E4" s="3779"/>
      <c r="F4" s="3779"/>
      <c r="G4" s="3779"/>
      <c r="H4" s="3779"/>
      <c r="I4" s="3779"/>
      <c r="J4" s="378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16158</v>
      </c>
      <c r="U4" s="1212">
        <f>'数据-取费表'!V30</f>
        <v>4612.1499999999996</v>
      </c>
      <c r="V4" s="3360">
        <f t="shared" si="1"/>
        <v>7452</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22370</v>
      </c>
      <c r="D5" s="1338">
        <f>ROUND(C6*C17+C20,0)</f>
        <v>22370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14250</v>
      </c>
      <c r="U5" s="1212">
        <f>'数据-取费表'!V31</f>
        <v>4630</v>
      </c>
      <c r="V5" s="3360">
        <f t="shared" si="1"/>
        <v>6598</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22370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13695</v>
      </c>
      <c r="U6" s="1212"/>
      <c r="V6" s="3360">
        <f t="shared" si="1"/>
        <v>0</v>
      </c>
      <c r="W6" s="1215"/>
      <c r="X6" s="1215"/>
      <c r="Y6" s="1215"/>
      <c r="Z6" s="1215"/>
      <c r="AA6" s="1215"/>
      <c r="AB6" s="1215"/>
      <c r="AC6" s="2010"/>
      <c r="AD6" s="2011"/>
      <c r="AE6" s="2011"/>
      <c r="AF6" s="2011"/>
      <c r="AG6" s="2011"/>
      <c r="AH6" s="2011"/>
      <c r="AI6" s="2011"/>
      <c r="AJ6" s="2012"/>
    </row>
    <row r="7" spans="1:36" ht="24.75" thickBot="1">
      <c r="A7" s="3302" t="s">
        <v>3245</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三级</v>
      </c>
      <c r="Y7" s="1213" t="s">
        <v>1956</v>
      </c>
      <c r="Z7" s="1214">
        <f>G3</f>
        <v>2.5</v>
      </c>
      <c r="AA7" s="1215"/>
      <c r="AB7" s="1215"/>
      <c r="AC7" s="1216"/>
      <c r="AD7" s="1217"/>
      <c r="AE7" s="1217"/>
      <c r="AF7" s="1217"/>
      <c r="AG7" s="1217"/>
      <c r="AH7" s="1217"/>
      <c r="AI7" s="1217"/>
      <c r="AJ7" s="1218"/>
    </row>
    <row r="8" spans="1:36" ht="25.5">
      <c r="A8" s="3297"/>
      <c r="B8" s="170" t="s">
        <v>1957</v>
      </c>
      <c r="C8" s="2025" t="s">
        <v>3399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4" t="s">
        <v>1960</v>
      </c>
      <c r="X8" s="377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6"/>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6"/>
      <c r="AE11" s="2786"/>
      <c r="AF11" s="2786"/>
      <c r="AG11" s="2786"/>
      <c r="AH11" s="2786"/>
      <c r="AI11" s="2786"/>
      <c r="AJ11" s="2787"/>
    </row>
    <row r="12" spans="1:36" ht="25.5" thickBot="1">
      <c r="A12" s="3302" t="s">
        <v>3246</v>
      </c>
      <c r="B12" s="3303" t="s">
        <v>3247</v>
      </c>
      <c r="C12" s="3304"/>
      <c r="D12" s="3305" t="s">
        <v>3248</v>
      </c>
      <c r="E12" s="3306" t="s">
        <v>3249</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6"/>
      <c r="AE12" s="2786"/>
      <c r="AF12" s="2786"/>
      <c r="AG12" s="2786"/>
      <c r="AH12" s="2786"/>
      <c r="AI12" s="2786"/>
      <c r="AJ12" s="2787"/>
    </row>
    <row r="13" spans="1:36" ht="15.75" thickBot="1">
      <c r="A13" s="3302" t="s">
        <v>3250</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60">
        <f t="shared" si="0"/>
        <v>0</v>
      </c>
      <c r="U13" s="1212"/>
      <c r="V13" s="3360">
        <f t="shared" si="1"/>
        <v>0</v>
      </c>
      <c r="W13" s="1215"/>
      <c r="X13" s="1215"/>
      <c r="Y13" s="1215"/>
      <c r="Z13" s="1215"/>
      <c r="AA13" s="1215"/>
      <c r="AB13" s="1215"/>
      <c r="AC13" s="1216"/>
      <c r="AD13" s="2786"/>
      <c r="AE13" s="2786"/>
      <c r="AF13" s="2786"/>
      <c r="AG13" s="2786"/>
      <c r="AH13" s="2786"/>
      <c r="AI13" s="2786"/>
      <c r="AJ13" s="2787"/>
    </row>
    <row r="14" spans="1:36" ht="15">
      <c r="A14" s="3296"/>
      <c r="B14" s="2039" t="s">
        <v>1985</v>
      </c>
      <c r="C14" s="2040" t="s">
        <v>1986</v>
      </c>
      <c r="D14" s="1349" t="s">
        <v>1987</v>
      </c>
      <c r="E14" s="27" t="s">
        <v>1988</v>
      </c>
      <c r="F14" s="3310" t="s">
        <v>3251</v>
      </c>
      <c r="G14" s="3310" t="s">
        <v>3251</v>
      </c>
      <c r="H14" s="3310" t="s">
        <v>3251</v>
      </c>
      <c r="I14" s="3310" t="s">
        <v>3251</v>
      </c>
      <c r="J14" s="3310" t="s">
        <v>3251</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6"/>
      <c r="AE14" s="2786"/>
      <c r="AF14" s="2786"/>
      <c r="AG14" s="2786"/>
      <c r="AH14" s="2786"/>
      <c r="AI14" s="2786"/>
      <c r="AJ14" s="2787"/>
    </row>
    <row r="15" spans="1:36" ht="15">
      <c r="A15" s="3296"/>
      <c r="B15" s="2041"/>
      <c r="C15" s="2042"/>
      <c r="D15" s="2043"/>
      <c r="E15" s="2044"/>
      <c r="F15" s="3311" t="s">
        <v>3252</v>
      </c>
      <c r="G15" s="3312"/>
      <c r="H15" s="3313"/>
      <c r="I15" s="3314"/>
      <c r="J15" s="3315"/>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6"/>
      <c r="AE16" s="2786"/>
      <c r="AF16" s="2786"/>
      <c r="AG16" s="2786"/>
      <c r="AH16" s="2786"/>
      <c r="AI16" s="2786"/>
      <c r="AJ16" s="2787"/>
    </row>
    <row r="17" spans="1:37">
      <c r="A17" s="3328" t="s">
        <v>3253</v>
      </c>
      <c r="B17" s="3319" t="s">
        <v>3254</v>
      </c>
      <c r="C17" s="3329">
        <f>ROUND(IF(OR(E2="工业",E2="公共服务"),1,IF(AND(E18=0,E19=0),1,IF(AND(E18=J24,E19=G19),0.8,IF(E19=0,1+E17*(-0.2),1+E17*G17*(-0.2))))),4)</f>
        <v>1</v>
      </c>
      <c r="D17" s="3320" t="s">
        <v>3255</v>
      </c>
      <c r="E17" s="3329">
        <f>ROUND(G18/I18,2)</f>
        <v>0</v>
      </c>
      <c r="F17" s="3320" t="s">
        <v>3258</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7"/>
      <c r="C18" s="3326"/>
      <c r="D18" s="3321" t="s">
        <v>3256</v>
      </c>
      <c r="E18" s="3327"/>
      <c r="F18" s="3322" t="s">
        <v>3259</v>
      </c>
      <c r="G18" s="3326">
        <f>ROUND(1-(1/(POWER(1+G24,E18))),4)</f>
        <v>0</v>
      </c>
      <c r="H18" s="3322" t="s">
        <v>3261</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3"/>
      <c r="B19" s="3334"/>
      <c r="C19" s="3335"/>
      <c r="D19" s="3335" t="s">
        <v>3257</v>
      </c>
      <c r="E19" s="3336"/>
      <c r="F19" s="3337" t="s">
        <v>3260</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81" t="s">
        <v>3262</v>
      </c>
      <c r="B20" s="167" t="s">
        <v>1994</v>
      </c>
      <c r="C20" s="3323">
        <f>ROUND(IF(F21="与级别开发程度一致",0,(G21-E21)/C21),0)</f>
        <v>0</v>
      </c>
      <c r="D20" s="3339" t="s">
        <v>1998</v>
      </c>
      <c r="E20" s="3340"/>
      <c r="F20" s="3787" t="s">
        <v>1995</v>
      </c>
      <c r="G20" s="3788"/>
      <c r="H20" s="3324"/>
      <c r="I20" s="3324"/>
      <c r="J20" s="3325"/>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82"/>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3400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0.8</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3" t="s">
        <v>2002</v>
      </c>
      <c r="E23" s="760">
        <v>44197</v>
      </c>
      <c r="F23" s="2053" t="s">
        <v>2003</v>
      </c>
      <c r="G23" s="761">
        <f>'数据-取费表'!B2</f>
        <v>44944</v>
      </c>
      <c r="H23" s="3341" t="s">
        <v>3264</v>
      </c>
      <c r="I23" s="3342" t="str">
        <f>IF(H23="季度增幅（自定义）",SUMIF(N25:N28,E2,O25:O28),"")</f>
        <v/>
      </c>
      <c r="J23" s="3343" t="s">
        <v>3263</v>
      </c>
      <c r="K23" s="1124"/>
      <c r="L23" s="2054" t="s">
        <v>2004</v>
      </c>
      <c r="M23" s="1327">
        <f>ROUND(SUMIF(地价!B2:G2,E2,地价!B16:G16),0)</f>
        <v>350</v>
      </c>
      <c r="N23" s="2055" t="s">
        <v>2005</v>
      </c>
      <c r="O23" s="762">
        <f>ROUNDDOWN(DATEDIF(E23,G23,"M")/3,0)</f>
        <v>8</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0.86439999999999995</v>
      </c>
      <c r="D24" s="2059" t="s">
        <v>2007</v>
      </c>
      <c r="E24" s="1334">
        <f>存贷款利率!E22/100</f>
        <v>4.3499999999999997E-2</v>
      </c>
      <c r="F24" s="2059" t="s">
        <v>1999</v>
      </c>
      <c r="G24" s="767">
        <f>SUMIF(M30:Q30,E2,M33:Q33)</f>
        <v>5.5E-2</v>
      </c>
      <c r="H24" s="2059" t="s">
        <v>2008</v>
      </c>
      <c r="I24" s="768">
        <f>SUMIF('数据-取费表'!C6:C15,E2,'数据-取费表'!F6:F15)/COUNTIF('数据-取费表'!C6:C15,E2)</f>
        <v>26.88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3398</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3265</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1.0205</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33741</v>
      </c>
      <c r="D30" s="2082"/>
      <c r="E30" s="2045"/>
      <c r="F30" s="2083"/>
      <c r="G30" s="2045"/>
      <c r="H30" s="2045"/>
      <c r="I30" s="2045"/>
      <c r="J30" s="2084"/>
      <c r="K30" s="1118"/>
      <c r="L30" s="3350" t="s">
        <v>1936</v>
      </c>
      <c r="M30" s="3351" t="s">
        <v>1990</v>
      </c>
      <c r="N30" s="3351" t="s">
        <v>1991</v>
      </c>
      <c r="O30" s="3351" t="s">
        <v>1992</v>
      </c>
      <c r="P30" s="3351" t="s">
        <v>1993</v>
      </c>
      <c r="Q30" s="3354"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434</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7">
        <f>ROUND($E$24*(1+M31),3)</f>
        <v>5.3999999999999999E-2</v>
      </c>
      <c r="N32" s="2567">
        <f>ROUND($E$24*(1+N31),3)</f>
        <v>5.1999999999999998E-2</v>
      </c>
      <c r="O32" s="2567">
        <f>ROUND($E$24*(1+O31),3)</f>
        <v>0.05</v>
      </c>
      <c r="P32" s="2567">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c r="E33" s="772">
        <f>ROUND(C33*D33/10000,0)</f>
        <v>0</v>
      </c>
      <c r="F33" s="3345" t="s">
        <v>3268</v>
      </c>
      <c r="G33" s="2098"/>
      <c r="H33" s="2098"/>
      <c r="I33" s="2098"/>
      <c r="J33" s="2099"/>
      <c r="K33" s="1118"/>
      <c r="L33" s="3348" t="s">
        <v>3271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3272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3273</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5"/>
      <c r="B37" s="2112" t="s">
        <v>2036</v>
      </c>
      <c r="C37" s="175">
        <f>ROUND(D5*C22*C23*C24*C28*F37,0)</f>
        <v>9690</v>
      </c>
      <c r="D37" s="2097">
        <f>'数据-基础表'!K13</f>
        <v>1792.66</v>
      </c>
      <c r="E37" s="171">
        <f>ROUND(C37*D37/10000,0)</f>
        <v>1737</v>
      </c>
      <c r="F37" s="171">
        <f>SUMIF(修正!A57:A68,G2,修正!B57:B68)</f>
        <v>0.6</v>
      </c>
      <c r="G37" s="171">
        <f>ROUND(IF(E2="工业",C37*$M$42,C37*$M$41),0)</f>
        <v>2423</v>
      </c>
      <c r="H37" s="171">
        <f>D37</f>
        <v>1792.66</v>
      </c>
      <c r="I37" s="171">
        <f>ROUND(G37*H37/10000,0)</f>
        <v>434</v>
      </c>
      <c r="J37" s="3009"/>
      <c r="K37" s="3358" t="s">
        <v>3274</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6"/>
      <c r="B38" s="2040" t="s">
        <v>2037</v>
      </c>
      <c r="C38" s="175">
        <f>ROUND(D5*C22*C23*C24*C28*F38,0)</f>
        <v>4845</v>
      </c>
      <c r="D38" s="2097"/>
      <c r="E38" s="171">
        <f t="shared" ref="E38:E42" si="4">ROUND(C38*D38/10000,0)</f>
        <v>0</v>
      </c>
      <c r="F38" s="171">
        <f>SUMIF(修正!A57:A68,G2,修正!C57:C68)</f>
        <v>0.3</v>
      </c>
      <c r="G38" s="171">
        <f>ROUND(IF(E2="工业",C38*$M$42,C38*$M$41),0)</f>
        <v>1211</v>
      </c>
      <c r="H38" s="171">
        <f t="shared" ref="H38:H42" si="5">D38</f>
        <v>0</v>
      </c>
      <c r="I38" s="171">
        <f t="shared" ref="I38:I42" si="6">ROUND(G38*H38/10000,0)</f>
        <v>0</v>
      </c>
      <c r="J38" s="3008"/>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6"/>
      <c r="B39" s="2040" t="s">
        <v>3267</v>
      </c>
      <c r="C39" s="175">
        <f>ROUND(D5*C22*C23*C24*C28*F39,0)</f>
        <v>4037</v>
      </c>
      <c r="D39" s="2097"/>
      <c r="E39" s="171">
        <f t="shared" si="4"/>
        <v>0</v>
      </c>
      <c r="F39" s="171">
        <f>SUMIF(修正!A57:A68,G2,修正!D57:D68)</f>
        <v>0.25</v>
      </c>
      <c r="G39" s="171">
        <f>ROUND(IF(E2="工业",C39*$M$42,C39*$M$41),0)</f>
        <v>1009</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4037</v>
      </c>
      <c r="D40" s="2097"/>
      <c r="E40" s="171">
        <f t="shared" si="4"/>
        <v>0</v>
      </c>
      <c r="F40" s="175">
        <f>SUMIF(修正!A57:A68,G2,修正!E57:E68)</f>
        <v>0.25</v>
      </c>
      <c r="G40" s="171">
        <f>ROUND(IF(E2="工业",C40*$M$42,C40*$M$41),0)</f>
        <v>1009</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2079</v>
      </c>
      <c r="D41" s="2097"/>
      <c r="E41" s="171">
        <f t="shared" si="4"/>
        <v>0</v>
      </c>
      <c r="F41" s="175">
        <f>SUMIF(修正!A57:A68,G2,修正!F57:F68)</f>
        <v>0.25</v>
      </c>
      <c r="G41" s="171">
        <f>ROUND(IF(E2="工业",C41*$M$42,C41*$M$41),0)</f>
        <v>520</v>
      </c>
      <c r="H41" s="171">
        <f t="shared" si="5"/>
        <v>0</v>
      </c>
      <c r="I41" s="171">
        <f t="shared" si="6"/>
        <v>0</v>
      </c>
      <c r="J41" s="2113"/>
      <c r="L41" s="3359"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1248</v>
      </c>
      <c r="D42" s="2102"/>
      <c r="E42" s="187">
        <f t="shared" si="4"/>
        <v>0</v>
      </c>
      <c r="F42" s="766">
        <f>SUMIF(修正!A57:A68,G2,修正!G57:G68)</f>
        <v>0.15</v>
      </c>
      <c r="G42" s="187">
        <f>ROUND(IF(E2="工业",C42*$M$42,C42*$M$41),0)</f>
        <v>312</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0.44519999999999998</v>
      </c>
      <c r="D44" s="171" t="s">
        <v>1999</v>
      </c>
      <c r="E44" s="2152">
        <f>G24</f>
        <v>5.5E-2</v>
      </c>
      <c r="F44" s="171" t="s">
        <v>2008</v>
      </c>
      <c r="G44" s="183">
        <v>10</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1.0205</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3473</v>
      </c>
      <c r="D50" s="1064">
        <f t="shared" ref="D50:D58" si="7">SUMIF($J$49:$N$49,C50,J50:N50)</f>
        <v>0</v>
      </c>
      <c r="E50" s="743">
        <f>ROUND(SUM(D50:D58),4)</f>
        <v>2.0500000000000001E-2</v>
      </c>
      <c r="F50" s="1813">
        <f>IF(E2="商业",SUMIF(L1:L12,G2,N1:N12),"——")</f>
        <v>9.6000000000000002E-2</v>
      </c>
      <c r="G50" s="1062">
        <f>H50</f>
        <v>1.44E-2</v>
      </c>
      <c r="H50" s="1065">
        <f t="shared" ref="H50:H58" si="8">IFERROR(ROUNDDOWN($F$50*I50/2,4),"——")</f>
        <v>1.44E-2</v>
      </c>
      <c r="I50" s="3366">
        <v>0.3</v>
      </c>
      <c r="J50" s="1063">
        <f t="shared" ref="J50:J58" si="9">K50+$G50</f>
        <v>2.8799999999999999E-2</v>
      </c>
      <c r="K50" s="1063">
        <f t="shared" ref="K50:K58" si="10">$L50+$G50</f>
        <v>1.44E-2</v>
      </c>
      <c r="L50" s="1063">
        <v>0</v>
      </c>
      <c r="M50" s="1063">
        <f t="shared" ref="M50:N58" si="11">L50-$G50</f>
        <v>-1.44E-2</v>
      </c>
      <c r="N50" s="1063">
        <f t="shared" si="11"/>
        <v>-2.8799999999999999E-2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3401</v>
      </c>
      <c r="D51" s="1064">
        <f t="shared" si="7"/>
        <v>1.0500000000000001E-2</v>
      </c>
      <c r="E51" s="744"/>
      <c r="F51" s="1813"/>
      <c r="G51" s="1062">
        <f t="shared" ref="G51:G58" si="12">H51</f>
        <v>1.0500000000000001E-2</v>
      </c>
      <c r="H51" s="1065">
        <f t="shared" si="8"/>
        <v>1.0500000000000001E-2</v>
      </c>
      <c r="I51" s="3366">
        <v>0.22</v>
      </c>
      <c r="J51" s="1063">
        <f t="shared" si="9"/>
        <v>2.1000000000000001E-2</v>
      </c>
      <c r="K51" s="1063">
        <f t="shared" si="10"/>
        <v>1.0500000000000001E-2</v>
      </c>
      <c r="L51" s="1063">
        <v>0</v>
      </c>
      <c r="M51" s="1063">
        <f t="shared" si="11"/>
        <v>-1.0500000000000001E-2</v>
      </c>
      <c r="N51" s="1063">
        <f t="shared" si="11"/>
        <v>-2.1000000000000001E-2</v>
      </c>
      <c r="AA51" s="1119"/>
      <c r="AB51" s="1119"/>
      <c r="AC51" s="1119"/>
      <c r="AD51" s="1119"/>
      <c r="AE51" s="1119"/>
      <c r="AF51" s="1119"/>
      <c r="AG51" s="1119"/>
      <c r="AH51" s="1119"/>
      <c r="AI51" s="1119"/>
      <c r="AJ51" s="1119"/>
      <c r="AK51" s="1119"/>
    </row>
    <row r="52" spans="1:37" s="1118" customFormat="1" ht="36">
      <c r="A52" s="3368" t="s">
        <v>3277</v>
      </c>
      <c r="B52" s="2133">
        <f>估价对象房地状况!C19</f>
        <v>0</v>
      </c>
      <c r="C52" s="2043" t="s">
        <v>3473</v>
      </c>
      <c r="D52" s="1064">
        <f t="shared" si="7"/>
        <v>0</v>
      </c>
      <c r="E52" s="744"/>
      <c r="F52" s="1813"/>
      <c r="G52" s="1062">
        <f t="shared" si="12"/>
        <v>5.7000000000000002E-3</v>
      </c>
      <c r="H52" s="1065">
        <f t="shared" si="8"/>
        <v>5.7000000000000002E-3</v>
      </c>
      <c r="I52" s="3366">
        <v>0.12</v>
      </c>
      <c r="J52" s="1063">
        <f t="shared" si="9"/>
        <v>1.14E-2</v>
      </c>
      <c r="K52" s="1063">
        <f t="shared" si="10"/>
        <v>5.7000000000000002E-3</v>
      </c>
      <c r="L52" s="1063">
        <v>0</v>
      </c>
      <c r="M52" s="1063">
        <f t="shared" si="11"/>
        <v>-5.7000000000000002E-3</v>
      </c>
      <c r="N52" s="1063">
        <f t="shared" si="11"/>
        <v>-1.14E-2</v>
      </c>
      <c r="AA52" s="1119"/>
      <c r="AB52" s="1119"/>
      <c r="AC52" s="1119"/>
      <c r="AD52" s="1119"/>
      <c r="AE52" s="1119"/>
      <c r="AF52" s="1119"/>
      <c r="AG52" s="1119"/>
      <c r="AH52" s="1119"/>
      <c r="AI52" s="1119"/>
      <c r="AJ52" s="1119"/>
      <c r="AK52" s="1119"/>
    </row>
    <row r="53" spans="1:37" s="1118" customFormat="1" ht="36.75">
      <c r="A53" s="2129" t="s">
        <v>2054</v>
      </c>
      <c r="B53" s="2134" t="s">
        <v>2055</v>
      </c>
      <c r="C53" s="2043" t="s">
        <v>3402</v>
      </c>
      <c r="D53" s="1064">
        <f t="shared" si="7"/>
        <v>-4.7999999999999996E-3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3473</v>
      </c>
      <c r="D54" s="1064">
        <f t="shared" si="7"/>
        <v>0</v>
      </c>
      <c r="E54" s="744"/>
      <c r="F54" s="1813"/>
      <c r="G54" s="1062">
        <f t="shared" si="1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3401</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3401</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3403</v>
      </c>
      <c r="D57" s="1064">
        <f t="shared" si="7"/>
        <v>7.6E-3</v>
      </c>
      <c r="E57" s="744"/>
      <c r="F57" s="1813"/>
      <c r="G57" s="1062">
        <f t="shared" si="1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3401</v>
      </c>
      <c r="D58" s="1064">
        <f t="shared" si="7"/>
        <v>2.3999999999999998E-3</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3277</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3277</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3278</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3282</v>
      </c>
      <c r="B96" s="3384" t="s">
        <v>3293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3284</v>
      </c>
      <c r="B98" s="3385" t="s">
        <v>3294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3" t="s">
        <v>3302</v>
      </c>
      <c r="B103" s="3783"/>
      <c r="C103" s="3783"/>
      <c r="D103" s="3783"/>
      <c r="E103" s="3783"/>
      <c r="F103" s="3783"/>
      <c r="G103" s="3783"/>
      <c r="H103" s="3783"/>
      <c r="I103" s="3783"/>
      <c r="J103" s="3783"/>
      <c r="K103" s="3389"/>
      <c r="L103" s="3389"/>
      <c r="M103" s="3389"/>
      <c r="N103" s="3389"/>
    </row>
    <row r="104" spans="1:14">
      <c r="A104" s="3784" t="s">
        <v>3303</v>
      </c>
      <c r="B104" s="3784" t="s">
        <v>3304</v>
      </c>
      <c r="C104" s="3390" t="s">
        <v>3305</v>
      </c>
      <c r="D104" s="3391"/>
      <c r="E104" s="3391"/>
      <c r="F104" s="3391"/>
      <c r="G104" s="3391"/>
      <c r="H104" s="3391"/>
      <c r="I104" s="3391"/>
      <c r="J104" s="3392"/>
      <c r="K104" s="3393"/>
      <c r="L104" s="3393"/>
      <c r="M104" s="3393"/>
      <c r="N104" s="3393"/>
    </row>
    <row r="105" spans="1:14">
      <c r="A105" s="3784"/>
      <c r="B105" s="3784"/>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770"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1"/>
      <c r="B111" s="3394" t="s">
        <v>3276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3" t="s">
        <v>3319</v>
      </c>
      <c r="B113" s="3773"/>
      <c r="C113" s="3773"/>
      <c r="D113" s="3773"/>
      <c r="E113" s="3773"/>
      <c r="F113" s="3773"/>
      <c r="G113" s="3773"/>
      <c r="H113" s="3773"/>
      <c r="I113" s="3773"/>
      <c r="J113" s="377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2.5</v>
      </c>
      <c r="C116" s="3399" t="s">
        <v>3321</v>
      </c>
      <c r="D116" s="3400">
        <f>SUMPRODUCT((A118:A122=F116)*(B117:M117=H116)*B118:M122)</f>
        <v>0.91400000000000003</v>
      </c>
      <c r="E116" s="1999" t="s">
        <v>3322</v>
      </c>
      <c r="F116" s="3401" t="str">
        <f>E2</f>
        <v>商业</v>
      </c>
      <c r="G116" s="1999" t="s">
        <v>3323</v>
      </c>
      <c r="H116" s="3401" t="str">
        <f>G2</f>
        <v>三级</v>
      </c>
      <c r="I116" s="1999"/>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3337</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3338</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3339</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0" priority="6" stopIfTrue="1" operator="notEqual">
      <formula>"——"</formula>
    </cfRule>
  </conditionalFormatting>
  <conditionalFormatting sqref="F61">
    <cfRule type="cellIs" dxfId="179" priority="5" stopIfTrue="1" operator="notEqual">
      <formula>"——"</formula>
    </cfRule>
  </conditionalFormatting>
  <conditionalFormatting sqref="F72">
    <cfRule type="cellIs" dxfId="178" priority="4" stopIfTrue="1" operator="notEqual">
      <formula>"——"</formula>
    </cfRule>
  </conditionalFormatting>
  <conditionalFormatting sqref="F83">
    <cfRule type="cellIs" dxfId="177" priority="3" stopIfTrue="1" operator="notEqual">
      <formula>"——"</formula>
    </cfRule>
  </conditionalFormatting>
  <conditionalFormatting sqref="H50:H58 H61:H69 H72:H80 H83:H91">
    <cfRule type="cellIs" dxfId="176" priority="2" operator="notEqual">
      <formula>"——"</formula>
    </cfRule>
  </conditionalFormatting>
  <conditionalFormatting sqref="H93:H101">
    <cfRule type="cellIs" dxfId="17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4" sqref="J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26.88</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25960</v>
      </c>
      <c r="C2" s="1386" t="s">
        <v>805</v>
      </c>
      <c r="D2" s="1386"/>
      <c r="E2" s="1387"/>
      <c r="F2" s="1388"/>
      <c r="G2" s="2703"/>
      <c r="H2" s="2692"/>
      <c r="I2" s="2692"/>
      <c r="J2" s="2692"/>
      <c r="K2" s="2693"/>
      <c r="L2" s="2692"/>
      <c r="M2" s="2692"/>
    </row>
    <row r="3" spans="1:37" ht="18" customHeight="1" thickBot="1">
      <c r="A3" s="1389" t="s">
        <v>806</v>
      </c>
      <c r="B3" s="1390">
        <f ca="1">IF(ISERROR(B2*10000/F43),0,ROUND(B2*10000/F43,0))</f>
        <v>13373</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2258</v>
      </c>
      <c r="D5" s="1363" t="s">
        <v>693</v>
      </c>
      <c r="E5" s="1070"/>
      <c r="F5" s="1071"/>
      <c r="G5" s="1383"/>
      <c r="H5" s="299">
        <v>1</v>
      </c>
      <c r="I5" s="300" t="s">
        <v>692</v>
      </c>
      <c r="J5" s="1069">
        <f ca="1">J6+J10+J12</f>
        <v>2579</v>
      </c>
      <c r="K5" s="1363" t="s">
        <v>693</v>
      </c>
      <c r="L5" s="1070"/>
      <c r="M5" s="1071"/>
    </row>
    <row r="6" spans="1:37" ht="18" customHeight="1">
      <c r="A6" s="1068" t="s">
        <v>398</v>
      </c>
      <c r="B6" s="3791" t="s">
        <v>694</v>
      </c>
      <c r="C6" s="1073">
        <f ca="1">ROUND(F6*F8*F7*(1-F9)/10000,0)</f>
        <v>2255</v>
      </c>
      <c r="D6" s="155" t="s">
        <v>2108</v>
      </c>
      <c r="E6" s="302" t="s">
        <v>696</v>
      </c>
      <c r="F6" s="303">
        <f ca="1">INDIRECT("'数据-取费表'!u"&amp;$G$1)</f>
        <v>3.1819781339569198</v>
      </c>
      <c r="G6" s="1383"/>
      <c r="H6" s="1068" t="s">
        <v>398</v>
      </c>
      <c r="I6" s="3791" t="s">
        <v>694</v>
      </c>
      <c r="J6" s="301">
        <f ca="1">ROUND(M6*M8*M7*(1-M9)/10000,0)</f>
        <v>2576</v>
      </c>
      <c r="K6" s="155" t="s">
        <v>2107</v>
      </c>
      <c r="L6" s="302" t="s">
        <v>696</v>
      </c>
      <c r="M6" s="303">
        <f ca="1">INDIRECT("'数据-取费表'!z"&amp;$G$1)</f>
        <v>4.04</v>
      </c>
    </row>
    <row r="7" spans="1:37" ht="18" customHeight="1">
      <c r="A7" s="1072"/>
      <c r="B7" s="3792"/>
      <c r="C7" s="1074"/>
      <c r="D7" s="307"/>
      <c r="E7" s="1075" t="s">
        <v>697</v>
      </c>
      <c r="F7" s="303">
        <f ca="1">IF(INDIRECT("'数据-取费表'!ah"&amp;$G$1)="",INDIRECT("'数据-取费表'!k"&amp;$G$1),INDIRECT("'数据-取费表'!ah"&amp;$G$1))</f>
        <v>19411.939999999999</v>
      </c>
      <c r="G7" s="1383"/>
      <c r="H7" s="304"/>
      <c r="I7" s="3792"/>
      <c r="J7" s="306"/>
      <c r="K7" s="307"/>
      <c r="L7" s="302" t="s">
        <v>697</v>
      </c>
      <c r="M7" s="303">
        <f ca="1">F7</f>
        <v>19411.939999999999</v>
      </c>
    </row>
    <row r="8" spans="1:37" ht="18" customHeight="1">
      <c r="A8" s="304"/>
      <c r="B8" s="3792"/>
      <c r="C8" s="306"/>
      <c r="D8" s="307"/>
      <c r="E8" s="302" t="s">
        <v>698</v>
      </c>
      <c r="F8" s="303">
        <f ca="1">INDIRECT("'数据-取费表'!ai"&amp;$G$1)</f>
        <v>365</v>
      </c>
      <c r="G8" s="1383"/>
      <c r="H8" s="304"/>
      <c r="I8" s="3792"/>
      <c r="J8" s="306"/>
      <c r="K8" s="307"/>
      <c r="L8" s="302" t="s">
        <v>698</v>
      </c>
      <c r="M8" s="303">
        <f ca="1">INDIRECT("'数据-取费表'!ai"&amp;$G$1)</f>
        <v>365</v>
      </c>
    </row>
    <row r="9" spans="1:37" ht="18" customHeight="1">
      <c r="A9" s="304"/>
      <c r="B9" s="3793"/>
      <c r="C9" s="306"/>
      <c r="D9" s="307"/>
      <c r="E9" s="302" t="s">
        <v>699</v>
      </c>
      <c r="F9" s="312">
        <f ca="1">INDIRECT("'数据-取费表'!w"&amp;$G$1)</f>
        <v>0</v>
      </c>
      <c r="G9" s="1383"/>
      <c r="H9" s="304"/>
      <c r="I9" s="3793"/>
      <c r="J9" s="306"/>
      <c r="K9" s="307"/>
      <c r="L9" s="313" t="s">
        <v>699</v>
      </c>
      <c r="M9" s="314">
        <f ca="1">INDIRECT("'数据-取费表'!ab"&amp;$G$1)</f>
        <v>0.1</v>
      </c>
    </row>
    <row r="10" spans="1:37" ht="18" customHeight="1">
      <c r="A10" s="1068" t="s">
        <v>402</v>
      </c>
      <c r="B10" s="1364" t="s">
        <v>700</v>
      </c>
      <c r="C10" s="316">
        <f ca="1">ROUND(IF(F10="押一",C6/12*F11,IF(F10="押二",C6/12*2*F11,IF(F10="押三",C6/12*3*F11,C11*F11))),0)</f>
        <v>3</v>
      </c>
      <c r="D10" s="1365" t="s">
        <v>2116</v>
      </c>
      <c r="E10" s="313" t="s">
        <v>701</v>
      </c>
      <c r="F10" s="1115" t="s">
        <v>3384</v>
      </c>
      <c r="G10" s="1383"/>
      <c r="H10" s="1068" t="s">
        <v>402</v>
      </c>
      <c r="I10" s="1364" t="s">
        <v>700</v>
      </c>
      <c r="J10" s="301">
        <f ca="1">ROUND(IF(M10="押一",J6/12*M11,IF(M10="押二",J6/12*2*M11,IF(M10="押三",J6/12*3*M11,J11*M11))),0)</f>
        <v>3</v>
      </c>
      <c r="K10" s="1365" t="s">
        <v>2115</v>
      </c>
      <c r="L10" s="313" t="s">
        <v>701</v>
      </c>
      <c r="M10" s="1115" t="s">
        <v>3384</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7692</v>
      </c>
      <c r="D13" s="1080" t="s">
        <v>705</v>
      </c>
      <c r="E13" s="1080" t="s">
        <v>706</v>
      </c>
      <c r="F13" s="1081">
        <f ca="1">INDIRECT("'数据-取费表'!y"&amp;$G$1)</f>
        <v>0.78</v>
      </c>
      <c r="G13" s="1383"/>
      <c r="H13" s="1078">
        <v>2</v>
      </c>
      <c r="I13" s="1079" t="s">
        <v>704</v>
      </c>
      <c r="J13" s="1067">
        <f ca="1">ROUND(J14*J15,0)</f>
        <v>5917</v>
      </c>
      <c r="K13" s="1086" t="s">
        <v>705</v>
      </c>
      <c r="L13" s="1391"/>
      <c r="M13" s="1392"/>
    </row>
    <row r="14" spans="1:37" ht="18" customHeight="1">
      <c r="A14" s="981" t="s">
        <v>397</v>
      </c>
      <c r="B14" s="302" t="s">
        <v>707</v>
      </c>
      <c r="C14" s="318">
        <f ca="1">INDIRECT("'数据-取费表'!m"&amp;$G$1)+INDIRECT("'数据-取费表'!t"&amp;$G$1)</f>
        <v>6794</v>
      </c>
      <c r="D14" s="1344" t="s">
        <v>708</v>
      </c>
      <c r="E14" s="1341"/>
      <c r="F14" s="319"/>
      <c r="G14" s="1383"/>
      <c r="H14" s="981" t="s">
        <v>398</v>
      </c>
      <c r="I14" s="302" t="s">
        <v>709</v>
      </c>
      <c r="J14" s="21">
        <f ca="1">C29</f>
        <v>9861</v>
      </c>
      <c r="K14" s="12"/>
      <c r="L14" s="806"/>
      <c r="M14" s="807"/>
    </row>
    <row r="15" spans="1:37" s="1396" customFormat="1" ht="18" customHeight="1" thickBot="1">
      <c r="A15" s="981" t="s">
        <v>399</v>
      </c>
      <c r="B15" s="302" t="s">
        <v>710</v>
      </c>
      <c r="C15" s="21">
        <f ca="1">ROUND(C14*F15,0)</f>
        <v>204</v>
      </c>
      <c r="D15" s="320" t="s">
        <v>711</v>
      </c>
      <c r="E15" s="320" t="s">
        <v>712</v>
      </c>
      <c r="F15" s="321">
        <f>'数据-取费表'!B33</f>
        <v>0.03</v>
      </c>
      <c r="G15" s="1395"/>
      <c r="H15" s="1088" t="s">
        <v>402</v>
      </c>
      <c r="I15" s="1089" t="s">
        <v>706</v>
      </c>
      <c r="J15" s="1098">
        <f ca="1">INDIRECT("'数据-取费表'!ad"&amp;$G$1)</f>
        <v>0.6</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562</v>
      </c>
      <c r="K16" s="1086" t="s">
        <v>715</v>
      </c>
      <c r="L16" s="1087"/>
      <c r="M16" s="1071"/>
    </row>
    <row r="17" spans="1:37" s="1396" customFormat="1" ht="18" customHeight="1">
      <c r="A17" s="981" t="s">
        <v>681</v>
      </c>
      <c r="B17" s="302" t="s">
        <v>716</v>
      </c>
      <c r="C17" s="21">
        <f ca="1">ROUND(F17*(F43+INDIRECT("'数据-取费表'!S"&amp;$G$1))/10000,0)</f>
        <v>388</v>
      </c>
      <c r="D17" s="302" t="s">
        <v>717</v>
      </c>
      <c r="E17" s="302" t="s">
        <v>718</v>
      </c>
      <c r="F17" s="23">
        <f>'数据-取费表'!B35</f>
        <v>200</v>
      </c>
      <c r="G17" s="1395"/>
      <c r="H17" s="981" t="s">
        <v>398</v>
      </c>
      <c r="I17" s="302" t="s">
        <v>719</v>
      </c>
      <c r="J17" s="2315">
        <f ca="1">ROUND(IF(AND(项目基本情况!B11="自然人",项目基本情况!B10="北京市"),J6*M17/(1+'数据-取费表'!C42),J18+J19+J20),2)</f>
        <v>431.79</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102</v>
      </c>
      <c r="D18" s="302" t="s">
        <v>711</v>
      </c>
      <c r="E18" s="302" t="s">
        <v>712</v>
      </c>
      <c r="F18" s="322">
        <f>'数据-取费表'!B36</f>
        <v>1.4999999999999999E-2</v>
      </c>
      <c r="G18" s="1395"/>
      <c r="H18" s="981" t="s">
        <v>397</v>
      </c>
      <c r="I18" s="302" t="s">
        <v>723</v>
      </c>
      <c r="J18" s="21">
        <f ca="1">ROUND(J6*M18/(1+'数据-取费表'!C42),2)</f>
        <v>137.38999999999999</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7488</v>
      </c>
      <c r="D19" s="131" t="s">
        <v>726</v>
      </c>
      <c r="E19" s="1359"/>
      <c r="F19" s="23"/>
      <c r="G19" s="1383"/>
      <c r="H19" s="981" t="s">
        <v>399</v>
      </c>
      <c r="I19" s="302" t="s">
        <v>727</v>
      </c>
      <c r="J19" s="21">
        <f ca="1">IF(K19="按租金收入计税",ROUND(J6*M19/(1+'数据-取费表'!C42),2),ROUND(C29*M19*0.7,2))</f>
        <v>294.39999999999998</v>
      </c>
      <c r="K19" s="1369" t="s">
        <v>3343</v>
      </c>
      <c r="L19" s="302" t="s">
        <v>712</v>
      </c>
      <c r="M19" s="322">
        <f>IF(K19="按租金收入计税",'数据-取费表'!B51,'数据-取费表'!B50)</f>
        <v>0.12</v>
      </c>
    </row>
    <row r="20" spans="1:37" s="1396" customFormat="1" ht="18" customHeight="1">
      <c r="A20" s="981" t="s">
        <v>402</v>
      </c>
      <c r="B20" s="302" t="s">
        <v>728</v>
      </c>
      <c r="C20" s="21">
        <f ca="1">ROUND(C19*F20,0)</f>
        <v>150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98.61</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317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5.92</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25.79</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2017</v>
      </c>
      <c r="K25" s="1094" t="s">
        <v>753</v>
      </c>
      <c r="L25" s="1095"/>
      <c r="M25" s="1096"/>
    </row>
    <row r="26" spans="1:37">
      <c r="A26" s="981" t="s">
        <v>397</v>
      </c>
      <c r="B26" s="302" t="s">
        <v>754</v>
      </c>
      <c r="C26" s="21">
        <f ca="1">ROUND((C19+C20)*F26,0)</f>
        <v>1146</v>
      </c>
      <c r="D26" s="323" t="s">
        <v>755</v>
      </c>
      <c r="E26" s="313" t="s">
        <v>756</v>
      </c>
      <c r="F26" s="312">
        <f ca="1">INDIRECT("'数据-取费表'!q"&amp;$G$1)</f>
        <v>0.15</v>
      </c>
      <c r="G26" s="1383"/>
      <c r="H26" s="299" t="s">
        <v>395</v>
      </c>
      <c r="I26" s="300" t="s">
        <v>757</v>
      </c>
      <c r="J26" s="301">
        <f ca="1">IF(J5&lt;&gt;0,ROUND(J25*(1-((1+M28)/(1+M26))^M27)/(M26-M28),0),0)</f>
        <v>23071</v>
      </c>
      <c r="K26" s="324" t="s">
        <v>758</v>
      </c>
      <c r="L26" s="302" t="s">
        <v>759</v>
      </c>
      <c r="M26" s="312">
        <f ca="1">INDIRECT("'数据-取费表'!I"&amp;$G$1)</f>
        <v>0.06</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15.899999999999999</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9861</v>
      </c>
      <c r="D29" s="1091"/>
      <c r="E29" s="1089"/>
      <c r="F29" s="1092"/>
      <c r="G29" s="1395"/>
      <c r="H29" s="334" t="s">
        <v>396</v>
      </c>
      <c r="I29" s="335" t="s">
        <v>768</v>
      </c>
      <c r="J29" s="336">
        <f ca="1">ROUND(J26/(1+F40)^F41,0)</f>
        <v>12168</v>
      </c>
      <c r="K29" s="337" t="s">
        <v>769</v>
      </c>
      <c r="L29" s="338"/>
      <c r="M29" s="339">
        <f ca="1">INDIRECT("'数据-取费表'!k"&amp;$G$1)</f>
        <v>19411.939999999999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507</v>
      </c>
      <c r="D30" s="1086" t="s">
        <v>715</v>
      </c>
      <c r="E30" s="1087"/>
      <c r="F30" s="1071"/>
      <c r="G30" s="1383"/>
      <c r="H30" s="2694"/>
      <c r="I30" s="1397"/>
      <c r="J30" s="1398"/>
      <c r="K30" s="2474"/>
      <c r="L30" s="2695"/>
      <c r="M30" s="2696"/>
    </row>
    <row r="31" spans="1:37" ht="18" customHeight="1">
      <c r="A31" s="981" t="s">
        <v>398</v>
      </c>
      <c r="B31" s="302" t="s">
        <v>719</v>
      </c>
      <c r="C31" s="2315">
        <f ca="1">ROUND(IF(AND(项目基本情况!B11="自然人",项目基本情况!B10="北京市"),C6*F31/(1+'数据-取费表'!C42),C32+C33+C34),2)</f>
        <v>377.98</v>
      </c>
      <c r="D31" s="1344" t="s">
        <v>720</v>
      </c>
      <c r="E31" s="1343" t="s">
        <v>770</v>
      </c>
      <c r="F31" s="2314" t="str">
        <f>IF(项目基本情况!B11="企业","——",IF(M47="住宅",IF(F6*F7*F8/12/(1+'数据-取费表'!F30)&gt;100000,4%,2.5%),IF(F6*F7*F8/12/(1+'数据-取费表'!F30)&gt;100000,12%,7%)))</f>
        <v>——</v>
      </c>
      <c r="G31" s="1383"/>
      <c r="H31" s="2805" t="s">
        <v>2309</v>
      </c>
      <c r="I31" s="1397"/>
      <c r="J31" s="1398"/>
      <c r="K31" s="2474"/>
      <c r="L31" s="2695"/>
      <c r="M31" s="2696"/>
    </row>
    <row r="32" spans="1:37" ht="18" customHeight="1">
      <c r="A32" s="981" t="s">
        <v>397</v>
      </c>
      <c r="B32" s="302" t="s">
        <v>723</v>
      </c>
      <c r="C32" s="21">
        <f ca="1">IF(项目基本情况!B11="自然人","——",ROUND(C6*F32/(1+'数据-取费表'!C42),2))</f>
        <v>120.27</v>
      </c>
      <c r="D32" s="1343" t="s">
        <v>724</v>
      </c>
      <c r="E32" s="302" t="s">
        <v>712</v>
      </c>
      <c r="F32" s="331">
        <f>'数据-取费表'!B41</f>
        <v>5.6000000000000001E-2</v>
      </c>
      <c r="G32" s="1383"/>
      <c r="H32" s="2694"/>
      <c r="I32" s="1397"/>
      <c r="J32" s="1398"/>
      <c r="K32" s="2474"/>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257.70999999999998</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18</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98.61</v>
      </c>
      <c r="D36" s="1343" t="s">
        <v>771</v>
      </c>
      <c r="E36" s="302" t="s">
        <v>712</v>
      </c>
      <c r="F36" s="328">
        <f ca="1">INDIRECT("'数据-取费表'!Ak"&amp;$G$1)</f>
        <v>0.01</v>
      </c>
      <c r="G36" s="1383"/>
      <c r="H36" s="2697"/>
      <c r="I36" s="1397"/>
      <c r="J36" s="1398"/>
      <c r="K36" s="2541"/>
      <c r="L36" s="2697"/>
      <c r="M36" s="2697"/>
    </row>
    <row r="37" spans="1:18" ht="18" customHeight="1">
      <c r="A37" s="981" t="s">
        <v>437</v>
      </c>
      <c r="B37" s="302" t="s">
        <v>742</v>
      </c>
      <c r="C37" s="21">
        <f ca="1">ROUND(C13*F37,2)</f>
        <v>7.69</v>
      </c>
      <c r="D37" s="1343" t="s">
        <v>743</v>
      </c>
      <c r="E37" s="302" t="s">
        <v>744</v>
      </c>
      <c r="F37" s="330">
        <f ca="1">INDIRECT("'数据-取费表'!Al"&amp;$G$1)</f>
        <v>1E-3</v>
      </c>
      <c r="G37" s="1383"/>
      <c r="H37" s="2697"/>
      <c r="I37" s="1397"/>
      <c r="J37" s="1398"/>
      <c r="K37" s="2541"/>
      <c r="L37" s="2697"/>
      <c r="M37" s="2697"/>
    </row>
    <row r="38" spans="1:18" ht="18" customHeight="1" thickBot="1">
      <c r="A38" s="1088" t="s">
        <v>684</v>
      </c>
      <c r="B38" s="1089" t="s">
        <v>728</v>
      </c>
      <c r="C38" s="1090">
        <f ca="1">ROUND(C5*F38,2)</f>
        <v>22.58</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1751</v>
      </c>
      <c r="D39" s="1094" t="s">
        <v>773</v>
      </c>
      <c r="E39" s="1095"/>
      <c r="F39" s="1096"/>
      <c r="G39" s="1383"/>
      <c r="H39" s="2697"/>
      <c r="I39" s="1397"/>
      <c r="J39" s="1398"/>
      <c r="K39" s="2701"/>
      <c r="L39" s="2697"/>
      <c r="M39" s="2697"/>
    </row>
    <row r="40" spans="1:18" ht="18" customHeight="1">
      <c r="A40" s="299" t="s">
        <v>395</v>
      </c>
      <c r="B40" s="300" t="s">
        <v>774</v>
      </c>
      <c r="C40" s="301">
        <f ca="1">ROUND(C39*(1-((1+F42)/(1+F40))^F41)/(F40-F42),0)</f>
        <v>13792</v>
      </c>
      <c r="D40" s="324" t="s">
        <v>758</v>
      </c>
      <c r="E40" s="302" t="s">
        <v>759</v>
      </c>
      <c r="F40" s="312">
        <f ca="1">INDIRECT("'数据-取费表'!I"&amp;$G$1)</f>
        <v>0.06</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10.98</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f ca="1">ROUND(C40*10000/F43,0)</f>
        <v>7105</v>
      </c>
      <c r="D43" s="337" t="s">
        <v>777</v>
      </c>
      <c r="E43" s="338" t="s">
        <v>778</v>
      </c>
      <c r="F43" s="339">
        <f ca="1">INDIRECT("'数据-取费表'!k"&amp;$G$1)</f>
        <v>19411.939999999999</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f ca="1">C68-C40</f>
        <v>1125</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3385</v>
      </c>
      <c r="K47" s="1415" t="s">
        <v>816</v>
      </c>
      <c r="L47" s="1416">
        <f ca="1">INDIRECT("'数据-取费表'!d"&amp;$G$1)</f>
        <v>40</v>
      </c>
      <c r="M47" s="1379" t="str">
        <f>IF(ISNUMBER(FIND("住宅",C1)),"住宅","非住宅")</f>
        <v>非住宅</v>
      </c>
      <c r="O47" s="1417" t="s">
        <v>403</v>
      </c>
      <c r="P47" s="1418" t="s">
        <v>817</v>
      </c>
      <c r="Q47" s="1419">
        <f ca="1">C40+J29</f>
        <v>25960</v>
      </c>
      <c r="R47" s="1419" t="s">
        <v>818</v>
      </c>
    </row>
    <row r="48" spans="1:18" s="1383" customFormat="1" ht="28.5" thickBot="1">
      <c r="A48" s="1109" t="s">
        <v>438</v>
      </c>
      <c r="B48" s="300" t="s">
        <v>692</v>
      </c>
      <c r="C48" s="1358">
        <f ca="1">C49+C53+C55</f>
        <v>2235</v>
      </c>
      <c r="D48" s="1111"/>
      <c r="E48" s="1112"/>
      <c r="F48" s="961"/>
      <c r="G48" s="721"/>
      <c r="H48" s="722"/>
      <c r="I48" s="1420" t="s">
        <v>819</v>
      </c>
      <c r="J48" s="1421" t="s">
        <v>3386</v>
      </c>
      <c r="K48" s="1422" t="s">
        <v>820</v>
      </c>
      <c r="L48" s="1423">
        <f ca="1">INDIRECT("'数据-取费表'!f"&amp;$G$1)</f>
        <v>26.88</v>
      </c>
      <c r="O48" s="1417" t="s">
        <v>404</v>
      </c>
      <c r="P48" s="1418" t="s">
        <v>821</v>
      </c>
      <c r="Q48" s="1419" t="str">
        <f ca="1">J60</f>
        <v>0</v>
      </c>
      <c r="R48" s="1419" t="s">
        <v>822</v>
      </c>
    </row>
    <row r="49" spans="1:18" s="1383" customFormat="1" ht="13.5" thickBot="1">
      <c r="A49" s="974" t="s">
        <v>439</v>
      </c>
      <c r="B49" s="1370" t="s">
        <v>779</v>
      </c>
      <c r="C49" s="1113">
        <f ca="1">ROUND(F49*F51*F50*(1-F52)/10000,0)</f>
        <v>2232</v>
      </c>
      <c r="D49" s="1054" t="s">
        <v>2109</v>
      </c>
      <c r="E49" s="1371" t="s">
        <v>780</v>
      </c>
      <c r="F49" s="1059">
        <v>3.5</v>
      </c>
      <c r="G49" s="1424"/>
      <c r="H49" s="722"/>
      <c r="I49" s="1420" t="s">
        <v>823</v>
      </c>
      <c r="J49" s="1425">
        <v>2009</v>
      </c>
      <c r="K49" s="1422" t="s">
        <v>824</v>
      </c>
      <c r="L49" s="1426"/>
      <c r="O49" s="1427" t="s">
        <v>405</v>
      </c>
      <c r="P49" s="1418" t="s">
        <v>825</v>
      </c>
      <c r="Q49" s="1419">
        <f ca="1">C29</f>
        <v>9861</v>
      </c>
      <c r="R49" s="1419" t="s">
        <v>818</v>
      </c>
    </row>
    <row r="50" spans="1:18" s="1383" customFormat="1" ht="13.5" thickBot="1">
      <c r="A50" s="975"/>
      <c r="B50" s="978"/>
      <c r="C50" s="1117"/>
      <c r="D50" s="952"/>
      <c r="E50" s="1055" t="s">
        <v>697</v>
      </c>
      <c r="F50" s="1056">
        <f ca="1">F7</f>
        <v>19411.939999999999</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46</v>
      </c>
      <c r="K51" s="1433" t="s">
        <v>830</v>
      </c>
      <c r="L51" s="1434">
        <f ca="1">ROUND(-PV(INDIRECT("'数据-取费表'!h"&amp;$G$1),J51,(C39-C13*C76),0),0)</f>
        <v>19529</v>
      </c>
      <c r="M51" s="1435"/>
      <c r="O51" s="1427" t="s">
        <v>407</v>
      </c>
      <c r="P51" s="1418" t="s">
        <v>831</v>
      </c>
      <c r="Q51" s="1430">
        <f>J52</f>
        <v>0.08</v>
      </c>
      <c r="R51" s="1419"/>
    </row>
    <row r="52" spans="1:18" s="1383" customFormat="1" ht="13.5" thickBot="1">
      <c r="A52" s="976"/>
      <c r="B52" s="978"/>
      <c r="C52" s="979"/>
      <c r="D52" s="952"/>
      <c r="E52" s="980" t="s">
        <v>699</v>
      </c>
      <c r="F52" s="1053">
        <v>0.1</v>
      </c>
      <c r="I52" s="1436" t="s">
        <v>832</v>
      </c>
      <c r="J52" s="1437">
        <v>0.08</v>
      </c>
      <c r="K52" s="1436" t="s">
        <v>833</v>
      </c>
      <c r="L52" s="1437"/>
      <c r="O52" s="1427" t="s">
        <v>408</v>
      </c>
      <c r="P52" s="1418" t="s">
        <v>834</v>
      </c>
      <c r="Q52" s="1419">
        <f ca="1">J53</f>
        <v>26.88</v>
      </c>
      <c r="R52" s="1419" t="s">
        <v>835</v>
      </c>
    </row>
    <row r="53" spans="1:18" s="1383" customFormat="1" ht="24.75" thickBot="1">
      <c r="A53" s="1151" t="s">
        <v>440</v>
      </c>
      <c r="B53" s="1372" t="s">
        <v>700</v>
      </c>
      <c r="C53" s="316">
        <f ca="1">ROUND(IF(F53="押一",C49/12*F11,IF(F53="押二",C49/12*2*F11,IF(F53="押三",C49/12*3*F11,C54*F11))),0)</f>
        <v>3</v>
      </c>
      <c r="D53" s="1365" t="s">
        <v>2115</v>
      </c>
      <c r="E53" s="313" t="s">
        <v>701</v>
      </c>
      <c r="F53" s="1115" t="s">
        <v>3384</v>
      </c>
      <c r="I53" s="1438" t="s">
        <v>836</v>
      </c>
      <c r="J53" s="2167">
        <f ca="1">IF(M47="住宅",IF(D1="——",MAX(J51,L48),MAX(J51,L48-'数据-取费表'!B24)),IF(D1="——",MIN(J51,L48),MIN(J51,L48-'数据-取费表'!B24)))</f>
        <v>26.88</v>
      </c>
      <c r="K53" s="3789" t="s">
        <v>837</v>
      </c>
      <c r="L53" s="3790"/>
      <c r="O53" s="1417" t="s">
        <v>409</v>
      </c>
      <c r="P53" s="1418" t="s">
        <v>838</v>
      </c>
      <c r="Q53" s="1419">
        <f ca="1">Q47+Q48</f>
        <v>25960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2">
        <f ca="1">C13</f>
        <v>7692</v>
      </c>
      <c r="D56" s="1446"/>
      <c r="E56" s="1447"/>
      <c r="F56" s="1439"/>
      <c r="I56" s="1448" t="s">
        <v>842</v>
      </c>
      <c r="J56" s="1449" t="s">
        <v>3377</v>
      </c>
      <c r="K56" s="1420" t="s">
        <v>843</v>
      </c>
      <c r="L56" s="1423" t="str">
        <f ca="1">IF(L48&lt;J51,"——",L48-J53)</f>
        <v>——</v>
      </c>
      <c r="O56" s="1417" t="s">
        <v>403</v>
      </c>
      <c r="P56" s="1418" t="s">
        <v>817</v>
      </c>
      <c r="Q56" s="1419">
        <f ca="1">C40+J29</f>
        <v>25960</v>
      </c>
      <c r="R56" s="1419" t="s">
        <v>818</v>
      </c>
    </row>
    <row r="57" spans="1:18" s="1383" customFormat="1" ht="24.75" thickBot="1">
      <c r="A57" s="1450"/>
      <c r="B57" s="949" t="s">
        <v>767</v>
      </c>
      <c r="C57" s="238">
        <f ca="1">C29</f>
        <v>9861</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503</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374</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119.2</v>
      </c>
      <c r="D60" s="963" t="s">
        <v>724</v>
      </c>
      <c r="E60" s="949"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255.09</v>
      </c>
      <c r="D61" s="1369" t="s">
        <v>3343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f ca="1">Q56+Q57</f>
        <v>25960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98.61</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7.69</v>
      </c>
      <c r="D65" s="963" t="s">
        <v>743</v>
      </c>
      <c r="E65" s="949" t="s">
        <v>744</v>
      </c>
      <c r="F65" s="330">
        <f t="shared" ca="1" si="0"/>
        <v>1E-3</v>
      </c>
      <c r="I65" s="1461" t="s">
        <v>867</v>
      </c>
      <c r="J65" s="1462">
        <v>40</v>
      </c>
      <c r="K65" s="1462">
        <v>30</v>
      </c>
      <c r="L65" s="1462">
        <v>50</v>
      </c>
      <c r="M65" s="1464">
        <v>0.02</v>
      </c>
      <c r="O65" s="1417" t="s">
        <v>403</v>
      </c>
      <c r="P65" s="1418" t="s">
        <v>868</v>
      </c>
      <c r="Q65" s="1419">
        <f ca="1">C40+J29</f>
        <v>25960</v>
      </c>
      <c r="R65" s="1419" t="s">
        <v>818</v>
      </c>
    </row>
    <row r="66" spans="1:18" s="1383" customFormat="1" ht="16.5" thickBot="1">
      <c r="A66" s="981" t="s">
        <v>793</v>
      </c>
      <c r="B66" s="949" t="s">
        <v>728</v>
      </c>
      <c r="C66" s="21">
        <f ca="1">ROUND(C48*F66,2)</f>
        <v>22.35</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1732</v>
      </c>
      <c r="D67" s="962" t="s">
        <v>753</v>
      </c>
      <c r="E67" s="967"/>
      <c r="F67" s="968"/>
      <c r="O67" s="1427" t="s">
        <v>405</v>
      </c>
      <c r="P67" s="1418" t="s">
        <v>850</v>
      </c>
      <c r="Q67" s="1465">
        <f ca="1">L51</f>
        <v>19529</v>
      </c>
      <c r="R67" s="1419" t="s">
        <v>870</v>
      </c>
    </row>
    <row r="68" spans="1:18" s="1383" customFormat="1" ht="16.5" thickBot="1">
      <c r="A68" s="946" t="s">
        <v>395</v>
      </c>
      <c r="B68" s="947" t="s">
        <v>774</v>
      </c>
      <c r="C68" s="301">
        <f ca="1">ROUND(C67*(1-((1+F70)/(1+F68))^F69)/(F68-F70),0)</f>
        <v>14917</v>
      </c>
      <c r="D68" s="964" t="s">
        <v>758</v>
      </c>
      <c r="E68" s="949" t="s">
        <v>759</v>
      </c>
      <c r="F68" s="312">
        <f ca="1">F40</f>
        <v>0.06</v>
      </c>
      <c r="O68" s="1427" t="s">
        <v>406</v>
      </c>
      <c r="P68" s="1466" t="s">
        <v>871</v>
      </c>
      <c r="Q68" s="1419">
        <f ca="1">ROUND(Q69-Q70*Q71,0)</f>
        <v>1174</v>
      </c>
      <c r="R68" s="1419" t="s">
        <v>414</v>
      </c>
    </row>
    <row r="69" spans="1:18" s="1383" customFormat="1" ht="13.5" thickBot="1">
      <c r="A69" s="950"/>
      <c r="B69" s="951"/>
      <c r="C69" s="306"/>
      <c r="D69" s="969" t="s">
        <v>762</v>
      </c>
      <c r="E69" s="949" t="s">
        <v>763</v>
      </c>
      <c r="F69" s="333">
        <f ca="1">F41</f>
        <v>10.98</v>
      </c>
      <c r="O69" s="1427" t="s">
        <v>411</v>
      </c>
      <c r="P69" s="1466" t="s">
        <v>872</v>
      </c>
      <c r="Q69" s="1419">
        <f ca="1">C39</f>
        <v>1751</v>
      </c>
      <c r="R69" s="1419" t="s">
        <v>818</v>
      </c>
    </row>
    <row r="70" spans="1:18" s="1383" customFormat="1" ht="13.5" thickBot="1">
      <c r="A70" s="953"/>
      <c r="B70" s="954"/>
      <c r="C70" s="310"/>
      <c r="D70" s="965"/>
      <c r="E70" s="949" t="s">
        <v>766</v>
      </c>
      <c r="F70" s="1053">
        <f ca="1">M28</f>
        <v>0.02</v>
      </c>
      <c r="O70" s="1427" t="s">
        <v>412</v>
      </c>
      <c r="P70" s="1466" t="s">
        <v>873</v>
      </c>
      <c r="Q70" s="1419">
        <f ca="1">C13</f>
        <v>7692</v>
      </c>
      <c r="R70" s="1419" t="s">
        <v>818</v>
      </c>
    </row>
    <row r="71" spans="1:18" s="1383" customFormat="1" ht="13.5" thickBot="1">
      <c r="A71" s="970" t="s">
        <v>396</v>
      </c>
      <c r="B71" s="971" t="s">
        <v>776</v>
      </c>
      <c r="C71" s="336">
        <f ca="1">ROUND(C68*10000/F71,0)</f>
        <v>7684</v>
      </c>
      <c r="D71" s="972" t="s">
        <v>777</v>
      </c>
      <c r="E71" s="973" t="s">
        <v>778</v>
      </c>
      <c r="F71" s="339">
        <f ca="1">F43</f>
        <v>19411.939999999999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577</v>
      </c>
      <c r="D75" s="1383"/>
      <c r="E75" s="1383"/>
      <c r="F75" s="1383"/>
      <c r="K75" s="1401"/>
      <c r="L75" s="1383"/>
      <c r="O75" s="1417" t="s">
        <v>409</v>
      </c>
      <c r="P75" s="1418" t="s">
        <v>838</v>
      </c>
      <c r="Q75" s="1419">
        <f ca="1">Q65+Q66</f>
        <v>25960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0.66999999999999993</v>
      </c>
    </row>
    <row r="80" spans="1:18">
      <c r="B80" s="340" t="s">
        <v>800</v>
      </c>
      <c r="C80" s="274">
        <f ca="1">ROUND(C75/C39,3)</f>
        <v>0.33</v>
      </c>
    </row>
    <row r="81" spans="2:3">
      <c r="B81" s="270" t="s">
        <v>801</v>
      </c>
      <c r="C81" s="238"/>
    </row>
    <row r="82" spans="2:3">
      <c r="B82" s="273" t="s">
        <v>802</v>
      </c>
      <c r="C82" s="275">
        <f ca="1">1-C83</f>
        <v>0.44199999999999995</v>
      </c>
    </row>
    <row r="83" spans="2:3">
      <c r="B83" s="273" t="s">
        <v>803</v>
      </c>
      <c r="C83" s="274">
        <f ca="1">ROUND(C13/C40,3)</f>
        <v>0.55800000000000005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91" t="s">
        <v>694</v>
      </c>
      <c r="C6" s="1073">
        <f ca="1">ROUND(F6*F8*F7*(1-F9),0)</f>
        <v>0</v>
      </c>
      <c r="D6" s="155" t="s">
        <v>2105</v>
      </c>
      <c r="E6" s="302" t="s">
        <v>696</v>
      </c>
      <c r="F6" s="303">
        <f ca="1">INDIRECT("'数据-取费表'!u"&amp;$G$1)</f>
        <v>0</v>
      </c>
      <c r="G6" s="1383"/>
      <c r="H6" s="1068" t="s">
        <v>398</v>
      </c>
      <c r="I6" s="3791" t="s">
        <v>694</v>
      </c>
      <c r="J6" s="301">
        <f ca="1">ROUND(M6*M8*M7*(1-M9),0)</f>
        <v>0</v>
      </c>
      <c r="K6" s="1375" t="s">
        <v>2106</v>
      </c>
      <c r="L6" s="302" t="s">
        <v>696</v>
      </c>
      <c r="M6" s="303">
        <f ca="1">INDIRECT("'数据-取费表'!z"&amp;$G$1)</f>
        <v>0</v>
      </c>
    </row>
    <row r="7" spans="1:37" ht="18" customHeight="1">
      <c r="A7" s="1072"/>
      <c r="B7" s="3792"/>
      <c r="C7" s="1074"/>
      <c r="D7" s="307"/>
      <c r="E7" s="1075" t="s">
        <v>697</v>
      </c>
      <c r="F7" s="303">
        <f ca="1">IF(INDIRECT("'数据-取费表'!ah"&amp;$G$1)="",INDIRECT("'数据-取费表'!k"&amp;$G$1),INDIRECT("'数据-取费表'!ah"&amp;$G$1))</f>
        <v>0</v>
      </c>
      <c r="G7" s="1383"/>
      <c r="H7" s="304"/>
      <c r="I7" s="3792"/>
      <c r="J7" s="306"/>
      <c r="K7" s="307"/>
      <c r="L7" s="302" t="s">
        <v>697</v>
      </c>
      <c r="M7" s="303">
        <f ca="1">F7</f>
        <v>0</v>
      </c>
    </row>
    <row r="8" spans="1:37" ht="18" customHeight="1">
      <c r="A8" s="304"/>
      <c r="B8" s="3792"/>
      <c r="C8" s="306"/>
      <c r="D8" s="307"/>
      <c r="E8" s="302" t="s">
        <v>698</v>
      </c>
      <c r="F8" s="303">
        <f ca="1">INDIRECT("'数据-取费表'!ai"&amp;$G$1)</f>
        <v>365</v>
      </c>
      <c r="G8" s="1383"/>
      <c r="H8" s="304"/>
      <c r="I8" s="3792"/>
      <c r="J8" s="306"/>
      <c r="K8" s="307"/>
      <c r="L8" s="302" t="s">
        <v>698</v>
      </c>
      <c r="M8" s="303">
        <f ca="1">INDIRECT("'数据-取费表'!ai"&amp;$G$1)</f>
        <v>365</v>
      </c>
    </row>
    <row r="9" spans="1:37" ht="18" customHeight="1">
      <c r="A9" s="304"/>
      <c r="B9" s="3793"/>
      <c r="C9" s="306"/>
      <c r="D9" s="307"/>
      <c r="E9" s="302" t="s">
        <v>699</v>
      </c>
      <c r="F9" s="312">
        <f ca="1">INDIRECT("'数据-取费表'!w"&amp;$G$1)</f>
        <v>0</v>
      </c>
      <c r="G9" s="1383"/>
      <c r="H9" s="304"/>
      <c r="I9" s="379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t="e">
        <f ca="1">ROUND(J26/(1+F40)^F41,0)</f>
        <v>#N/A</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4"/>
      <c r="L30" s="2695"/>
      <c r="M30" s="2696"/>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5" t="s">
        <v>2309</v>
      </c>
      <c r="I31" s="1397"/>
      <c r="J31" s="1398"/>
      <c r="K31" s="2474"/>
      <c r="L31" s="2695"/>
      <c r="M31" s="2696"/>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4"/>
      <c r="I32" s="1397"/>
      <c r="J32" s="1398"/>
      <c r="K32" s="2474"/>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18</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0</v>
      </c>
      <c r="D36" s="1343" t="s">
        <v>771</v>
      </c>
      <c r="E36" s="302" t="s">
        <v>712</v>
      </c>
      <c r="F36" s="328">
        <f ca="1">INDIRECT("'数据-取费表'!Ak"&amp;$G$1)</f>
        <v>0.01</v>
      </c>
      <c r="G36" s="1383"/>
      <c r="H36" s="2697"/>
      <c r="I36" s="1397"/>
      <c r="J36" s="1398"/>
      <c r="K36" s="2541"/>
      <c r="L36" s="2697"/>
      <c r="M36" s="2697"/>
    </row>
    <row r="37" spans="1:18" ht="18" customHeight="1">
      <c r="A37" s="981" t="s">
        <v>437</v>
      </c>
      <c r="B37" s="302" t="s">
        <v>742</v>
      </c>
      <c r="C37" s="21">
        <f ca="1">ROUND(C13*F37,0)</f>
        <v>0</v>
      </c>
      <c r="D37" s="1343" t="s">
        <v>743</v>
      </c>
      <c r="E37" s="302" t="s">
        <v>744</v>
      </c>
      <c r="F37" s="330">
        <f ca="1">INDIRECT("'数据-取费表'!Al"&amp;$G$1)</f>
        <v>1E-3</v>
      </c>
      <c r="G37" s="1383"/>
      <c r="H37" s="2697"/>
      <c r="I37" s="1397"/>
      <c r="J37" s="1398"/>
      <c r="K37" s="2541"/>
      <c r="L37" s="2697"/>
      <c r="M37" s="2697"/>
    </row>
    <row r="38" spans="1:18" ht="18" customHeight="1" thickBot="1">
      <c r="A38" s="1088" t="s">
        <v>684</v>
      </c>
      <c r="B38" s="1089" t="s">
        <v>728</v>
      </c>
      <c r="C38" s="1090">
        <f ca="1">ROUND(C5*F38,0)</f>
        <v>0</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#N/A</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ROUND(C40/F43,0)</f>
        <v>#N/A</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30" t="s">
        <v>3359</v>
      </c>
      <c r="B45" s="1399"/>
      <c r="C45" s="1471" t="e">
        <f ca="1">ROUND((C68-C40)/10000,4)</f>
        <v>#N/A</v>
      </c>
      <c r="D45" s="3431" t="s">
        <v>3360</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365</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0</v>
      </c>
      <c r="K53" s="3789" t="s">
        <v>837</v>
      </c>
      <c r="L53" s="3790"/>
      <c r="O53" s="1417" t="s">
        <v>409</v>
      </c>
      <c r="P53" s="1418" t="s">
        <v>838</v>
      </c>
      <c r="Q53" s="1419" t="e">
        <f ca="1">Q47+Q48</f>
        <v>#N/A</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#N/A</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1E-3</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#N/A</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t="e">
        <f ca="1">F41</f>
        <v>#N/A</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#N/A</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#N/A</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4" t="s">
        <v>2317</v>
      </c>
      <c r="B2" s="2840" t="e">
        <f>IF(D2="——",C40,C40+E2)</f>
        <v>#DIV/0!</v>
      </c>
      <c r="C2" s="2841" t="s">
        <v>2318</v>
      </c>
      <c r="D2" s="3442" t="s">
        <v>3368</v>
      </c>
      <c r="E2" s="3443"/>
      <c r="F2" s="2843"/>
      <c r="G2" s="2844"/>
      <c r="H2" s="2845"/>
      <c r="I2" s="2846"/>
      <c r="J2" s="3800" t="s">
        <v>2319</v>
      </c>
      <c r="K2" s="3801"/>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802" t="s">
        <v>2329</v>
      </c>
      <c r="K3" s="3803"/>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802" t="s">
        <v>2331</v>
      </c>
      <c r="K4" s="3803"/>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808" t="s">
        <v>2335</v>
      </c>
      <c r="B6" s="3809"/>
      <c r="C6" s="3810"/>
      <c r="D6" s="2867"/>
      <c r="E6" s="2868"/>
      <c r="F6" s="2869"/>
      <c r="G6" s="2870"/>
      <c r="H6" s="2845"/>
      <c r="I6" s="2846"/>
      <c r="J6" s="3794">
        <v>1</v>
      </c>
      <c r="K6" s="3795"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94"/>
      <c r="K7" s="3796"/>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811" t="s">
        <v>2349</v>
      </c>
      <c r="C8" s="3812"/>
      <c r="D8" s="2886" t="s">
        <v>2350</v>
      </c>
      <c r="E8" s="2887" t="s">
        <v>2351</v>
      </c>
      <c r="F8" s="2888" t="s">
        <v>2352</v>
      </c>
      <c r="G8" s="2889"/>
      <c r="H8" s="2845"/>
      <c r="I8" s="2846"/>
      <c r="J8" s="3794"/>
      <c r="K8" s="3796"/>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811" t="s">
        <v>2355</v>
      </c>
      <c r="C9" s="3812"/>
      <c r="D9" s="2886">
        <f>ROUND(D6*E9,0)</f>
        <v>0</v>
      </c>
      <c r="E9" s="2890"/>
      <c r="F9" s="2891" t="s">
        <v>2356</v>
      </c>
      <c r="G9" s="2870"/>
      <c r="H9" s="2845"/>
      <c r="I9" s="2846"/>
      <c r="J9" s="3794"/>
      <c r="K9" s="3796"/>
      <c r="L9" s="2880" t="s">
        <v>2357</v>
      </c>
      <c r="M9" s="2881"/>
      <c r="N9" s="2857"/>
      <c r="O9" s="2882"/>
      <c r="P9" s="2882"/>
      <c r="Q9" s="2883">
        <v>365</v>
      </c>
      <c r="R9" s="2884">
        <f t="shared" si="0"/>
        <v>0</v>
      </c>
      <c r="S9" s="2838"/>
      <c r="T9" s="2838"/>
      <c r="U9" s="2838"/>
      <c r="V9" s="2846"/>
    </row>
    <row r="10" spans="1:22" s="2850" customFormat="1" ht="13.15" customHeight="1">
      <c r="A10" s="2885">
        <v>2</v>
      </c>
      <c r="B10" s="3811" t="s">
        <v>2358</v>
      </c>
      <c r="C10" s="3812"/>
      <c r="D10" s="2886">
        <f>ROUND(D6*E10,0)</f>
        <v>0</v>
      </c>
      <c r="E10" s="2890"/>
      <c r="F10" s="2891" t="s">
        <v>2359</v>
      </c>
      <c r="G10" s="2870"/>
      <c r="H10" s="2845"/>
      <c r="I10" s="2846"/>
      <c r="J10" s="3794"/>
      <c r="K10" s="3796"/>
      <c r="L10" s="2880" t="s">
        <v>2360</v>
      </c>
      <c r="M10" s="2881"/>
      <c r="N10" s="2857"/>
      <c r="O10" s="2882"/>
      <c r="P10" s="2882"/>
      <c r="Q10" s="2883">
        <v>365</v>
      </c>
      <c r="R10" s="2884">
        <f t="shared" si="0"/>
        <v>0</v>
      </c>
      <c r="S10" s="2838"/>
      <c r="T10" s="2838"/>
      <c r="U10" s="2838"/>
      <c r="V10" s="2846"/>
    </row>
    <row r="11" spans="1:22" s="2850" customFormat="1" ht="13.15" customHeight="1">
      <c r="A11" s="2885">
        <v>3</v>
      </c>
      <c r="B11" s="3811" t="s">
        <v>2361</v>
      </c>
      <c r="C11" s="3812"/>
      <c r="D11" s="2886">
        <f>D12+D14+D15+D16</f>
        <v>0</v>
      </c>
      <c r="E11" s="2892" t="e">
        <f>D11/D6</f>
        <v>#DIV/0!</v>
      </c>
      <c r="F11" s="2888"/>
      <c r="G11" s="2889"/>
      <c r="H11" s="2845"/>
      <c r="I11" s="2846"/>
      <c r="J11" s="3794"/>
      <c r="K11" s="3796"/>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804" t="s">
        <v>2364</v>
      </c>
      <c r="C12" s="3805"/>
      <c r="D12" s="2894">
        <f>ROUND(D13*1.2%*(1-30%),0)</f>
        <v>0</v>
      </c>
      <c r="E12" s="2895">
        <v>1.2E-2</v>
      </c>
      <c r="F12" s="2888" t="s">
        <v>2365</v>
      </c>
      <c r="G12" s="2889"/>
      <c r="H12" s="2845"/>
      <c r="I12" s="2846"/>
      <c r="J12" s="3794"/>
      <c r="K12" s="3796"/>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94"/>
      <c r="K13" s="3796"/>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804" t="s">
        <v>2370</v>
      </c>
      <c r="C14" s="3805"/>
      <c r="D14" s="2894">
        <f>ROUND(E14*B5/10000,0)</f>
        <v>0</v>
      </c>
      <c r="E14" s="2883"/>
      <c r="F14" s="2888" t="s">
        <v>2371</v>
      </c>
      <c r="G14" s="2889"/>
      <c r="H14" s="2845"/>
      <c r="I14" s="2846"/>
      <c r="J14" s="3794"/>
      <c r="K14" s="3797"/>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804" t="s">
        <v>2374</v>
      </c>
      <c r="C15" s="3805"/>
      <c r="D15" s="2894">
        <f>ROUND(D6*E15,0)</f>
        <v>0</v>
      </c>
      <c r="E15" s="2895">
        <v>5.5E-2</v>
      </c>
      <c r="F15" s="2888" t="s">
        <v>2375</v>
      </c>
      <c r="G15" s="2870"/>
      <c r="H15" s="2845"/>
      <c r="I15" s="2846"/>
      <c r="J15" s="3794">
        <v>2</v>
      </c>
      <c r="K15" s="3795"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804" t="s">
        <v>2383</v>
      </c>
      <c r="C16" s="3805"/>
      <c r="D16" s="2905">
        <f>D6*E16</f>
        <v>0</v>
      </c>
      <c r="E16" s="2906"/>
      <c r="F16" s="2891" t="s">
        <v>2384</v>
      </c>
      <c r="G16" s="2870"/>
      <c r="H16" s="2845"/>
      <c r="I16" s="2846"/>
      <c r="J16" s="3794"/>
      <c r="K16" s="3796"/>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806" t="s">
        <v>2386</v>
      </c>
      <c r="C17" s="3807"/>
      <c r="D17" s="2908">
        <f>ROUND(D6*E17,0)</f>
        <v>0</v>
      </c>
      <c r="E17" s="2909"/>
      <c r="F17" s="2910" t="s">
        <v>2387</v>
      </c>
      <c r="G17" s="2870"/>
      <c r="H17" s="2845"/>
      <c r="I17" s="2846"/>
      <c r="J17" s="3794"/>
      <c r="K17" s="3796"/>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94"/>
      <c r="K18" s="3796"/>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94"/>
      <c r="K19" s="3797"/>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94">
        <v>3</v>
      </c>
      <c r="K20" s="3795"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94"/>
      <c r="K21" s="3796"/>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94"/>
      <c r="K22" s="3796"/>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94"/>
      <c r="K23" s="3796"/>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94"/>
      <c r="K24" s="3797"/>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98">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9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800" t="s">
        <v>2319</v>
      </c>
      <c r="K32" s="3801"/>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802" t="s">
        <v>2329</v>
      </c>
      <c r="K33" s="3803"/>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802" t="s">
        <v>2331</v>
      </c>
      <c r="K34" s="380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94">
        <v>1</v>
      </c>
      <c r="K36" s="3795"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94"/>
      <c r="K37" s="3796"/>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94"/>
      <c r="K38" s="3796"/>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94"/>
      <c r="K39" s="3796"/>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94"/>
      <c r="K40" s="3797"/>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98">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9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t="e">
        <f ca="1">SUMIF(B6:B13,"&lt;&gt;#ref!",B6:B13)</f>
        <v>#N/A</v>
      </c>
      <c r="C2" s="1871" t="s">
        <v>1651</v>
      </c>
      <c r="D2" s="1872" t="s">
        <v>1652</v>
      </c>
      <c r="E2" s="2604">
        <f>SUM(E6:E13)</f>
        <v>19411.939999999999</v>
      </c>
      <c r="F2" s="2704"/>
      <c r="G2" s="1488"/>
      <c r="H2" s="1488"/>
      <c r="I2" s="1488"/>
      <c r="J2" s="1488"/>
      <c r="K2" s="1488"/>
      <c r="L2" s="1488"/>
      <c r="M2" s="1488"/>
      <c r="N2" s="1488"/>
      <c r="O2" s="1488"/>
      <c r="P2" s="1488"/>
      <c r="Q2" s="1488"/>
      <c r="R2" s="1488"/>
      <c r="S2" s="1488"/>
    </row>
    <row r="3" spans="1:22" ht="15.75">
      <c r="A3" s="1869" t="s">
        <v>686</v>
      </c>
      <c r="B3" s="2598" t="e">
        <f ca="1">ROUND(B2*10000/E2,0)</f>
        <v>#N/A</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1653</v>
      </c>
      <c r="B5" s="3813" t="s">
        <v>1654</v>
      </c>
      <c r="C5" s="3814"/>
      <c r="D5" s="2705"/>
      <c r="E5" s="1873" t="s">
        <v>1655</v>
      </c>
      <c r="F5" s="1874" t="s">
        <v>1656</v>
      </c>
      <c r="G5" s="1488"/>
      <c r="H5" s="1488"/>
      <c r="I5" s="1488"/>
      <c r="J5" s="1488"/>
      <c r="K5" s="1488"/>
      <c r="L5" s="1488"/>
      <c r="M5" s="1488"/>
      <c r="N5" s="1488"/>
      <c r="O5" s="1488"/>
      <c r="P5" s="1488"/>
      <c r="Q5" s="1488"/>
      <c r="R5" s="1488"/>
      <c r="S5" s="1488"/>
    </row>
    <row r="6" spans="1:22">
      <c r="A6" s="2601" t="str">
        <f>'数据-取费表'!AN6</f>
        <v>收益法</v>
      </c>
      <c r="B6" s="2599">
        <f ca="1">IF(F6="是",'数据-取费表'!AO6,0)</f>
        <v>25960</v>
      </c>
      <c r="C6" s="1871" t="s">
        <v>1651</v>
      </c>
      <c r="D6" s="2706"/>
      <c r="E6" s="2603">
        <f>IF(OR(A6=0,F6="否"),0,'数据-取费表'!K6+'数据-取费表'!S6)</f>
        <v>19411.939999999999</v>
      </c>
      <c r="F6" s="1875" t="s">
        <v>1657</v>
      </c>
      <c r="G6" s="1488"/>
      <c r="H6" s="1488"/>
      <c r="I6" s="1488"/>
      <c r="J6" s="1488"/>
      <c r="K6" s="1488"/>
      <c r="L6" s="1488"/>
      <c r="M6" s="1488"/>
      <c r="N6" s="1488"/>
      <c r="O6" s="1488"/>
      <c r="P6" s="1488"/>
      <c r="Q6" s="1488"/>
      <c r="R6" s="1488"/>
      <c r="S6" s="1488"/>
    </row>
    <row r="7" spans="1:22">
      <c r="A7" s="2601" t="str">
        <f>'数据-取费表'!AN7</f>
        <v>收益法-车库</v>
      </c>
      <c r="B7" s="2599" t="e">
        <f ca="1">IF(F7="是",'数据-取费表'!AO7,0)</f>
        <v>#N/A</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19411.939999999999</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33" t="s">
        <v>1667</v>
      </c>
      <c r="D4" s="3734"/>
      <c r="E4" s="3735" t="s">
        <v>1668</v>
      </c>
      <c r="F4" s="3736"/>
      <c r="G4" s="3733" t="s">
        <v>1669</v>
      </c>
      <c r="H4" s="3734"/>
      <c r="I4" s="3733" t="s">
        <v>1670</v>
      </c>
      <c r="J4" s="3734"/>
      <c r="K4" s="1888" t="s">
        <v>1671</v>
      </c>
      <c r="L4" s="2712"/>
      <c r="M4" s="2713"/>
      <c r="N4" s="2713"/>
      <c r="O4" s="2713"/>
      <c r="P4" s="3737" t="s">
        <v>1672</v>
      </c>
      <c r="Q4" s="3738"/>
      <c r="R4" s="3743" t="s">
        <v>1668</v>
      </c>
      <c r="S4" s="3744"/>
      <c r="T4" s="3743" t="s">
        <v>1669</v>
      </c>
      <c r="U4" s="3744"/>
      <c r="V4" s="3728" t="s">
        <v>1670</v>
      </c>
      <c r="W4" s="3728"/>
      <c r="X4" s="1354"/>
      <c r="Y4" s="3743" t="s">
        <v>1672</v>
      </c>
      <c r="Z4" s="3744"/>
      <c r="AA4" s="3730" t="s">
        <v>1668</v>
      </c>
      <c r="AB4" s="3730" t="s">
        <v>1669</v>
      </c>
      <c r="AC4" s="3730" t="s">
        <v>1670</v>
      </c>
    </row>
    <row r="5" spans="1:29" ht="15">
      <c r="A5" s="358"/>
      <c r="B5" s="359"/>
      <c r="C5" s="3756" t="s">
        <v>1673</v>
      </c>
      <c r="D5" s="3752"/>
      <c r="E5" s="3815" t="s">
        <v>1674</v>
      </c>
      <c r="F5" s="3760"/>
      <c r="G5" s="3756" t="s">
        <v>1675</v>
      </c>
      <c r="H5" s="3752"/>
      <c r="I5" s="3756" t="s">
        <v>1676</v>
      </c>
      <c r="J5" s="3752"/>
      <c r="K5" s="1889"/>
      <c r="L5" s="2712"/>
      <c r="M5" s="2713"/>
      <c r="N5" s="2713"/>
      <c r="O5" s="2713"/>
      <c r="P5" s="3739"/>
      <c r="Q5" s="3740"/>
      <c r="R5" s="3745"/>
      <c r="S5" s="3746"/>
      <c r="T5" s="3745"/>
      <c r="U5" s="3746"/>
      <c r="V5" s="3728"/>
      <c r="W5" s="3728"/>
      <c r="X5" s="1354"/>
      <c r="Y5" s="3745"/>
      <c r="Z5" s="3746"/>
      <c r="AA5" s="3731"/>
      <c r="AB5" s="3731"/>
      <c r="AC5" s="3731"/>
    </row>
    <row r="6" spans="1:29" ht="15.75" thickBot="1">
      <c r="A6" s="360"/>
      <c r="B6" s="361"/>
      <c r="C6" s="3749" t="s">
        <v>1677</v>
      </c>
      <c r="D6" s="3750"/>
      <c r="E6" s="3757" t="s">
        <v>1677</v>
      </c>
      <c r="F6" s="3758"/>
      <c r="G6" s="3749" t="s">
        <v>1677</v>
      </c>
      <c r="H6" s="3750"/>
      <c r="I6" s="3749" t="s">
        <v>1677</v>
      </c>
      <c r="J6" s="3750"/>
      <c r="K6" s="1889" t="s">
        <v>1678</v>
      </c>
      <c r="L6" s="2712"/>
      <c r="M6" s="2713"/>
      <c r="N6" s="2713"/>
      <c r="O6" s="2713"/>
      <c r="P6" s="3741"/>
      <c r="Q6" s="3742"/>
      <c r="R6" s="3745"/>
      <c r="S6" s="3746"/>
      <c r="T6" s="3747"/>
      <c r="U6" s="3748"/>
      <c r="V6" s="3728"/>
      <c r="W6" s="3728"/>
      <c r="X6" s="1354"/>
      <c r="Y6" s="3747"/>
      <c r="Z6" s="3748"/>
      <c r="AA6" s="3732"/>
      <c r="AB6" s="3732"/>
      <c r="AC6" s="3732"/>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53" t="s">
        <v>1680</v>
      </c>
      <c r="Q7" s="3755"/>
      <c r="R7" s="700" t="s">
        <v>20</v>
      </c>
      <c r="S7" s="701">
        <f t="shared" ref="S7:S15" si="0">F7</f>
        <v>0</v>
      </c>
      <c r="T7" s="700" t="s">
        <v>20</v>
      </c>
      <c r="U7" s="701">
        <f t="shared" ref="U7:U15" si="1">H7</f>
        <v>0</v>
      </c>
      <c r="V7" s="700" t="s">
        <v>20</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53" t="s">
        <v>1683</v>
      </c>
      <c r="Q8" s="3754"/>
      <c r="R8" s="700" t="s">
        <v>20</v>
      </c>
      <c r="S8" s="701">
        <f t="shared" si="0"/>
        <v>100</v>
      </c>
      <c r="T8" s="700" t="s">
        <v>20</v>
      </c>
      <c r="U8" s="701">
        <f t="shared" si="1"/>
        <v>100</v>
      </c>
      <c r="V8" s="700" t="s">
        <v>20</v>
      </c>
      <c r="W8" s="701">
        <f t="shared" si="2"/>
        <v>100</v>
      </c>
      <c r="X8" s="702"/>
      <c r="Y8" s="3753" t="s">
        <v>1683</v>
      </c>
      <c r="Z8" s="375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29"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6"/>
      <c r="M10" s="2717"/>
      <c r="N10" s="2717"/>
      <c r="O10" s="2717"/>
      <c r="P10" s="3729"/>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9"/>
      <c r="Q11" s="1342" t="str">
        <f t="shared" si="6"/>
        <v>容积率</v>
      </c>
      <c r="R11" s="700" t="s">
        <v>18</v>
      </c>
      <c r="S11" s="701" t="e">
        <f t="shared" si="0"/>
        <v>#N/A</v>
      </c>
      <c r="T11" s="700" t="s">
        <v>18</v>
      </c>
      <c r="U11" s="701" t="e">
        <f t="shared" si="1"/>
        <v>#N/A</v>
      </c>
      <c r="V11" s="700" t="s">
        <v>18</v>
      </c>
      <c r="W11" s="701" t="e">
        <f t="shared" si="2"/>
        <v>#N/A</v>
      </c>
      <c r="X11" s="702"/>
      <c r="Y11" s="362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29"/>
      <c r="Q12" s="1342">
        <f t="shared" si="6"/>
        <v>111</v>
      </c>
      <c r="R12" s="700" t="s">
        <v>18</v>
      </c>
      <c r="S12" s="701">
        <f t="shared" si="0"/>
        <v>100</v>
      </c>
      <c r="T12" s="700" t="s">
        <v>18</v>
      </c>
      <c r="U12" s="701">
        <f t="shared" si="1"/>
        <v>100</v>
      </c>
      <c r="V12" s="700" t="s">
        <v>18</v>
      </c>
      <c r="W12" s="701">
        <f t="shared" si="2"/>
        <v>100</v>
      </c>
      <c r="X12" s="702"/>
      <c r="Y12" s="362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29"/>
      <c r="Q13" s="1342">
        <f t="shared" si="6"/>
        <v>111</v>
      </c>
      <c r="R13" s="700" t="s">
        <v>18</v>
      </c>
      <c r="S13" s="701">
        <f t="shared" si="0"/>
        <v>100</v>
      </c>
      <c r="T13" s="700" t="s">
        <v>18</v>
      </c>
      <c r="U13" s="701">
        <f t="shared" si="1"/>
        <v>100</v>
      </c>
      <c r="V13" s="700" t="s">
        <v>18</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29"/>
      <c r="Q14" s="1342">
        <f t="shared" si="6"/>
        <v>111</v>
      </c>
      <c r="R14" s="700" t="s">
        <v>18</v>
      </c>
      <c r="S14" s="701">
        <f t="shared" si="0"/>
        <v>100</v>
      </c>
      <c r="T14" s="700" t="s">
        <v>18</v>
      </c>
      <c r="U14" s="701">
        <f t="shared" si="1"/>
        <v>100</v>
      </c>
      <c r="V14" s="700" t="s">
        <v>18</v>
      </c>
      <c r="W14" s="701">
        <f t="shared" si="2"/>
        <v>100</v>
      </c>
      <c r="X14" s="702"/>
      <c r="Y14" s="362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9" t="s">
        <v>1691</v>
      </c>
      <c r="Q15" s="1351" t="str">
        <f t="shared" si="6"/>
        <v>居住社区成熟度</v>
      </c>
      <c r="R15" s="704" t="s">
        <v>18</v>
      </c>
      <c r="S15" s="705">
        <f t="shared" si="0"/>
        <v>100</v>
      </c>
      <c r="T15" s="704" t="s">
        <v>18</v>
      </c>
      <c r="U15" s="705">
        <f t="shared" si="1"/>
        <v>100</v>
      </c>
      <c r="V15" s="704" t="s">
        <v>18</v>
      </c>
      <c r="W15" s="705">
        <f t="shared" si="2"/>
        <v>100</v>
      </c>
      <c r="X15" s="1354"/>
      <c r="Y15" s="372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20"/>
      <c r="Q16" s="1351"/>
      <c r="R16" s="704"/>
      <c r="S16" s="705"/>
      <c r="T16" s="704"/>
      <c r="U16" s="705"/>
      <c r="V16" s="704"/>
      <c r="W16" s="705"/>
      <c r="X16" s="1354"/>
      <c r="Y16" s="372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0"/>
      <c r="Q17" s="1351" t="str">
        <f>B17</f>
        <v>交通便捷度</v>
      </c>
      <c r="R17" s="704" t="s">
        <v>18</v>
      </c>
      <c r="S17" s="705">
        <f>F17</f>
        <v>100</v>
      </c>
      <c r="T17" s="704" t="s">
        <v>18</v>
      </c>
      <c r="U17" s="705">
        <f>H17</f>
        <v>100</v>
      </c>
      <c r="V17" s="704" t="s">
        <v>18</v>
      </c>
      <c r="W17" s="705">
        <f>J17</f>
        <v>100</v>
      </c>
      <c r="X17" s="1354"/>
      <c r="Y17" s="372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20"/>
      <c r="Q18" s="1351"/>
      <c r="R18" s="704"/>
      <c r="S18" s="705"/>
      <c r="T18" s="704"/>
      <c r="U18" s="705"/>
      <c r="V18" s="704"/>
      <c r="W18" s="705"/>
      <c r="X18" s="1354"/>
      <c r="Y18" s="372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0"/>
      <c r="Q19" s="1351" t="str">
        <f>B19</f>
        <v>公共配套设施</v>
      </c>
      <c r="R19" s="704" t="s">
        <v>18</v>
      </c>
      <c r="S19" s="705">
        <f>F19</f>
        <v>100</v>
      </c>
      <c r="T19" s="704" t="s">
        <v>18</v>
      </c>
      <c r="U19" s="705">
        <f>H19</f>
        <v>100</v>
      </c>
      <c r="V19" s="704" t="s">
        <v>18</v>
      </c>
      <c r="W19" s="705">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20"/>
      <c r="Q20" s="1351"/>
      <c r="R20" s="704"/>
      <c r="S20" s="705"/>
      <c r="T20" s="704"/>
      <c r="U20" s="705"/>
      <c r="V20" s="704"/>
      <c r="W20" s="705"/>
      <c r="X20" s="1354"/>
      <c r="Y20" s="372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0"/>
      <c r="Q21" s="1351" t="str">
        <f>B21</f>
        <v>基础设施水平</v>
      </c>
      <c r="R21" s="704" t="s">
        <v>14</v>
      </c>
      <c r="S21" s="705">
        <f>F21</f>
        <v>100</v>
      </c>
      <c r="T21" s="704" t="s">
        <v>14</v>
      </c>
      <c r="U21" s="705">
        <f>H21</f>
        <v>100</v>
      </c>
      <c r="V21" s="704" t="s">
        <v>14</v>
      </c>
      <c r="W21" s="705">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20"/>
      <c r="Q22" s="1351"/>
      <c r="R22" s="704"/>
      <c r="S22" s="705"/>
      <c r="T22" s="704"/>
      <c r="U22" s="705"/>
      <c r="V22" s="704"/>
      <c r="W22" s="705"/>
      <c r="X22" s="1354"/>
      <c r="Y22" s="372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0"/>
      <c r="Q23" s="1351" t="str">
        <f>B23</f>
        <v>自然及人文环境</v>
      </c>
      <c r="R23" s="704" t="s">
        <v>18</v>
      </c>
      <c r="S23" s="705">
        <f>F23</f>
        <v>100</v>
      </c>
      <c r="T23" s="704" t="s">
        <v>18</v>
      </c>
      <c r="U23" s="705">
        <f>H23</f>
        <v>100</v>
      </c>
      <c r="V23" s="704" t="s">
        <v>18</v>
      </c>
      <c r="W23" s="705">
        <f>J23</f>
        <v>100</v>
      </c>
      <c r="X23" s="1354"/>
      <c r="Y23" s="372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20"/>
      <c r="Q24" s="1351"/>
      <c r="R24" s="704"/>
      <c r="S24" s="705"/>
      <c r="T24" s="704"/>
      <c r="U24" s="705"/>
      <c r="V24" s="704"/>
      <c r="W24" s="705"/>
      <c r="X24" s="1354"/>
      <c r="Y24" s="372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2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2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20"/>
      <c r="Q26" s="1351" t="str">
        <f t="shared" si="11"/>
        <v>朝向</v>
      </c>
      <c r="R26" s="704" t="s">
        <v>18</v>
      </c>
      <c r="S26" s="705">
        <f t="shared" si="12"/>
        <v>100</v>
      </c>
      <c r="T26" s="704" t="s">
        <v>18</v>
      </c>
      <c r="U26" s="705">
        <f t="shared" si="13"/>
        <v>100</v>
      </c>
      <c r="V26" s="704" t="s">
        <v>18</v>
      </c>
      <c r="W26" s="705">
        <f t="shared" si="14"/>
        <v>100</v>
      </c>
      <c r="X26" s="1354"/>
      <c r="Y26" s="372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20"/>
      <c r="Q27" s="1342">
        <f t="shared" si="11"/>
        <v>111</v>
      </c>
      <c r="R27" s="700" t="s">
        <v>18</v>
      </c>
      <c r="S27" s="701">
        <f t="shared" si="12"/>
        <v>100</v>
      </c>
      <c r="T27" s="700" t="s">
        <v>18</v>
      </c>
      <c r="U27" s="701">
        <f t="shared" si="13"/>
        <v>100</v>
      </c>
      <c r="V27" s="700" t="s">
        <v>18</v>
      </c>
      <c r="W27" s="701">
        <f t="shared" si="14"/>
        <v>100</v>
      </c>
      <c r="X27" s="702"/>
      <c r="Y27" s="372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20"/>
      <c r="Q28" s="1351">
        <f t="shared" si="11"/>
        <v>111</v>
      </c>
      <c r="R28" s="704" t="s">
        <v>18</v>
      </c>
      <c r="S28" s="705">
        <f t="shared" si="12"/>
        <v>100</v>
      </c>
      <c r="T28" s="704" t="s">
        <v>18</v>
      </c>
      <c r="U28" s="705">
        <f t="shared" si="13"/>
        <v>100</v>
      </c>
      <c r="V28" s="704" t="s">
        <v>18</v>
      </c>
      <c r="W28" s="705">
        <f t="shared" si="14"/>
        <v>100</v>
      </c>
      <c r="X28" s="1354"/>
      <c r="Y28" s="372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20"/>
      <c r="Q29" s="1351">
        <f t="shared" si="11"/>
        <v>111</v>
      </c>
      <c r="R29" s="704" t="s">
        <v>18</v>
      </c>
      <c r="S29" s="705">
        <f t="shared" si="12"/>
        <v>100</v>
      </c>
      <c r="T29" s="704" t="s">
        <v>18</v>
      </c>
      <c r="U29" s="705">
        <f t="shared" si="13"/>
        <v>100</v>
      </c>
      <c r="V29" s="704" t="s">
        <v>18</v>
      </c>
      <c r="W29" s="705">
        <f t="shared" si="14"/>
        <v>100</v>
      </c>
      <c r="X29" s="1354"/>
      <c r="Y29" s="372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20"/>
      <c r="Q30" s="1351">
        <f t="shared" si="11"/>
        <v>111</v>
      </c>
      <c r="R30" s="704" t="s">
        <v>18</v>
      </c>
      <c r="S30" s="705">
        <f t="shared" si="12"/>
        <v>100</v>
      </c>
      <c r="T30" s="704" t="s">
        <v>18</v>
      </c>
      <c r="U30" s="705">
        <f t="shared" si="13"/>
        <v>100</v>
      </c>
      <c r="V30" s="704" t="s">
        <v>18</v>
      </c>
      <c r="W30" s="705">
        <f t="shared" si="14"/>
        <v>100</v>
      </c>
      <c r="X30" s="1354"/>
      <c r="Y30" s="372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20"/>
      <c r="Q31" s="1351">
        <f t="shared" si="11"/>
        <v>111</v>
      </c>
      <c r="R31" s="704" t="s">
        <v>18</v>
      </c>
      <c r="S31" s="705">
        <f t="shared" si="12"/>
        <v>100</v>
      </c>
      <c r="T31" s="704" t="s">
        <v>18</v>
      </c>
      <c r="U31" s="705">
        <f t="shared" si="13"/>
        <v>100</v>
      </c>
      <c r="V31" s="704" t="s">
        <v>18</v>
      </c>
      <c r="W31" s="705">
        <f t="shared" si="14"/>
        <v>100</v>
      </c>
      <c r="X31" s="1354"/>
      <c r="Y31" s="372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23" t="s">
        <v>1696</v>
      </c>
      <c r="Q32" s="1351" t="str">
        <f t="shared" si="11"/>
        <v>建筑类型</v>
      </c>
      <c r="R32" s="704" t="s">
        <v>18</v>
      </c>
      <c r="S32" s="705">
        <f t="shared" si="12"/>
        <v>100</v>
      </c>
      <c r="T32" s="704" t="s">
        <v>18</v>
      </c>
      <c r="U32" s="705">
        <f t="shared" si="13"/>
        <v>100</v>
      </c>
      <c r="V32" s="704" t="s">
        <v>18</v>
      </c>
      <c r="W32" s="705">
        <f t="shared" si="14"/>
        <v>100</v>
      </c>
      <c r="X32" s="1354"/>
      <c r="Y32" s="372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24"/>
      <c r="Q33" s="706" t="str">
        <f t="shared" si="11"/>
        <v>项目建筑规模</v>
      </c>
      <c r="R33" s="707" t="s">
        <v>18</v>
      </c>
      <c r="S33" s="708" t="e">
        <f t="shared" si="12"/>
        <v>#N/A</v>
      </c>
      <c r="T33" s="707" t="s">
        <v>18</v>
      </c>
      <c r="U33" s="708" t="e">
        <f t="shared" si="13"/>
        <v>#N/A</v>
      </c>
      <c r="V33" s="707" t="s">
        <v>18</v>
      </c>
      <c r="W33" s="708" t="e">
        <f t="shared" si="14"/>
        <v>#N/A</v>
      </c>
      <c r="X33" s="709"/>
      <c r="Y33" s="372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24"/>
      <c r="Q34" s="1351" t="str">
        <f t="shared" si="11"/>
        <v>建筑结构</v>
      </c>
      <c r="R34" s="704" t="s">
        <v>18</v>
      </c>
      <c r="S34" s="705">
        <f t="shared" si="12"/>
        <v>100</v>
      </c>
      <c r="T34" s="704" t="s">
        <v>18</v>
      </c>
      <c r="U34" s="705">
        <f t="shared" si="13"/>
        <v>100</v>
      </c>
      <c r="V34" s="704" t="s">
        <v>18</v>
      </c>
      <c r="W34" s="705">
        <f t="shared" si="14"/>
        <v>100</v>
      </c>
      <c r="X34" s="1354"/>
      <c r="Y34" s="372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24"/>
      <c r="Q35" s="1351" t="str">
        <f t="shared" si="11"/>
        <v>建筑品质</v>
      </c>
      <c r="R35" s="704" t="s">
        <v>18</v>
      </c>
      <c r="S35" s="705">
        <f t="shared" si="12"/>
        <v>100</v>
      </c>
      <c r="T35" s="704" t="s">
        <v>18</v>
      </c>
      <c r="U35" s="705">
        <f t="shared" si="13"/>
        <v>100</v>
      </c>
      <c r="V35" s="704" t="s">
        <v>18</v>
      </c>
      <c r="W35" s="705">
        <f t="shared" si="14"/>
        <v>100</v>
      </c>
      <c r="X35" s="1354"/>
      <c r="Y35" s="372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24"/>
      <c r="Q36" s="1351" t="str">
        <f t="shared" si="11"/>
        <v>公共部分装修</v>
      </c>
      <c r="R36" s="704" t="s">
        <v>18</v>
      </c>
      <c r="S36" s="705">
        <f t="shared" si="12"/>
        <v>100</v>
      </c>
      <c r="T36" s="704" t="s">
        <v>18</v>
      </c>
      <c r="U36" s="705">
        <f t="shared" si="13"/>
        <v>100</v>
      </c>
      <c r="V36" s="704" t="s">
        <v>18</v>
      </c>
      <c r="W36" s="705">
        <f t="shared" si="14"/>
        <v>100</v>
      </c>
      <c r="X36" s="1354"/>
      <c r="Y36" s="372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4"/>
      <c r="Q37" s="1342" t="str">
        <f t="shared" si="11"/>
        <v>成新度</v>
      </c>
      <c r="R37" s="700" t="s">
        <v>18</v>
      </c>
      <c r="S37" s="701" t="e">
        <f t="shared" si="12"/>
        <v>#N/A</v>
      </c>
      <c r="T37" s="700" t="s">
        <v>18</v>
      </c>
      <c r="U37" s="701" t="e">
        <f t="shared" si="13"/>
        <v>#N/A</v>
      </c>
      <c r="V37" s="700" t="s">
        <v>18</v>
      </c>
      <c r="W37" s="701" t="e">
        <f t="shared" si="14"/>
        <v>#N/A</v>
      </c>
      <c r="X37" s="702"/>
      <c r="Y37" s="372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24" t="s">
        <v>1696</v>
      </c>
      <c r="Q38" s="1351" t="str">
        <f t="shared" si="11"/>
        <v>物业管理</v>
      </c>
      <c r="R38" s="704" t="s">
        <v>18</v>
      </c>
      <c r="S38" s="705">
        <f t="shared" si="12"/>
        <v>100</v>
      </c>
      <c r="T38" s="704" t="s">
        <v>18</v>
      </c>
      <c r="U38" s="705">
        <f t="shared" si="13"/>
        <v>100</v>
      </c>
      <c r="V38" s="704" t="s">
        <v>18</v>
      </c>
      <c r="W38" s="705">
        <f t="shared" si="14"/>
        <v>100</v>
      </c>
      <c r="X38" s="1354"/>
      <c r="Y38" s="372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24"/>
      <c r="Q39" s="1351" t="str">
        <f t="shared" si="11"/>
        <v>市政基础设施</v>
      </c>
      <c r="R39" s="704" t="s">
        <v>18</v>
      </c>
      <c r="S39" s="705">
        <f t="shared" si="12"/>
        <v>100</v>
      </c>
      <c r="T39" s="704" t="s">
        <v>18</v>
      </c>
      <c r="U39" s="705">
        <f t="shared" si="13"/>
        <v>100</v>
      </c>
      <c r="V39" s="704" t="s">
        <v>18</v>
      </c>
      <c r="W39" s="705">
        <f t="shared" si="14"/>
        <v>100</v>
      </c>
      <c r="X39" s="1354"/>
      <c r="Y39" s="372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24"/>
      <c r="Q40" s="1351" t="str">
        <f t="shared" si="11"/>
        <v>房型</v>
      </c>
      <c r="R40" s="704" t="s">
        <v>18</v>
      </c>
      <c r="S40" s="705">
        <f t="shared" si="12"/>
        <v>100</v>
      </c>
      <c r="T40" s="704" t="s">
        <v>18</v>
      </c>
      <c r="U40" s="705">
        <f t="shared" si="13"/>
        <v>100</v>
      </c>
      <c r="V40" s="704" t="s">
        <v>18</v>
      </c>
      <c r="W40" s="705">
        <f t="shared" si="14"/>
        <v>100</v>
      </c>
      <c r="X40" s="1354"/>
      <c r="Y40" s="372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24"/>
      <c r="Q41" s="706" t="str">
        <f t="shared" si="11"/>
        <v>单套/主力户型建筑面积</v>
      </c>
      <c r="R41" s="707" t="s">
        <v>18</v>
      </c>
      <c r="S41" s="708">
        <f t="shared" si="12"/>
        <v>100</v>
      </c>
      <c r="T41" s="707" t="s">
        <v>18</v>
      </c>
      <c r="U41" s="708">
        <f t="shared" si="13"/>
        <v>100</v>
      </c>
      <c r="V41" s="707" t="s">
        <v>18</v>
      </c>
      <c r="W41" s="708">
        <f t="shared" si="14"/>
        <v>100</v>
      </c>
      <c r="X41" s="709"/>
      <c r="Y41" s="372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24"/>
      <c r="Q42" s="1351" t="str">
        <f t="shared" si="11"/>
        <v>内部装修</v>
      </c>
      <c r="R42" s="704" t="s">
        <v>18</v>
      </c>
      <c r="S42" s="705">
        <f t="shared" si="12"/>
        <v>100</v>
      </c>
      <c r="T42" s="704" t="s">
        <v>18</v>
      </c>
      <c r="U42" s="705">
        <f t="shared" si="13"/>
        <v>100</v>
      </c>
      <c r="V42" s="704" t="s">
        <v>18</v>
      </c>
      <c r="W42" s="705">
        <f t="shared" si="14"/>
        <v>100</v>
      </c>
      <c r="X42" s="1354"/>
      <c r="Y42" s="372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24"/>
      <c r="Q43" s="1351" t="str">
        <f t="shared" si="11"/>
        <v>内部装修维护情况</v>
      </c>
      <c r="R43" s="704" t="s">
        <v>18</v>
      </c>
      <c r="S43" s="705">
        <f t="shared" si="12"/>
        <v>100</v>
      </c>
      <c r="T43" s="704" t="s">
        <v>18</v>
      </c>
      <c r="U43" s="705">
        <f t="shared" si="13"/>
        <v>100</v>
      </c>
      <c r="V43" s="704" t="s">
        <v>18</v>
      </c>
      <c r="W43" s="705">
        <f t="shared" si="14"/>
        <v>100</v>
      </c>
      <c r="X43" s="1354"/>
      <c r="Y43" s="372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24"/>
      <c r="Q44" s="1342">
        <f t="shared" si="11"/>
        <v>111</v>
      </c>
      <c r="R44" s="700" t="s">
        <v>18</v>
      </c>
      <c r="S44" s="701">
        <f t="shared" si="12"/>
        <v>100</v>
      </c>
      <c r="T44" s="700" t="s">
        <v>18</v>
      </c>
      <c r="U44" s="701">
        <f t="shared" si="13"/>
        <v>100</v>
      </c>
      <c r="V44" s="700" t="s">
        <v>18</v>
      </c>
      <c r="W44" s="701">
        <f t="shared" si="14"/>
        <v>100</v>
      </c>
      <c r="X44" s="702"/>
      <c r="Y44" s="372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24"/>
      <c r="Q45" s="1351">
        <f t="shared" si="11"/>
        <v>111</v>
      </c>
      <c r="R45" s="704" t="s">
        <v>18</v>
      </c>
      <c r="S45" s="705">
        <f t="shared" si="12"/>
        <v>100</v>
      </c>
      <c r="T45" s="704" t="s">
        <v>18</v>
      </c>
      <c r="U45" s="705">
        <f t="shared" si="13"/>
        <v>100</v>
      </c>
      <c r="V45" s="704" t="s">
        <v>18</v>
      </c>
      <c r="W45" s="705">
        <f t="shared" si="14"/>
        <v>100</v>
      </c>
      <c r="X45" s="1354"/>
      <c r="Y45" s="372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25"/>
      <c r="Q46" s="1351">
        <f t="shared" si="11"/>
        <v>111</v>
      </c>
      <c r="R46" s="704" t="s">
        <v>17</v>
      </c>
      <c r="S46" s="705">
        <f t="shared" si="12"/>
        <v>100</v>
      </c>
      <c r="T46" s="704" t="s">
        <v>17</v>
      </c>
      <c r="U46" s="705">
        <f t="shared" si="13"/>
        <v>100</v>
      </c>
      <c r="V46" s="704" t="s">
        <v>17</v>
      </c>
      <c r="W46" s="705">
        <f t="shared" si="14"/>
        <v>100</v>
      </c>
      <c r="X46" s="1354"/>
      <c r="Y46" s="372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14" t="str">
        <f>A47</f>
        <v>成交单价（元/平方米）</v>
      </c>
      <c r="Q47" s="3714"/>
      <c r="R47" s="3715">
        <f>E47</f>
        <v>0</v>
      </c>
      <c r="S47" s="3715"/>
      <c r="T47" s="3715">
        <f>G47</f>
        <v>0</v>
      </c>
      <c r="U47" s="3715"/>
      <c r="V47" s="3715">
        <f>I47</f>
        <v>0</v>
      </c>
      <c r="W47" s="371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估价对象为北京市房地产，为所有。根据《国有土地使用证》[]，估价对象（分摊）出让国有建设用地使用权面积为0平方米，建筑面积为19411.94平方米。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估价对象为北京市房地产,属开发建设的，该项目尚在开发建设中。根据《国有土地使用证》[]，估价对象（分摊）出让国有建设用地使用权面积为0平方米，规划建筑面积为19411.94平方米。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2023年1月18日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19411.939999999999</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33" t="s">
        <v>1770</v>
      </c>
      <c r="D4" s="3734"/>
      <c r="E4" s="3735" t="s">
        <v>1771</v>
      </c>
      <c r="F4" s="3736"/>
      <c r="G4" s="3733" t="s">
        <v>1772</v>
      </c>
      <c r="H4" s="3734"/>
      <c r="I4" s="3733" t="s">
        <v>1773</v>
      </c>
      <c r="J4" s="3734"/>
      <c r="K4" s="559" t="s">
        <v>1774</v>
      </c>
      <c r="L4" s="2712"/>
      <c r="M4" s="2713"/>
      <c r="N4" s="2713"/>
      <c r="O4" s="2713"/>
      <c r="P4" s="3822" t="s">
        <v>1775</v>
      </c>
      <c r="Q4" s="3823"/>
      <c r="R4" s="3826" t="s">
        <v>1771</v>
      </c>
      <c r="S4" s="3827"/>
      <c r="T4" s="3826" t="s">
        <v>1772</v>
      </c>
      <c r="U4" s="3827"/>
      <c r="V4" s="3828" t="s">
        <v>1773</v>
      </c>
      <c r="W4" s="3828"/>
      <c r="X4" s="1957"/>
      <c r="Y4" s="3826" t="s">
        <v>1775</v>
      </c>
      <c r="Z4" s="3827"/>
      <c r="AA4" s="3830" t="s">
        <v>1771</v>
      </c>
      <c r="AB4" s="3830" t="s">
        <v>1772</v>
      </c>
      <c r="AC4" s="3819" t="s">
        <v>1773</v>
      </c>
    </row>
    <row r="5" spans="1:29" ht="15">
      <c r="A5" s="358"/>
      <c r="B5" s="359"/>
      <c r="C5" s="3756" t="s">
        <v>1673</v>
      </c>
      <c r="D5" s="3752"/>
      <c r="E5" s="3815" t="s">
        <v>1674</v>
      </c>
      <c r="F5" s="3760"/>
      <c r="G5" s="3756" t="s">
        <v>1675</v>
      </c>
      <c r="H5" s="3752"/>
      <c r="I5" s="3756" t="s">
        <v>1676</v>
      </c>
      <c r="J5" s="3752"/>
      <c r="K5" s="559"/>
      <c r="L5" s="2712"/>
      <c r="M5" s="2713"/>
      <c r="N5" s="2713"/>
      <c r="O5" s="2713"/>
      <c r="P5" s="3824"/>
      <c r="Q5" s="3740"/>
      <c r="R5" s="3745"/>
      <c r="S5" s="3746"/>
      <c r="T5" s="3745"/>
      <c r="U5" s="3746"/>
      <c r="V5" s="3728"/>
      <c r="W5" s="3728"/>
      <c r="X5" s="1354"/>
      <c r="Y5" s="3745"/>
      <c r="Z5" s="3746"/>
      <c r="AA5" s="3731"/>
      <c r="AB5" s="3731"/>
      <c r="AC5" s="3820"/>
    </row>
    <row r="6" spans="1:29" ht="15.75" thickBot="1">
      <c r="A6" s="360"/>
      <c r="B6" s="361"/>
      <c r="C6" s="3749" t="s">
        <v>1677</v>
      </c>
      <c r="D6" s="3750"/>
      <c r="E6" s="3757" t="s">
        <v>1677</v>
      </c>
      <c r="F6" s="3758"/>
      <c r="G6" s="3749" t="s">
        <v>1677</v>
      </c>
      <c r="H6" s="3750"/>
      <c r="I6" s="3749" t="s">
        <v>1677</v>
      </c>
      <c r="J6" s="3750"/>
      <c r="K6" s="559" t="s">
        <v>1678</v>
      </c>
      <c r="L6" s="2712"/>
      <c r="M6" s="2713"/>
      <c r="N6" s="2713"/>
      <c r="O6" s="2713"/>
      <c r="P6" s="3825"/>
      <c r="Q6" s="3742"/>
      <c r="R6" s="3745"/>
      <c r="S6" s="3746"/>
      <c r="T6" s="3747"/>
      <c r="U6" s="3748"/>
      <c r="V6" s="3728"/>
      <c r="W6" s="3728"/>
      <c r="X6" s="1354"/>
      <c r="Y6" s="3747"/>
      <c r="Z6" s="3748"/>
      <c r="AA6" s="3732"/>
      <c r="AB6" s="3732"/>
      <c r="AC6" s="3821"/>
    </row>
    <row r="7" spans="1:29" s="108" customFormat="1" ht="15.75" thickBot="1">
      <c r="A7" s="362" t="s">
        <v>1679</v>
      </c>
      <c r="B7" s="363"/>
      <c r="C7" s="364">
        <f>'数据-取费表'!B2</f>
        <v>44944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29"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29" t="s">
        <v>1683</v>
      </c>
      <c r="Q8" s="3754"/>
      <c r="R8" s="700" t="s">
        <v>14</v>
      </c>
      <c r="S8" s="701">
        <f t="shared" si="0"/>
        <v>100</v>
      </c>
      <c r="T8" s="700" t="s">
        <v>14</v>
      </c>
      <c r="U8" s="701">
        <f t="shared" si="1"/>
        <v>100</v>
      </c>
      <c r="V8" s="700" t="s">
        <v>14</v>
      </c>
      <c r="W8" s="701">
        <f t="shared" si="2"/>
        <v>100</v>
      </c>
      <c r="X8" s="702"/>
      <c r="Y8" s="3753" t="s">
        <v>1683</v>
      </c>
      <c r="Z8" s="375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29"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6"/>
      <c r="M10" s="2717"/>
      <c r="N10" s="2717"/>
      <c r="O10" s="2717"/>
      <c r="P10" s="3729"/>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9"/>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29"/>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29"/>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29"/>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9" t="s">
        <v>1691</v>
      </c>
      <c r="Q15" s="1351" t="str">
        <f t="shared" si="6"/>
        <v>办公集聚程度</v>
      </c>
      <c r="R15" s="704" t="s">
        <v>14</v>
      </c>
      <c r="S15" s="705">
        <f t="shared" si="0"/>
        <v>100</v>
      </c>
      <c r="T15" s="704" t="s">
        <v>14</v>
      </c>
      <c r="U15" s="705">
        <f t="shared" si="1"/>
        <v>100</v>
      </c>
      <c r="V15" s="704" t="s">
        <v>14</v>
      </c>
      <c r="W15" s="705">
        <f t="shared" si="2"/>
        <v>100</v>
      </c>
      <c r="X15" s="1354"/>
      <c r="Y15" s="372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720"/>
      <c r="Q16" s="1351"/>
      <c r="R16" s="704"/>
      <c r="S16" s="705"/>
      <c r="T16" s="704"/>
      <c r="U16" s="705"/>
      <c r="V16" s="704"/>
      <c r="W16" s="705"/>
      <c r="X16" s="1354"/>
      <c r="Y16" s="372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0"/>
      <c r="Q17" s="1351" t="str">
        <f>B17</f>
        <v>交通便捷度</v>
      </c>
      <c r="R17" s="704" t="s">
        <v>14</v>
      </c>
      <c r="S17" s="705">
        <f>F17</f>
        <v>100</v>
      </c>
      <c r="T17" s="704" t="s">
        <v>14</v>
      </c>
      <c r="U17" s="705">
        <f>H17</f>
        <v>100</v>
      </c>
      <c r="V17" s="704" t="s">
        <v>14</v>
      </c>
      <c r="W17" s="705">
        <f>J17</f>
        <v>100</v>
      </c>
      <c r="X17" s="1354"/>
      <c r="Y17" s="372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720"/>
      <c r="Q18" s="1351"/>
      <c r="R18" s="704"/>
      <c r="S18" s="705"/>
      <c r="T18" s="704"/>
      <c r="U18" s="705"/>
      <c r="V18" s="704"/>
      <c r="W18" s="705"/>
      <c r="X18" s="1354"/>
      <c r="Y18" s="372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0"/>
      <c r="Q19" s="1351" t="str">
        <f>B19</f>
        <v>公共配套设施</v>
      </c>
      <c r="R19" s="704" t="s">
        <v>14</v>
      </c>
      <c r="S19" s="705">
        <f>F19</f>
        <v>100</v>
      </c>
      <c r="T19" s="704" t="s">
        <v>14</v>
      </c>
      <c r="U19" s="705">
        <f>H19</f>
        <v>100</v>
      </c>
      <c r="V19" s="704" t="s">
        <v>14</v>
      </c>
      <c r="W19" s="705">
        <f>J19</f>
        <v>100</v>
      </c>
      <c r="X19" s="1354"/>
      <c r="Y19" s="372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720"/>
      <c r="Q20" s="1351"/>
      <c r="R20" s="704"/>
      <c r="S20" s="705"/>
      <c r="T20" s="704"/>
      <c r="U20" s="705"/>
      <c r="V20" s="704"/>
      <c r="W20" s="705"/>
      <c r="X20" s="1354"/>
      <c r="Y20" s="372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0"/>
      <c r="Q21" s="1351" t="str">
        <f>B21</f>
        <v>基础设施水平</v>
      </c>
      <c r="R21" s="704" t="s">
        <v>14</v>
      </c>
      <c r="S21" s="705">
        <f>F21</f>
        <v>100</v>
      </c>
      <c r="T21" s="704" t="s">
        <v>14</v>
      </c>
      <c r="U21" s="705">
        <f>H21</f>
        <v>100</v>
      </c>
      <c r="V21" s="704" t="s">
        <v>14</v>
      </c>
      <c r="W21" s="705">
        <f>J21</f>
        <v>100</v>
      </c>
      <c r="X21" s="1354"/>
      <c r="Y21" s="372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720"/>
      <c r="Q22" s="1351"/>
      <c r="R22" s="704"/>
      <c r="S22" s="705"/>
      <c r="T22" s="704"/>
      <c r="U22" s="705"/>
      <c r="V22" s="704"/>
      <c r="W22" s="705"/>
      <c r="X22" s="1354"/>
      <c r="Y22" s="372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0"/>
      <c r="Q23" s="1351" t="str">
        <f>B23</f>
        <v>环境质量</v>
      </c>
      <c r="R23" s="704" t="s">
        <v>14</v>
      </c>
      <c r="S23" s="705">
        <f>F23</f>
        <v>100</v>
      </c>
      <c r="T23" s="704" t="s">
        <v>14</v>
      </c>
      <c r="U23" s="705">
        <f>H23</f>
        <v>100</v>
      </c>
      <c r="V23" s="704" t="s">
        <v>14</v>
      </c>
      <c r="W23" s="705">
        <f>J23</f>
        <v>100</v>
      </c>
      <c r="X23" s="1354"/>
      <c r="Y23" s="372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720"/>
      <c r="Q24" s="1351"/>
      <c r="R24" s="704"/>
      <c r="S24" s="705"/>
      <c r="T24" s="704"/>
      <c r="U24" s="705"/>
      <c r="V24" s="704"/>
      <c r="W24" s="705"/>
      <c r="X24" s="1354"/>
      <c r="Y24" s="372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20"/>
      <c r="Q25" s="1351" t="str">
        <f>B25</f>
        <v>毗邻道路的类型与等级</v>
      </c>
      <c r="R25" s="704" t="s">
        <v>14</v>
      </c>
      <c r="S25" s="705">
        <f>F25</f>
        <v>100</v>
      </c>
      <c r="T25" s="704" t="s">
        <v>14</v>
      </c>
      <c r="U25" s="705">
        <f>H25</f>
        <v>100</v>
      </c>
      <c r="V25" s="704" t="s">
        <v>14</v>
      </c>
      <c r="W25" s="705">
        <f>J25</f>
        <v>100</v>
      </c>
      <c r="X25" s="1354"/>
      <c r="Y25" s="372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20"/>
      <c r="Q26" s="1351"/>
      <c r="R26" s="704"/>
      <c r="S26" s="705"/>
      <c r="T26" s="704"/>
      <c r="U26" s="705"/>
      <c r="V26" s="704"/>
      <c r="W26" s="705"/>
      <c r="X26" s="1354"/>
      <c r="Y26" s="372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0"/>
      <c r="Q27" s="1351" t="str">
        <f t="shared" ref="Q27:Q47" si="11">B27</f>
        <v>楼层</v>
      </c>
      <c r="R27" s="704" t="s">
        <v>14</v>
      </c>
      <c r="S27" s="705">
        <f>F27</f>
        <v>100</v>
      </c>
      <c r="T27" s="704" t="s">
        <v>14</v>
      </c>
      <c r="U27" s="705">
        <f>H27</f>
        <v>100</v>
      </c>
      <c r="V27" s="704" t="s">
        <v>14</v>
      </c>
      <c r="W27" s="705">
        <f>J27</f>
        <v>100</v>
      </c>
      <c r="X27" s="1354"/>
      <c r="Y27" s="372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20"/>
      <c r="Q28" s="1342" t="str">
        <f t="shared" si="11"/>
        <v>朝向</v>
      </c>
      <c r="R28" s="700" t="s">
        <v>14</v>
      </c>
      <c r="S28" s="701">
        <f>F28</f>
        <v>100</v>
      </c>
      <c r="T28" s="700" t="s">
        <v>14</v>
      </c>
      <c r="U28" s="701">
        <f>H28</f>
        <v>100</v>
      </c>
      <c r="V28" s="700" t="s">
        <v>14</v>
      </c>
      <c r="W28" s="701">
        <f>J28</f>
        <v>100</v>
      </c>
      <c r="X28" s="702"/>
      <c r="Y28" s="372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20"/>
      <c r="Q29" s="1351">
        <f t="shared" si="11"/>
        <v>111</v>
      </c>
      <c r="R29" s="704" t="s">
        <v>14</v>
      </c>
      <c r="S29" s="705">
        <f t="shared" ref="S29:S47" si="12">F29</f>
        <v>100</v>
      </c>
      <c r="T29" s="704" t="s">
        <v>14</v>
      </c>
      <c r="U29" s="705">
        <f t="shared" ref="U29:U47" si="13">H29</f>
        <v>100</v>
      </c>
      <c r="V29" s="704" t="s">
        <v>14</v>
      </c>
      <c r="W29" s="705">
        <f t="shared" ref="W29:W47" si="14">J29</f>
        <v>100</v>
      </c>
      <c r="X29" s="1354"/>
      <c r="Y29" s="372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20"/>
      <c r="Q30" s="1351">
        <f t="shared" si="11"/>
        <v>111</v>
      </c>
      <c r="R30" s="704" t="s">
        <v>14</v>
      </c>
      <c r="S30" s="705">
        <f t="shared" si="12"/>
        <v>100</v>
      </c>
      <c r="T30" s="704" t="s">
        <v>14</v>
      </c>
      <c r="U30" s="705">
        <f t="shared" si="13"/>
        <v>100</v>
      </c>
      <c r="V30" s="704" t="s">
        <v>14</v>
      </c>
      <c r="W30" s="705">
        <f t="shared" si="14"/>
        <v>100</v>
      </c>
      <c r="X30" s="1354"/>
      <c r="Y30" s="372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20"/>
      <c r="Q31" s="1351">
        <f t="shared" si="11"/>
        <v>111</v>
      </c>
      <c r="R31" s="704" t="s">
        <v>14</v>
      </c>
      <c r="S31" s="705">
        <f t="shared" si="12"/>
        <v>100</v>
      </c>
      <c r="T31" s="704" t="s">
        <v>14</v>
      </c>
      <c r="U31" s="705">
        <f t="shared" si="13"/>
        <v>100</v>
      </c>
      <c r="V31" s="704" t="s">
        <v>14</v>
      </c>
      <c r="W31" s="705">
        <f t="shared" si="14"/>
        <v>100</v>
      </c>
      <c r="X31" s="1354"/>
      <c r="Y31" s="372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20"/>
      <c r="Q32" s="1351">
        <f t="shared" si="11"/>
        <v>111</v>
      </c>
      <c r="R32" s="704" t="s">
        <v>14</v>
      </c>
      <c r="S32" s="705">
        <f t="shared" si="12"/>
        <v>100</v>
      </c>
      <c r="T32" s="704" t="s">
        <v>14</v>
      </c>
      <c r="U32" s="705">
        <f t="shared" si="13"/>
        <v>100</v>
      </c>
      <c r="V32" s="704" t="s">
        <v>14</v>
      </c>
      <c r="W32" s="705">
        <f t="shared" si="14"/>
        <v>100</v>
      </c>
      <c r="X32" s="1354"/>
      <c r="Y32" s="372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23" t="s">
        <v>1696</v>
      </c>
      <c r="Q33" s="1351" t="str">
        <f t="shared" si="11"/>
        <v>建筑类型</v>
      </c>
      <c r="R33" s="704" t="s">
        <v>14</v>
      </c>
      <c r="S33" s="705">
        <f t="shared" si="12"/>
        <v>100</v>
      </c>
      <c r="T33" s="704" t="s">
        <v>14</v>
      </c>
      <c r="U33" s="705">
        <f t="shared" si="13"/>
        <v>100</v>
      </c>
      <c r="V33" s="704" t="s">
        <v>14</v>
      </c>
      <c r="W33" s="705">
        <f t="shared" si="14"/>
        <v>100</v>
      </c>
      <c r="X33" s="1354"/>
      <c r="Y33" s="372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4"/>
      <c r="Q34" s="706" t="str">
        <f t="shared" si="11"/>
        <v>项目建筑规模</v>
      </c>
      <c r="R34" s="707" t="s">
        <v>14</v>
      </c>
      <c r="S34" s="708" t="e">
        <f t="shared" si="12"/>
        <v>#N/A</v>
      </c>
      <c r="T34" s="707" t="s">
        <v>14</v>
      </c>
      <c r="U34" s="708" t="e">
        <f t="shared" si="13"/>
        <v>#N/A</v>
      </c>
      <c r="V34" s="707" t="s">
        <v>14</v>
      </c>
      <c r="W34" s="708" t="e">
        <f t="shared" si="14"/>
        <v>#N/A</v>
      </c>
      <c r="X34" s="709"/>
      <c r="Y34" s="3726"/>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4"/>
      <c r="Q35" s="1351" t="str">
        <f t="shared" si="11"/>
        <v>建筑结构</v>
      </c>
      <c r="R35" s="704" t="s">
        <v>14</v>
      </c>
      <c r="S35" s="705">
        <f t="shared" si="12"/>
        <v>100</v>
      </c>
      <c r="T35" s="704" t="s">
        <v>14</v>
      </c>
      <c r="U35" s="705">
        <f t="shared" si="13"/>
        <v>100</v>
      </c>
      <c r="V35" s="704" t="s">
        <v>14</v>
      </c>
      <c r="W35" s="705">
        <f t="shared" si="14"/>
        <v>100</v>
      </c>
      <c r="X35" s="1354"/>
      <c r="Y35" s="372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4"/>
      <c r="Q36" s="1351" t="str">
        <f t="shared" si="11"/>
        <v>公共部分装修</v>
      </c>
      <c r="R36" s="704" t="s">
        <v>14</v>
      </c>
      <c r="S36" s="705">
        <f t="shared" si="12"/>
        <v>100</v>
      </c>
      <c r="T36" s="704" t="s">
        <v>14</v>
      </c>
      <c r="U36" s="705">
        <f t="shared" si="13"/>
        <v>100</v>
      </c>
      <c r="V36" s="704" t="s">
        <v>14</v>
      </c>
      <c r="W36" s="705">
        <f t="shared" si="14"/>
        <v>100</v>
      </c>
      <c r="X36" s="1354"/>
      <c r="Y36" s="372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4"/>
      <c r="Q37" s="1351" t="str">
        <f t="shared" si="11"/>
        <v>成新度</v>
      </c>
      <c r="R37" s="704" t="s">
        <v>14</v>
      </c>
      <c r="S37" s="705" t="e">
        <f t="shared" si="12"/>
        <v>#N/A</v>
      </c>
      <c r="T37" s="704" t="s">
        <v>14</v>
      </c>
      <c r="U37" s="705" t="e">
        <f t="shared" si="13"/>
        <v>#N/A</v>
      </c>
      <c r="V37" s="704" t="s">
        <v>14</v>
      </c>
      <c r="W37" s="705" t="e">
        <f t="shared" si="14"/>
        <v>#N/A</v>
      </c>
      <c r="X37" s="1354"/>
      <c r="Y37" s="372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4"/>
      <c r="Q38" s="1342" t="str">
        <f t="shared" si="11"/>
        <v>写字楼等级</v>
      </c>
      <c r="R38" s="700" t="s">
        <v>14</v>
      </c>
      <c r="S38" s="701">
        <f t="shared" si="12"/>
        <v>100</v>
      </c>
      <c r="T38" s="700" t="s">
        <v>14</v>
      </c>
      <c r="U38" s="701">
        <f t="shared" si="13"/>
        <v>100</v>
      </c>
      <c r="V38" s="700" t="s">
        <v>14</v>
      </c>
      <c r="W38" s="701">
        <f t="shared" si="14"/>
        <v>100</v>
      </c>
      <c r="X38" s="702"/>
      <c r="Y38" s="3726"/>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4" t="s">
        <v>1696</v>
      </c>
      <c r="Q39" s="1351" t="str">
        <f t="shared" si="11"/>
        <v>物业管理</v>
      </c>
      <c r="R39" s="704" t="s">
        <v>14</v>
      </c>
      <c r="S39" s="705">
        <f t="shared" si="12"/>
        <v>100</v>
      </c>
      <c r="T39" s="704" t="s">
        <v>14</v>
      </c>
      <c r="U39" s="705">
        <f t="shared" si="13"/>
        <v>100</v>
      </c>
      <c r="V39" s="704" t="s">
        <v>14</v>
      </c>
      <c r="W39" s="705">
        <f t="shared" si="14"/>
        <v>100</v>
      </c>
      <c r="X39" s="1354"/>
      <c r="Y39" s="372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4"/>
      <c r="Q40" s="1351" t="str">
        <f t="shared" si="11"/>
        <v>市政基础设施</v>
      </c>
      <c r="R40" s="704" t="s">
        <v>14</v>
      </c>
      <c r="S40" s="705">
        <f t="shared" si="12"/>
        <v>100</v>
      </c>
      <c r="T40" s="704" t="s">
        <v>14</v>
      </c>
      <c r="U40" s="705">
        <f t="shared" si="13"/>
        <v>100</v>
      </c>
      <c r="V40" s="704" t="s">
        <v>14</v>
      </c>
      <c r="W40" s="705">
        <f t="shared" si="14"/>
        <v>100</v>
      </c>
      <c r="X40" s="1354"/>
      <c r="Y40" s="372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4"/>
      <c r="Q41" s="1351" t="str">
        <f t="shared" si="11"/>
        <v>层高</v>
      </c>
      <c r="R41" s="704" t="s">
        <v>14</v>
      </c>
      <c r="S41" s="705">
        <f t="shared" si="12"/>
        <v>100</v>
      </c>
      <c r="T41" s="704" t="s">
        <v>14</v>
      </c>
      <c r="U41" s="705">
        <f t="shared" si="13"/>
        <v>100</v>
      </c>
      <c r="V41" s="704" t="s">
        <v>14</v>
      </c>
      <c r="W41" s="705">
        <f t="shared" si="14"/>
        <v>100</v>
      </c>
      <c r="X41" s="1354"/>
      <c r="Y41" s="372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4"/>
      <c r="Q42" s="706" t="str">
        <f t="shared" si="11"/>
        <v>单套建筑面积</v>
      </c>
      <c r="R42" s="707" t="s">
        <v>14</v>
      </c>
      <c r="S42" s="708">
        <f t="shared" si="12"/>
        <v>100</v>
      </c>
      <c r="T42" s="707" t="s">
        <v>14</v>
      </c>
      <c r="U42" s="708">
        <f t="shared" si="13"/>
        <v>100</v>
      </c>
      <c r="V42" s="707" t="s">
        <v>14</v>
      </c>
      <c r="W42" s="708">
        <f t="shared" si="14"/>
        <v>100</v>
      </c>
      <c r="X42" s="709"/>
      <c r="Y42" s="3726"/>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4"/>
      <c r="Q43" s="1351" t="str">
        <f t="shared" si="11"/>
        <v>内部装修</v>
      </c>
      <c r="R43" s="704" t="s">
        <v>14</v>
      </c>
      <c r="S43" s="705">
        <f t="shared" si="12"/>
        <v>100</v>
      </c>
      <c r="T43" s="704" t="s">
        <v>14</v>
      </c>
      <c r="U43" s="705">
        <f t="shared" si="13"/>
        <v>100</v>
      </c>
      <c r="V43" s="704" t="s">
        <v>14</v>
      </c>
      <c r="W43" s="705">
        <f t="shared" si="14"/>
        <v>100</v>
      </c>
      <c r="X43" s="1354"/>
      <c r="Y43" s="372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24"/>
      <c r="Q44" s="1351" t="str">
        <f t="shared" si="11"/>
        <v>内部装修维护情况</v>
      </c>
      <c r="R44" s="704" t="s">
        <v>14</v>
      </c>
      <c r="S44" s="705">
        <f t="shared" si="12"/>
        <v>100</v>
      </c>
      <c r="T44" s="704" t="s">
        <v>14</v>
      </c>
      <c r="U44" s="705">
        <f t="shared" si="13"/>
        <v>100</v>
      </c>
      <c r="V44" s="704" t="s">
        <v>14</v>
      </c>
      <c r="W44" s="705">
        <f t="shared" si="14"/>
        <v>100</v>
      </c>
      <c r="X44" s="1354"/>
      <c r="Y44" s="372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4"/>
      <c r="Q45" s="1342">
        <f t="shared" si="11"/>
        <v>111</v>
      </c>
      <c r="R45" s="700" t="s">
        <v>14</v>
      </c>
      <c r="S45" s="701">
        <f t="shared" si="12"/>
        <v>100</v>
      </c>
      <c r="T45" s="700" t="s">
        <v>14</v>
      </c>
      <c r="U45" s="701">
        <f t="shared" si="13"/>
        <v>100</v>
      </c>
      <c r="V45" s="700" t="s">
        <v>14</v>
      </c>
      <c r="W45" s="701">
        <f t="shared" si="14"/>
        <v>100</v>
      </c>
      <c r="X45" s="702"/>
      <c r="Y45" s="372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4"/>
      <c r="Q46" s="1351">
        <f t="shared" si="11"/>
        <v>111</v>
      </c>
      <c r="R46" s="704" t="s">
        <v>14</v>
      </c>
      <c r="S46" s="705">
        <f t="shared" si="12"/>
        <v>100</v>
      </c>
      <c r="T46" s="704" t="s">
        <v>14</v>
      </c>
      <c r="U46" s="705">
        <f t="shared" si="13"/>
        <v>100</v>
      </c>
      <c r="V46" s="704" t="s">
        <v>14</v>
      </c>
      <c r="W46" s="705">
        <f t="shared" si="14"/>
        <v>100</v>
      </c>
      <c r="X46" s="1354"/>
      <c r="Y46" s="372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5"/>
      <c r="Q47" s="1351">
        <f t="shared" si="11"/>
        <v>111</v>
      </c>
      <c r="R47" s="704" t="s">
        <v>14</v>
      </c>
      <c r="S47" s="705">
        <f t="shared" si="12"/>
        <v>100</v>
      </c>
      <c r="T47" s="704" t="s">
        <v>14</v>
      </c>
      <c r="U47" s="705">
        <f t="shared" si="13"/>
        <v>100</v>
      </c>
      <c r="V47" s="704" t="s">
        <v>14</v>
      </c>
      <c r="W47" s="705">
        <f t="shared" si="14"/>
        <v>100</v>
      </c>
      <c r="X47" s="1354"/>
      <c r="Y47" s="372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1"/>
      <c r="M48" s="2713"/>
      <c r="N48" s="2713"/>
      <c r="O48" s="2713"/>
      <c r="P48" s="3729" t="str">
        <f>A48</f>
        <v>成交单价（元/平方米）</v>
      </c>
      <c r="Q48" s="3714"/>
      <c r="R48" s="3715">
        <f>E48</f>
        <v>0</v>
      </c>
      <c r="S48" s="3715"/>
      <c r="T48" s="3715">
        <f>G48</f>
        <v>0</v>
      </c>
      <c r="U48" s="3715"/>
      <c r="V48" s="3715">
        <f>I48</f>
        <v>0</v>
      </c>
      <c r="W48" s="3715"/>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1"/>
      <c r="M49" s="2713"/>
      <c r="N49" s="2713"/>
      <c r="O49" s="2713"/>
      <c r="P49" s="3729"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1"/>
      <c r="M50" s="2713"/>
      <c r="N50" s="2713"/>
      <c r="O50" s="2713"/>
      <c r="P50" s="3816" t="str">
        <f>A50</f>
        <v>估价对象XX用房的比较价值（楼面单价，元/平方米）</v>
      </c>
      <c r="Q50" s="3817"/>
      <c r="R50" s="3818" t="e">
        <f>IF(F1="售价",ROUND(IF(D49="简单平均",AVERAGE(R49:V49),R49*F49+T49*H49+V49*J49),0),ROUND(IF(D49="简单平均",AVERAGE(R49:V49),R49*F49+T49*H49+V49*J49),1))</f>
        <v>#DIV/0!</v>
      </c>
      <c r="S50" s="3818"/>
      <c r="T50" s="3818"/>
      <c r="U50" s="3818"/>
      <c r="V50" s="3818"/>
      <c r="W50" s="3818"/>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6" priority="20" stopIfTrue="1" operator="containsText" text="超过">
      <formula>NOT(ISERROR(SEARCH("超过",F53)))</formula>
    </cfRule>
  </conditionalFormatting>
  <conditionalFormatting sqref="H55">
    <cfRule type="containsText" dxfId="145" priority="19" stopIfTrue="1" operator="containsText" text="超过">
      <formula>NOT(ISERROR(SEARCH("超过",H55)))</formula>
    </cfRule>
  </conditionalFormatting>
  <conditionalFormatting sqref="F55">
    <cfRule type="containsText" dxfId="144" priority="18" stopIfTrue="1" operator="containsText" text="超过">
      <formula>NOT(ISERROR(SEARCH("超过",F55)))</formula>
    </cfRule>
  </conditionalFormatting>
  <conditionalFormatting sqref="F54 H54">
    <cfRule type="containsText" dxfId="143" priority="17" stopIfTrue="1" operator="containsText" text="超过">
      <formula>NOT(ISERROR(SEARCH("超过",F54)))</formula>
    </cfRule>
  </conditionalFormatting>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G55">
    <cfRule type="expression" dxfId="139" priority="13" stopIfTrue="1">
      <formula>$H$55="超过30%"</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J53">
    <cfRule type="containsText" dxfId="136" priority="10" stopIfTrue="1" operator="containsText" text="超过">
      <formula>NOT(ISERROR(SEARCH("超过",J53)))</formula>
    </cfRule>
  </conditionalFormatting>
  <conditionalFormatting sqref="J55">
    <cfRule type="containsText" dxfId="135" priority="9" stopIfTrue="1" operator="containsText" text="超过">
      <formula>NOT(ISERROR(SEARCH("超过",J55)))</formula>
    </cfRule>
  </conditionalFormatting>
  <conditionalFormatting sqref="J54">
    <cfRule type="containsText" dxfId="134" priority="8" stopIfTrue="1" operator="containsText" text="超过">
      <formula>NOT(ISERROR(SEARCH("超过",J54)))</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7:F47 H7:H47 J7:J47">
    <cfRule type="cellIs" dxfId="12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19411.939999999999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33" t="s">
        <v>1770</v>
      </c>
      <c r="D4" s="3734"/>
      <c r="E4" s="3735" t="s">
        <v>1771</v>
      </c>
      <c r="F4" s="3736"/>
      <c r="G4" s="3733" t="s">
        <v>1772</v>
      </c>
      <c r="H4" s="3734"/>
      <c r="I4" s="3733" t="s">
        <v>1773</v>
      </c>
      <c r="J4" s="3734"/>
      <c r="K4" s="559" t="s">
        <v>1774</v>
      </c>
      <c r="L4" s="912"/>
      <c r="M4" s="913"/>
      <c r="N4" s="913"/>
      <c r="O4" s="913"/>
      <c r="P4" s="3737" t="s">
        <v>1775</v>
      </c>
      <c r="Q4" s="3738"/>
      <c r="R4" s="3743" t="s">
        <v>1771</v>
      </c>
      <c r="S4" s="3744"/>
      <c r="T4" s="3743" t="s">
        <v>1772</v>
      </c>
      <c r="U4" s="3744"/>
      <c r="V4" s="3728" t="s">
        <v>1773</v>
      </c>
      <c r="W4" s="3728"/>
      <c r="X4" s="1354"/>
      <c r="Y4" s="3743" t="s">
        <v>1775</v>
      </c>
      <c r="Z4" s="3744"/>
      <c r="AA4" s="3730" t="s">
        <v>1771</v>
      </c>
      <c r="AB4" s="3731" t="s">
        <v>1772</v>
      </c>
      <c r="AC4" s="3730" t="s">
        <v>1773</v>
      </c>
    </row>
    <row r="5" spans="1:29" ht="15">
      <c r="A5" s="358"/>
      <c r="B5" s="359"/>
      <c r="C5" s="3756" t="s">
        <v>1673</v>
      </c>
      <c r="D5" s="3752"/>
      <c r="E5" s="3815" t="s">
        <v>1674</v>
      </c>
      <c r="F5" s="3760"/>
      <c r="G5" s="3756" t="s">
        <v>1675</v>
      </c>
      <c r="H5" s="3752"/>
      <c r="I5" s="3756" t="s">
        <v>1676</v>
      </c>
      <c r="J5" s="3752"/>
      <c r="K5" s="559"/>
      <c r="L5" s="912"/>
      <c r="M5" s="913"/>
      <c r="N5" s="913"/>
      <c r="O5" s="913"/>
      <c r="P5" s="3739"/>
      <c r="Q5" s="3740"/>
      <c r="R5" s="3745"/>
      <c r="S5" s="3746"/>
      <c r="T5" s="3745"/>
      <c r="U5" s="3746"/>
      <c r="V5" s="3728"/>
      <c r="W5" s="3728"/>
      <c r="X5" s="1354"/>
      <c r="Y5" s="3745"/>
      <c r="Z5" s="3746"/>
      <c r="AA5" s="3731"/>
      <c r="AB5" s="3731"/>
      <c r="AC5" s="3731"/>
    </row>
    <row r="6" spans="1:29" ht="15.75" thickBot="1">
      <c r="A6" s="360"/>
      <c r="B6" s="361"/>
      <c r="C6" s="3749" t="s">
        <v>1677</v>
      </c>
      <c r="D6" s="3750"/>
      <c r="E6" s="3757" t="s">
        <v>1677</v>
      </c>
      <c r="F6" s="3758"/>
      <c r="G6" s="3749" t="s">
        <v>1677</v>
      </c>
      <c r="H6" s="3750"/>
      <c r="I6" s="3749" t="s">
        <v>1677</v>
      </c>
      <c r="J6" s="3750"/>
      <c r="K6" s="559" t="s">
        <v>1678</v>
      </c>
      <c r="L6" s="912"/>
      <c r="M6" s="913"/>
      <c r="N6" s="913"/>
      <c r="O6" s="913"/>
      <c r="P6" s="3741"/>
      <c r="Q6" s="3742"/>
      <c r="R6" s="3745"/>
      <c r="S6" s="3746"/>
      <c r="T6" s="3747"/>
      <c r="U6" s="3748"/>
      <c r="V6" s="3728"/>
      <c r="W6" s="3728"/>
      <c r="X6" s="1354"/>
      <c r="Y6" s="3747"/>
      <c r="Z6" s="3748"/>
      <c r="AA6" s="3732"/>
      <c r="AB6" s="3732"/>
      <c r="AC6" s="3732"/>
    </row>
    <row r="7" spans="1:29" s="108" customFormat="1" ht="15.75" thickBot="1">
      <c r="A7" s="362" t="s">
        <v>1679</v>
      </c>
      <c r="B7" s="363"/>
      <c r="C7" s="364">
        <f>'数据-取费表'!B2</f>
        <v>44944</v>
      </c>
      <c r="D7" s="365">
        <v>100</v>
      </c>
      <c r="E7" s="366"/>
      <c r="F7" s="367">
        <f>SUMIF(52:52,YEAR(E7)&amp;"-"&amp;MONTH(E7),53:53)</f>
        <v>0</v>
      </c>
      <c r="G7" s="366"/>
      <c r="H7" s="365">
        <f>SUMIF(52:52,YEAR(G7)&amp;"-"&amp;MONTH(G7),53:53)</f>
        <v>0</v>
      </c>
      <c r="I7" s="366"/>
      <c r="J7" s="365">
        <f>SUMIF(52:52,YEAR(I7)&amp;"-"&amp;MONTH(I7),53:53)</f>
        <v>0</v>
      </c>
      <c r="K7" s="560"/>
      <c r="L7" s="914"/>
      <c r="M7" s="915"/>
      <c r="N7" s="915"/>
      <c r="O7" s="915"/>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3" t="s">
        <v>1683</v>
      </c>
      <c r="Q8" s="3754"/>
      <c r="R8" s="700" t="s">
        <v>14</v>
      </c>
      <c r="S8" s="701">
        <f t="shared" si="0"/>
        <v>100</v>
      </c>
      <c r="T8" s="700" t="s">
        <v>14</v>
      </c>
      <c r="U8" s="701">
        <f t="shared" si="1"/>
        <v>100</v>
      </c>
      <c r="V8" s="700" t="s">
        <v>14</v>
      </c>
      <c r="W8" s="701">
        <f t="shared" si="2"/>
        <v>100</v>
      </c>
      <c r="X8" s="702"/>
      <c r="Y8" s="3753" t="s">
        <v>1683</v>
      </c>
      <c r="Z8" s="375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4"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14"/>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4"/>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4"/>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4"/>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4"/>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1" t="s">
        <v>1691</v>
      </c>
      <c r="Q15" s="1351" t="str">
        <f t="shared" si="6"/>
        <v>产业集聚程度</v>
      </c>
      <c r="R15" s="704" t="s">
        <v>14</v>
      </c>
      <c r="S15" s="705">
        <f t="shared" si="0"/>
        <v>100</v>
      </c>
      <c r="T15" s="704" t="s">
        <v>14</v>
      </c>
      <c r="U15" s="705">
        <f t="shared" si="1"/>
        <v>100</v>
      </c>
      <c r="V15" s="704" t="s">
        <v>14</v>
      </c>
      <c r="W15" s="705">
        <f t="shared" si="2"/>
        <v>100</v>
      </c>
      <c r="X15" s="1354"/>
      <c r="Y15" s="372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22"/>
      <c r="Q16" s="1351"/>
      <c r="R16" s="704"/>
      <c r="S16" s="705"/>
      <c r="T16" s="704"/>
      <c r="U16" s="705"/>
      <c r="V16" s="704"/>
      <c r="W16" s="705"/>
      <c r="X16" s="1354"/>
      <c r="Y16" s="372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2"/>
      <c r="Q17" s="1351" t="str">
        <f>B17</f>
        <v>交通便捷度</v>
      </c>
      <c r="R17" s="704" t="s">
        <v>14</v>
      </c>
      <c r="S17" s="705">
        <f>F17</f>
        <v>100</v>
      </c>
      <c r="T17" s="704" t="s">
        <v>14</v>
      </c>
      <c r="U17" s="705">
        <f>H17</f>
        <v>100</v>
      </c>
      <c r="V17" s="704" t="s">
        <v>14</v>
      </c>
      <c r="W17" s="705">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22"/>
      <c r="Q18" s="1351"/>
      <c r="R18" s="704"/>
      <c r="S18" s="705"/>
      <c r="T18" s="704"/>
      <c r="U18" s="705"/>
      <c r="V18" s="704"/>
      <c r="W18" s="705"/>
      <c r="X18" s="1354"/>
      <c r="Y18" s="372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2"/>
      <c r="Q19" s="1351" t="str">
        <f>B19</f>
        <v>公共配套设施</v>
      </c>
      <c r="R19" s="704" t="s">
        <v>14</v>
      </c>
      <c r="S19" s="705">
        <f>F19</f>
        <v>100</v>
      </c>
      <c r="T19" s="704" t="s">
        <v>14</v>
      </c>
      <c r="U19" s="705">
        <f>H19</f>
        <v>100</v>
      </c>
      <c r="V19" s="704" t="s">
        <v>14</v>
      </c>
      <c r="W19" s="705">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22"/>
      <c r="Q20" s="1351"/>
      <c r="R20" s="704"/>
      <c r="S20" s="705"/>
      <c r="T20" s="704"/>
      <c r="U20" s="705"/>
      <c r="V20" s="704"/>
      <c r="W20" s="705"/>
      <c r="X20" s="1354"/>
      <c r="Y20" s="372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2"/>
      <c r="Q21" s="1351" t="str">
        <f>B21</f>
        <v>基础设施水平</v>
      </c>
      <c r="R21" s="704" t="s">
        <v>14</v>
      </c>
      <c r="S21" s="705">
        <f>F21</f>
        <v>100</v>
      </c>
      <c r="T21" s="704" t="s">
        <v>14</v>
      </c>
      <c r="U21" s="705">
        <f>H21</f>
        <v>100</v>
      </c>
      <c r="V21" s="704" t="s">
        <v>14</v>
      </c>
      <c r="W21" s="705">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22"/>
      <c r="Q22" s="1351"/>
      <c r="R22" s="704"/>
      <c r="S22" s="705"/>
      <c r="T22" s="704"/>
      <c r="U22" s="705"/>
      <c r="V22" s="704"/>
      <c r="W22" s="705"/>
      <c r="X22" s="1354"/>
      <c r="Y22" s="372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2"/>
      <c r="Q23" s="1351" t="str">
        <f>B23</f>
        <v>环境质量</v>
      </c>
      <c r="R23" s="704" t="s">
        <v>14</v>
      </c>
      <c r="S23" s="705">
        <f>F23</f>
        <v>100</v>
      </c>
      <c r="T23" s="704" t="s">
        <v>14</v>
      </c>
      <c r="U23" s="705">
        <f>H23</f>
        <v>100</v>
      </c>
      <c r="V23" s="704" t="s">
        <v>14</v>
      </c>
      <c r="W23" s="705">
        <f>J23</f>
        <v>100</v>
      </c>
      <c r="X23" s="1354"/>
      <c r="Y23" s="372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22"/>
      <c r="Q24" s="1351"/>
      <c r="R24" s="704"/>
      <c r="S24" s="705"/>
      <c r="T24" s="704"/>
      <c r="U24" s="705"/>
      <c r="V24" s="704"/>
      <c r="W24" s="705"/>
      <c r="X24" s="1354"/>
      <c r="Y24" s="372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2"/>
      <c r="Q25" s="1351">
        <f>B25</f>
        <v>111</v>
      </c>
      <c r="R25" s="704" t="s">
        <v>14</v>
      </c>
      <c r="S25" s="705">
        <f>F25</f>
        <v>100</v>
      </c>
      <c r="T25" s="704" t="s">
        <v>14</v>
      </c>
      <c r="U25" s="705">
        <f>H25</f>
        <v>100</v>
      </c>
      <c r="V25" s="704" t="s">
        <v>14</v>
      </c>
      <c r="W25" s="705">
        <f>J25</f>
        <v>100</v>
      </c>
      <c r="X25" s="1354"/>
      <c r="Y25" s="372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2"/>
      <c r="Q26" s="1351">
        <f t="shared" ref="Q26:Q40" si="11">B26</f>
        <v>111</v>
      </c>
      <c r="R26" s="704" t="s">
        <v>14</v>
      </c>
      <c r="S26" s="705">
        <f>F26</f>
        <v>100</v>
      </c>
      <c r="T26" s="704" t="s">
        <v>14</v>
      </c>
      <c r="U26" s="705">
        <f>H26</f>
        <v>100</v>
      </c>
      <c r="V26" s="704" t="s">
        <v>14</v>
      </c>
      <c r="W26" s="705">
        <f>J26</f>
        <v>100</v>
      </c>
      <c r="X26" s="1354"/>
      <c r="Y26" s="372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2"/>
      <c r="Q27" s="1342">
        <f t="shared" si="11"/>
        <v>111</v>
      </c>
      <c r="R27" s="700" t="s">
        <v>14</v>
      </c>
      <c r="S27" s="701">
        <f>F27</f>
        <v>100</v>
      </c>
      <c r="T27" s="700" t="s">
        <v>14</v>
      </c>
      <c r="U27" s="701">
        <f>H27</f>
        <v>100</v>
      </c>
      <c r="V27" s="700" t="s">
        <v>14</v>
      </c>
      <c r="W27" s="701">
        <f>J27</f>
        <v>100</v>
      </c>
      <c r="X27" s="702"/>
      <c r="Y27" s="372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2"/>
      <c r="Q28" s="1351">
        <f t="shared" si="11"/>
        <v>111</v>
      </c>
      <c r="R28" s="704" t="s">
        <v>14</v>
      </c>
      <c r="S28" s="705">
        <f t="shared" ref="S28:S40" si="12">F28</f>
        <v>100</v>
      </c>
      <c r="T28" s="704" t="s">
        <v>14</v>
      </c>
      <c r="U28" s="705">
        <f t="shared" ref="U28:U40" si="13">H28</f>
        <v>100</v>
      </c>
      <c r="V28" s="704" t="s">
        <v>14</v>
      </c>
      <c r="W28" s="705">
        <f t="shared" ref="W28:W40" si="14">J28</f>
        <v>100</v>
      </c>
      <c r="X28" s="1354"/>
      <c r="Y28" s="372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31" t="s">
        <v>1696</v>
      </c>
      <c r="Q29" s="1351" t="str">
        <f t="shared" si="11"/>
        <v>建筑类型</v>
      </c>
      <c r="R29" s="704" t="s">
        <v>14</v>
      </c>
      <c r="S29" s="705">
        <f t="shared" si="12"/>
        <v>100</v>
      </c>
      <c r="T29" s="704" t="s">
        <v>14</v>
      </c>
      <c r="U29" s="705">
        <f t="shared" si="13"/>
        <v>100</v>
      </c>
      <c r="V29" s="704" t="s">
        <v>14</v>
      </c>
      <c r="W29" s="705">
        <f t="shared" si="14"/>
        <v>100</v>
      </c>
      <c r="X29" s="1354"/>
      <c r="Y29" s="372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6"/>
      <c r="Q30" s="706" t="str">
        <f t="shared" si="11"/>
        <v>项目建筑规模</v>
      </c>
      <c r="R30" s="707" t="s">
        <v>14</v>
      </c>
      <c r="S30" s="708" t="e">
        <f t="shared" si="12"/>
        <v>#N/A</v>
      </c>
      <c r="T30" s="707" t="s">
        <v>14</v>
      </c>
      <c r="U30" s="708" t="e">
        <f t="shared" si="13"/>
        <v>#N/A</v>
      </c>
      <c r="V30" s="707" t="s">
        <v>14</v>
      </c>
      <c r="W30" s="708" t="e">
        <f t="shared" si="14"/>
        <v>#N/A</v>
      </c>
      <c r="X30" s="709"/>
      <c r="Y30" s="372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6"/>
      <c r="Q31" s="1351" t="str">
        <f t="shared" si="11"/>
        <v>建筑结构</v>
      </c>
      <c r="R31" s="704" t="s">
        <v>14</v>
      </c>
      <c r="S31" s="705">
        <f t="shared" si="12"/>
        <v>100</v>
      </c>
      <c r="T31" s="704" t="s">
        <v>14</v>
      </c>
      <c r="U31" s="705">
        <f t="shared" si="13"/>
        <v>100</v>
      </c>
      <c r="V31" s="704" t="s">
        <v>14</v>
      </c>
      <c r="W31" s="705">
        <f t="shared" si="14"/>
        <v>100</v>
      </c>
      <c r="X31" s="1354"/>
      <c r="Y31" s="372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6"/>
      <c r="Q32" s="1351" t="str">
        <f t="shared" si="11"/>
        <v>公共部分装修</v>
      </c>
      <c r="R32" s="704" t="s">
        <v>14</v>
      </c>
      <c r="S32" s="705">
        <f t="shared" si="12"/>
        <v>100</v>
      </c>
      <c r="T32" s="704" t="s">
        <v>14</v>
      </c>
      <c r="U32" s="705">
        <f t="shared" si="13"/>
        <v>100</v>
      </c>
      <c r="V32" s="704" t="s">
        <v>14</v>
      </c>
      <c r="W32" s="705">
        <f t="shared" si="14"/>
        <v>100</v>
      </c>
      <c r="X32" s="1354"/>
      <c r="Y32" s="372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6"/>
      <c r="Q33" s="1351" t="str">
        <f t="shared" si="11"/>
        <v>成新度</v>
      </c>
      <c r="R33" s="704" t="s">
        <v>14</v>
      </c>
      <c r="S33" s="705" t="e">
        <f t="shared" si="12"/>
        <v>#N/A</v>
      </c>
      <c r="T33" s="704" t="s">
        <v>14</v>
      </c>
      <c r="U33" s="705" t="e">
        <f t="shared" si="13"/>
        <v>#N/A</v>
      </c>
      <c r="V33" s="704" t="s">
        <v>14</v>
      </c>
      <c r="W33" s="705" t="e">
        <f t="shared" si="14"/>
        <v>#N/A</v>
      </c>
      <c r="X33" s="1354"/>
      <c r="Y33" s="372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6"/>
      <c r="Q34" s="1342" t="str">
        <f t="shared" si="11"/>
        <v>物业管理</v>
      </c>
      <c r="R34" s="700" t="s">
        <v>14</v>
      </c>
      <c r="S34" s="701">
        <f t="shared" si="12"/>
        <v>100</v>
      </c>
      <c r="T34" s="700" t="s">
        <v>14</v>
      </c>
      <c r="U34" s="701">
        <f t="shared" si="13"/>
        <v>100</v>
      </c>
      <c r="V34" s="700" t="s">
        <v>14</v>
      </c>
      <c r="W34" s="701">
        <f t="shared" si="14"/>
        <v>100</v>
      </c>
      <c r="X34" s="702"/>
      <c r="Y34" s="372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6" t="s">
        <v>1696</v>
      </c>
      <c r="Q35" s="1351" t="str">
        <f t="shared" si="11"/>
        <v>市政基础设施</v>
      </c>
      <c r="R35" s="704" t="s">
        <v>14</v>
      </c>
      <c r="S35" s="705">
        <f t="shared" si="12"/>
        <v>100</v>
      </c>
      <c r="T35" s="704" t="s">
        <v>14</v>
      </c>
      <c r="U35" s="705">
        <f t="shared" si="13"/>
        <v>100</v>
      </c>
      <c r="V35" s="704" t="s">
        <v>14</v>
      </c>
      <c r="W35" s="705">
        <f t="shared" si="14"/>
        <v>100</v>
      </c>
      <c r="X35" s="1354"/>
      <c r="Y35" s="372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6"/>
      <c r="Q36" s="1351" t="str">
        <f t="shared" si="11"/>
        <v>内部装修</v>
      </c>
      <c r="R36" s="704" t="s">
        <v>14</v>
      </c>
      <c r="S36" s="705">
        <f t="shared" si="12"/>
        <v>100</v>
      </c>
      <c r="T36" s="704" t="s">
        <v>14</v>
      </c>
      <c r="U36" s="705">
        <f t="shared" si="13"/>
        <v>100</v>
      </c>
      <c r="V36" s="704" t="s">
        <v>14</v>
      </c>
      <c r="W36" s="705">
        <f t="shared" si="14"/>
        <v>100</v>
      </c>
      <c r="X36" s="1354"/>
      <c r="Y36" s="372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6"/>
      <c r="Q37" s="1351" t="str">
        <f t="shared" si="11"/>
        <v>内部装修状况</v>
      </c>
      <c r="R37" s="704" t="s">
        <v>14</v>
      </c>
      <c r="S37" s="705">
        <f t="shared" si="12"/>
        <v>100</v>
      </c>
      <c r="T37" s="704" t="s">
        <v>14</v>
      </c>
      <c r="U37" s="705">
        <f t="shared" si="13"/>
        <v>100</v>
      </c>
      <c r="V37" s="704" t="s">
        <v>14</v>
      </c>
      <c r="W37" s="705">
        <f t="shared" si="14"/>
        <v>100</v>
      </c>
      <c r="X37" s="1354"/>
      <c r="Y37" s="372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6"/>
      <c r="Q38" s="706">
        <f t="shared" si="11"/>
        <v>111</v>
      </c>
      <c r="R38" s="707" t="s">
        <v>14</v>
      </c>
      <c r="S38" s="708">
        <f t="shared" si="12"/>
        <v>100</v>
      </c>
      <c r="T38" s="707" t="s">
        <v>14</v>
      </c>
      <c r="U38" s="708">
        <f t="shared" si="13"/>
        <v>100</v>
      </c>
      <c r="V38" s="707" t="s">
        <v>14</v>
      </c>
      <c r="W38" s="708">
        <f t="shared" si="14"/>
        <v>100</v>
      </c>
      <c r="X38" s="709"/>
      <c r="Y38" s="372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6"/>
      <c r="Q39" s="1351">
        <f t="shared" si="11"/>
        <v>111</v>
      </c>
      <c r="R39" s="704" t="s">
        <v>14</v>
      </c>
      <c r="S39" s="705">
        <f t="shared" si="12"/>
        <v>100</v>
      </c>
      <c r="T39" s="704" t="s">
        <v>14</v>
      </c>
      <c r="U39" s="705">
        <f t="shared" si="13"/>
        <v>100</v>
      </c>
      <c r="V39" s="704" t="s">
        <v>14</v>
      </c>
      <c r="W39" s="705">
        <f t="shared" si="14"/>
        <v>100</v>
      </c>
      <c r="X39" s="1354"/>
      <c r="Y39" s="372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7"/>
      <c r="Q40" s="1351">
        <f t="shared" si="11"/>
        <v>111</v>
      </c>
      <c r="R40" s="704" t="s">
        <v>14</v>
      </c>
      <c r="S40" s="705">
        <f t="shared" si="12"/>
        <v>100</v>
      </c>
      <c r="T40" s="704" t="s">
        <v>14</v>
      </c>
      <c r="U40" s="705">
        <f t="shared" si="13"/>
        <v>100</v>
      </c>
      <c r="V40" s="704" t="s">
        <v>14</v>
      </c>
      <c r="W40" s="705">
        <f t="shared" si="14"/>
        <v>100</v>
      </c>
      <c r="X40" s="1354"/>
      <c r="Y40" s="372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4" t="str">
        <f>A41</f>
        <v>成交单价（元/平方米）</v>
      </c>
      <c r="Q41" s="3714"/>
      <c r="R41" s="3715">
        <f>E41</f>
        <v>0</v>
      </c>
      <c r="S41" s="3715"/>
      <c r="T41" s="3715">
        <f>G41</f>
        <v>0</v>
      </c>
      <c r="U41" s="3715"/>
      <c r="V41" s="3715">
        <f>I41</f>
        <v>0</v>
      </c>
      <c r="W41" s="371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6" priority="20" stopIfTrue="1" operator="containsText" text="超过">
      <formula>NOT(ISERROR(SEARCH("超过",F46)))</formula>
    </cfRule>
  </conditionalFormatting>
  <conditionalFormatting sqref="H48">
    <cfRule type="containsText" dxfId="125" priority="19" stopIfTrue="1" operator="containsText" text="超过">
      <formula>NOT(ISERROR(SEARCH("超过",H48)))</formula>
    </cfRule>
  </conditionalFormatting>
  <conditionalFormatting sqref="F48">
    <cfRule type="containsText" dxfId="124" priority="18" stopIfTrue="1" operator="containsText" text="超过">
      <formula>NOT(ISERROR(SEARCH("超过",F48)))</formula>
    </cfRule>
  </conditionalFormatting>
  <conditionalFormatting sqref="F47 H47">
    <cfRule type="containsText" dxfId="123" priority="17" stopIfTrue="1" operator="containsText" text="超过">
      <formula>NOT(ISERROR(SEARCH("超过",F47)))</formula>
    </cfRule>
  </conditionalFormatting>
  <conditionalFormatting sqref="E46">
    <cfRule type="expression" dxfId="122" priority="16" stopIfTrue="1">
      <formula>$F$46="超过30%"</formula>
    </cfRule>
  </conditionalFormatting>
  <conditionalFormatting sqref="E47">
    <cfRule type="expression" dxfId="121" priority="15" stopIfTrue="1">
      <formula>$F$47="超过20%"</formula>
    </cfRule>
  </conditionalFormatting>
  <conditionalFormatting sqref="E48">
    <cfRule type="expression" dxfId="120" priority="14" stopIfTrue="1">
      <formula>$F$48="超过30%"</formula>
    </cfRule>
  </conditionalFormatting>
  <conditionalFormatting sqref="G48">
    <cfRule type="expression" dxfId="119" priority="13" stopIfTrue="1">
      <formula>$H$48="超过30%"</formula>
    </cfRule>
  </conditionalFormatting>
  <conditionalFormatting sqref="G46">
    <cfRule type="expression" dxfId="118" priority="12" stopIfTrue="1">
      <formula>$H$46="超过30%"</formula>
    </cfRule>
  </conditionalFormatting>
  <conditionalFormatting sqref="G47">
    <cfRule type="expression" dxfId="117" priority="11" stopIfTrue="1">
      <formula>$H$47="超过20%"</formula>
    </cfRule>
  </conditionalFormatting>
  <conditionalFormatting sqref="J46">
    <cfRule type="containsText" dxfId="116" priority="10" stopIfTrue="1" operator="containsText" text="超过">
      <formula>NOT(ISERROR(SEARCH("超过",J46)))</formula>
    </cfRule>
  </conditionalFormatting>
  <conditionalFormatting sqref="J48">
    <cfRule type="containsText" dxfId="115" priority="9" stopIfTrue="1" operator="containsText" text="超过">
      <formula>NOT(ISERROR(SEARCH("超过",J48)))</formula>
    </cfRule>
  </conditionalFormatting>
  <conditionalFormatting sqref="J47">
    <cfRule type="containsText" dxfId="114" priority="8" stopIfTrue="1" operator="containsText" text="超过">
      <formula>NOT(ISERROR(SEARCH("超过",J47)))</formula>
    </cfRule>
  </conditionalFormatting>
  <conditionalFormatting sqref="I46">
    <cfRule type="expression" dxfId="113" priority="7" stopIfTrue="1">
      <formula>$J$46="超过30%"</formula>
    </cfRule>
  </conditionalFormatting>
  <conditionalFormatting sqref="I47">
    <cfRule type="expression" dxfId="112" priority="6" stopIfTrue="1">
      <formula>$J$47="超过20%"</formula>
    </cfRule>
  </conditionalFormatting>
  <conditionalFormatting sqref="I48">
    <cfRule type="expression" dxfId="111" priority="5" stopIfTrue="1">
      <formula>$J$48="超过30%"</formula>
    </cfRule>
  </conditionalFormatting>
  <conditionalFormatting sqref="F42">
    <cfRule type="expression" dxfId="110" priority="4">
      <formula>$D$42="简单平均"</formula>
    </cfRule>
  </conditionalFormatting>
  <conditionalFormatting sqref="H42">
    <cfRule type="expression" dxfId="109" priority="3">
      <formula>$D$42="简单平均"</formula>
    </cfRule>
  </conditionalFormatting>
  <conditionalFormatting sqref="J42">
    <cfRule type="expression" dxfId="108" priority="2">
      <formula>$D$42="简单平均"</formula>
    </cfRule>
  </conditionalFormatting>
  <conditionalFormatting sqref="F7:F40 H7:H40 J7:J40">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33" t="s">
        <v>1770</v>
      </c>
      <c r="D4" s="3734"/>
      <c r="E4" s="3735" t="s">
        <v>1771</v>
      </c>
      <c r="F4" s="3736"/>
      <c r="G4" s="3733" t="s">
        <v>1772</v>
      </c>
      <c r="H4" s="3734"/>
      <c r="I4" s="3733" t="s">
        <v>1773</v>
      </c>
      <c r="J4" s="3734"/>
      <c r="K4" s="559" t="s">
        <v>1774</v>
      </c>
      <c r="L4" s="2712"/>
      <c r="M4" s="2713"/>
      <c r="N4" s="2713"/>
      <c r="O4" s="2713"/>
      <c r="P4" s="3737" t="s">
        <v>1775</v>
      </c>
      <c r="Q4" s="3738"/>
      <c r="R4" s="3743" t="s">
        <v>1771</v>
      </c>
      <c r="S4" s="3744"/>
      <c r="T4" s="3743" t="s">
        <v>1772</v>
      </c>
      <c r="U4" s="3744"/>
      <c r="V4" s="3728" t="s">
        <v>1773</v>
      </c>
      <c r="W4" s="3728"/>
      <c r="X4" s="1354"/>
      <c r="Y4" s="3743" t="s">
        <v>1775</v>
      </c>
      <c r="Z4" s="3744"/>
      <c r="AA4" s="3730" t="s">
        <v>1771</v>
      </c>
      <c r="AB4" s="3731" t="s">
        <v>1772</v>
      </c>
      <c r="AC4" s="3730" t="s">
        <v>1773</v>
      </c>
    </row>
    <row r="5" spans="1:29" ht="15">
      <c r="A5" s="358"/>
      <c r="B5" s="359"/>
      <c r="C5" s="3756" t="s">
        <v>1673</v>
      </c>
      <c r="D5" s="3752"/>
      <c r="E5" s="3815" t="s">
        <v>1674</v>
      </c>
      <c r="F5" s="3760"/>
      <c r="G5" s="3756" t="s">
        <v>1675</v>
      </c>
      <c r="H5" s="3752"/>
      <c r="I5" s="3756" t="s">
        <v>1676</v>
      </c>
      <c r="J5" s="3752"/>
      <c r="K5" s="559"/>
      <c r="L5" s="2712"/>
      <c r="M5" s="2713"/>
      <c r="N5" s="2713"/>
      <c r="O5" s="2713"/>
      <c r="P5" s="3739"/>
      <c r="Q5" s="3740"/>
      <c r="R5" s="3745"/>
      <c r="S5" s="3746"/>
      <c r="T5" s="3745"/>
      <c r="U5" s="3746"/>
      <c r="V5" s="3728"/>
      <c r="W5" s="3728"/>
      <c r="X5" s="1354"/>
      <c r="Y5" s="3745"/>
      <c r="Z5" s="3746"/>
      <c r="AA5" s="3731"/>
      <c r="AB5" s="3731"/>
      <c r="AC5" s="3731"/>
    </row>
    <row r="6" spans="1:29" ht="15.75" thickBot="1">
      <c r="A6" s="360"/>
      <c r="B6" s="361"/>
      <c r="C6" s="3749" t="s">
        <v>1677</v>
      </c>
      <c r="D6" s="3750"/>
      <c r="E6" s="3757" t="s">
        <v>1677</v>
      </c>
      <c r="F6" s="3758"/>
      <c r="G6" s="3749" t="s">
        <v>1677</v>
      </c>
      <c r="H6" s="3750"/>
      <c r="I6" s="3749" t="s">
        <v>1677</v>
      </c>
      <c r="J6" s="3750"/>
      <c r="K6" s="559" t="s">
        <v>1678</v>
      </c>
      <c r="L6" s="2712"/>
      <c r="M6" s="2713"/>
      <c r="N6" s="2713"/>
      <c r="O6" s="2713"/>
      <c r="P6" s="3741"/>
      <c r="Q6" s="3742"/>
      <c r="R6" s="3745"/>
      <c r="S6" s="3746"/>
      <c r="T6" s="3747"/>
      <c r="U6" s="3748"/>
      <c r="V6" s="3728"/>
      <c r="W6" s="3728"/>
      <c r="X6" s="1354"/>
      <c r="Y6" s="3747"/>
      <c r="Z6" s="3748"/>
      <c r="AA6" s="3732"/>
      <c r="AB6" s="3732"/>
      <c r="AC6" s="3732"/>
    </row>
    <row r="7" spans="1:29" s="108" customFormat="1" ht="15.75" thickBot="1">
      <c r="A7" s="362" t="s">
        <v>1679</v>
      </c>
      <c r="B7" s="363"/>
      <c r="C7" s="364">
        <f>'数据-取费表'!B2</f>
        <v>44944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53" t="s">
        <v>1680</v>
      </c>
      <c r="Q7" s="3755"/>
      <c r="R7" s="700" t="s">
        <v>14</v>
      </c>
      <c r="S7" s="701">
        <f t="shared" ref="S7:S14" si="0">F7</f>
        <v>0</v>
      </c>
      <c r="T7" s="700" t="s">
        <v>14</v>
      </c>
      <c r="U7" s="701">
        <f t="shared" ref="U7:U14" si="1">H7</f>
        <v>0</v>
      </c>
      <c r="V7" s="700" t="s">
        <v>14</v>
      </c>
      <c r="W7" s="701">
        <f t="shared" ref="W7:W14"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53" t="s">
        <v>1683</v>
      </c>
      <c r="Q8" s="3754"/>
      <c r="R8" s="700" t="s">
        <v>14</v>
      </c>
      <c r="S8" s="701">
        <f t="shared" si="0"/>
        <v>100</v>
      </c>
      <c r="T8" s="700" t="s">
        <v>14</v>
      </c>
      <c r="U8" s="701">
        <f t="shared" si="1"/>
        <v>100</v>
      </c>
      <c r="V8" s="700" t="s">
        <v>14</v>
      </c>
      <c r="W8" s="701">
        <f t="shared" si="2"/>
        <v>100</v>
      </c>
      <c r="X8" s="702"/>
      <c r="Y8" s="3753" t="s">
        <v>1683</v>
      </c>
      <c r="Z8" s="375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4"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6"/>
      <c r="M10" s="2717"/>
      <c r="N10" s="2717"/>
      <c r="O10" s="2717"/>
      <c r="P10" s="3714"/>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4"/>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4"/>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4"/>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1" t="s">
        <v>1691</v>
      </c>
      <c r="Q14" s="1351" t="str">
        <f t="shared" si="6"/>
        <v>交通便捷度</v>
      </c>
      <c r="R14" s="704" t="s">
        <v>14</v>
      </c>
      <c r="S14" s="705">
        <f t="shared" si="0"/>
        <v>100</v>
      </c>
      <c r="T14" s="704" t="s">
        <v>14</v>
      </c>
      <c r="U14" s="705">
        <f t="shared" si="1"/>
        <v>100</v>
      </c>
      <c r="V14" s="704" t="s">
        <v>14</v>
      </c>
      <c r="W14" s="705">
        <f t="shared" si="2"/>
        <v>100</v>
      </c>
      <c r="X14" s="1354"/>
      <c r="Y14" s="372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22"/>
      <c r="Q15" s="1351"/>
      <c r="R15" s="704"/>
      <c r="S15" s="705"/>
      <c r="T15" s="704"/>
      <c r="U15" s="705"/>
      <c r="V15" s="704"/>
      <c r="W15" s="705"/>
      <c r="X15" s="1354"/>
      <c r="Y15" s="372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2"/>
      <c r="Q16" s="1351" t="str">
        <f>B16</f>
        <v>公共配套设施</v>
      </c>
      <c r="R16" s="704" t="s">
        <v>14</v>
      </c>
      <c r="S16" s="705">
        <f>F16</f>
        <v>100</v>
      </c>
      <c r="T16" s="704" t="s">
        <v>14</v>
      </c>
      <c r="U16" s="705">
        <f>H16</f>
        <v>100</v>
      </c>
      <c r="V16" s="704" t="s">
        <v>14</v>
      </c>
      <c r="W16" s="705">
        <f>J16</f>
        <v>100</v>
      </c>
      <c r="X16" s="1354"/>
      <c r="Y16" s="372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22"/>
      <c r="Q17" s="1351"/>
      <c r="R17" s="704"/>
      <c r="S17" s="705"/>
      <c r="T17" s="704"/>
      <c r="U17" s="705"/>
      <c r="V17" s="704"/>
      <c r="W17" s="705"/>
      <c r="X17" s="1354"/>
      <c r="Y17" s="372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2"/>
      <c r="Q18" s="1351" t="str">
        <f>B18</f>
        <v>基础设施水平</v>
      </c>
      <c r="R18" s="704" t="s">
        <v>14</v>
      </c>
      <c r="S18" s="705">
        <f>F18</f>
        <v>100</v>
      </c>
      <c r="T18" s="704" t="s">
        <v>14</v>
      </c>
      <c r="U18" s="705">
        <f>H18</f>
        <v>100</v>
      </c>
      <c r="V18" s="704" t="s">
        <v>14</v>
      </c>
      <c r="W18" s="705">
        <f>J18</f>
        <v>100</v>
      </c>
      <c r="X18" s="1354"/>
      <c r="Y18" s="372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22"/>
      <c r="Q19" s="1351"/>
      <c r="R19" s="704"/>
      <c r="S19" s="705"/>
      <c r="T19" s="704"/>
      <c r="U19" s="705"/>
      <c r="V19" s="704"/>
      <c r="W19" s="705"/>
      <c r="X19" s="1354"/>
      <c r="Y19" s="372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2"/>
      <c r="Q20" s="1351" t="str">
        <f>B20</f>
        <v>自然及人文环境</v>
      </c>
      <c r="R20" s="704" t="s">
        <v>14</v>
      </c>
      <c r="S20" s="705">
        <f>F20</f>
        <v>100</v>
      </c>
      <c r="T20" s="704" t="s">
        <v>14</v>
      </c>
      <c r="U20" s="705">
        <f>H20</f>
        <v>100</v>
      </c>
      <c r="V20" s="704" t="s">
        <v>14</v>
      </c>
      <c r="W20" s="705">
        <f>J20</f>
        <v>100</v>
      </c>
      <c r="X20" s="1354"/>
      <c r="Y20" s="372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22"/>
      <c r="Q21" s="1351"/>
      <c r="R21" s="704"/>
      <c r="S21" s="705"/>
      <c r="T21" s="704"/>
      <c r="U21" s="705"/>
      <c r="V21" s="704"/>
      <c r="W21" s="705"/>
      <c r="X21" s="1354"/>
      <c r="Y21" s="372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2"/>
      <c r="Q22" s="1351" t="str">
        <f>B22</f>
        <v>楼层</v>
      </c>
      <c r="R22" s="704" t="s">
        <v>14</v>
      </c>
      <c r="S22" s="705">
        <f>F22</f>
        <v>100</v>
      </c>
      <c r="T22" s="704" t="s">
        <v>14</v>
      </c>
      <c r="U22" s="705">
        <f>H22</f>
        <v>100</v>
      </c>
      <c r="V22" s="704" t="s">
        <v>14</v>
      </c>
      <c r="W22" s="705">
        <f>J22</f>
        <v>100</v>
      </c>
      <c r="X22" s="1354"/>
      <c r="Y22" s="372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2"/>
      <c r="Q23" s="1351">
        <f>B23</f>
        <v>111</v>
      </c>
      <c r="R23" s="704" t="s">
        <v>14</v>
      </c>
      <c r="S23" s="705">
        <f>F23</f>
        <v>100</v>
      </c>
      <c r="T23" s="704" t="s">
        <v>14</v>
      </c>
      <c r="U23" s="705">
        <f>H23</f>
        <v>100</v>
      </c>
      <c r="V23" s="704" t="s">
        <v>14</v>
      </c>
      <c r="W23" s="705">
        <f>J23</f>
        <v>100</v>
      </c>
      <c r="X23" s="1354"/>
      <c r="Y23" s="372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2"/>
      <c r="Q24" s="1351">
        <f t="shared" ref="Q24:Q36" si="11">B24</f>
        <v>111</v>
      </c>
      <c r="R24" s="704" t="s">
        <v>14</v>
      </c>
      <c r="S24" s="705">
        <f>F24</f>
        <v>100</v>
      </c>
      <c r="T24" s="704" t="s">
        <v>14</v>
      </c>
      <c r="U24" s="705">
        <f>H24</f>
        <v>100</v>
      </c>
      <c r="V24" s="704" t="s">
        <v>14</v>
      </c>
      <c r="W24" s="705">
        <f>J24</f>
        <v>100</v>
      </c>
      <c r="X24" s="1354"/>
      <c r="Y24" s="372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2"/>
      <c r="Q25" s="1342">
        <f t="shared" si="11"/>
        <v>111</v>
      </c>
      <c r="R25" s="700" t="s">
        <v>14</v>
      </c>
      <c r="S25" s="701">
        <f>F25</f>
        <v>100</v>
      </c>
      <c r="T25" s="700" t="s">
        <v>14</v>
      </c>
      <c r="U25" s="701">
        <f>H25</f>
        <v>100</v>
      </c>
      <c r="V25" s="700" t="s">
        <v>14</v>
      </c>
      <c r="W25" s="701">
        <f>J25</f>
        <v>100</v>
      </c>
      <c r="X25" s="702"/>
      <c r="Y25" s="372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3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6"/>
      <c r="Q27" s="706" t="str">
        <f t="shared" si="11"/>
        <v>项目停车位配比</v>
      </c>
      <c r="R27" s="707" t="s">
        <v>14</v>
      </c>
      <c r="S27" s="708">
        <f t="shared" si="12"/>
        <v>100</v>
      </c>
      <c r="T27" s="707" t="s">
        <v>14</v>
      </c>
      <c r="U27" s="708">
        <f t="shared" si="13"/>
        <v>100</v>
      </c>
      <c r="V27" s="707" t="s">
        <v>14</v>
      </c>
      <c r="W27" s="708">
        <f t="shared" si="14"/>
        <v>100</v>
      </c>
      <c r="X27" s="709"/>
      <c r="Y27" s="372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6"/>
      <c r="Q28" s="1351" t="str">
        <f t="shared" si="11"/>
        <v>公共部分装修</v>
      </c>
      <c r="R28" s="704" t="s">
        <v>14</v>
      </c>
      <c r="S28" s="705">
        <f t="shared" si="12"/>
        <v>100</v>
      </c>
      <c r="T28" s="704" t="s">
        <v>14</v>
      </c>
      <c r="U28" s="705">
        <f t="shared" si="13"/>
        <v>100</v>
      </c>
      <c r="V28" s="704" t="s">
        <v>14</v>
      </c>
      <c r="W28" s="705">
        <f t="shared" si="14"/>
        <v>100</v>
      </c>
      <c r="X28" s="1354"/>
      <c r="Y28" s="372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6"/>
      <c r="Q29" s="1351" t="str">
        <f t="shared" si="11"/>
        <v>成新率</v>
      </c>
      <c r="R29" s="704" t="s">
        <v>14</v>
      </c>
      <c r="S29" s="705" t="e">
        <f t="shared" si="12"/>
        <v>#N/A</v>
      </c>
      <c r="T29" s="704" t="s">
        <v>14</v>
      </c>
      <c r="U29" s="705" t="e">
        <f t="shared" si="13"/>
        <v>#N/A</v>
      </c>
      <c r="V29" s="704" t="s">
        <v>14</v>
      </c>
      <c r="W29" s="705" t="e">
        <f t="shared" si="14"/>
        <v>#N/A</v>
      </c>
      <c r="X29" s="1354"/>
      <c r="Y29" s="372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6"/>
      <c r="Q30" s="1351" t="str">
        <f t="shared" si="11"/>
        <v>物业等级</v>
      </c>
      <c r="R30" s="704" t="s">
        <v>14</v>
      </c>
      <c r="S30" s="705">
        <f t="shared" si="12"/>
        <v>100</v>
      </c>
      <c r="T30" s="704" t="s">
        <v>14</v>
      </c>
      <c r="U30" s="705">
        <f t="shared" si="13"/>
        <v>100</v>
      </c>
      <c r="V30" s="704" t="s">
        <v>14</v>
      </c>
      <c r="W30" s="705">
        <f t="shared" si="14"/>
        <v>100</v>
      </c>
      <c r="X30" s="1354"/>
      <c r="Y30" s="372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6"/>
      <c r="Q31" s="1342" t="str">
        <f t="shared" si="11"/>
        <v>停车位面积</v>
      </c>
      <c r="R31" s="700" t="s">
        <v>14</v>
      </c>
      <c r="S31" s="701" t="e">
        <f t="shared" si="12"/>
        <v>#N/A</v>
      </c>
      <c r="T31" s="700" t="s">
        <v>14</v>
      </c>
      <c r="U31" s="701" t="e">
        <f t="shared" si="13"/>
        <v>#N/A</v>
      </c>
      <c r="V31" s="700" t="s">
        <v>14</v>
      </c>
      <c r="W31" s="701" t="e">
        <f t="shared" si="14"/>
        <v>#N/A</v>
      </c>
      <c r="X31" s="702"/>
      <c r="Y31" s="372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6" t="s">
        <v>1696</v>
      </c>
      <c r="Q32" s="1351" t="str">
        <f t="shared" si="11"/>
        <v>车位类型</v>
      </c>
      <c r="R32" s="704" t="s">
        <v>14</v>
      </c>
      <c r="S32" s="705">
        <f t="shared" si="12"/>
        <v>100</v>
      </c>
      <c r="T32" s="704" t="s">
        <v>14</v>
      </c>
      <c r="U32" s="705">
        <f t="shared" si="13"/>
        <v>100</v>
      </c>
      <c r="V32" s="704" t="s">
        <v>14</v>
      </c>
      <c r="W32" s="705">
        <f t="shared" si="14"/>
        <v>100</v>
      </c>
      <c r="X32" s="1354"/>
      <c r="Y32" s="372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6"/>
      <c r="Q33" s="1351" t="str">
        <f t="shared" si="11"/>
        <v>是否直接入户</v>
      </c>
      <c r="R33" s="704" t="s">
        <v>14</v>
      </c>
      <c r="S33" s="705">
        <f t="shared" si="12"/>
        <v>100</v>
      </c>
      <c r="T33" s="704" t="s">
        <v>14</v>
      </c>
      <c r="U33" s="705">
        <f t="shared" si="13"/>
        <v>100</v>
      </c>
      <c r="V33" s="704" t="s">
        <v>14</v>
      </c>
      <c r="W33" s="705">
        <f t="shared" si="14"/>
        <v>100</v>
      </c>
      <c r="X33" s="1354"/>
      <c r="Y33" s="372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6"/>
      <c r="Q34" s="1351">
        <f t="shared" si="11"/>
        <v>111</v>
      </c>
      <c r="R34" s="704" t="s">
        <v>14</v>
      </c>
      <c r="S34" s="705">
        <f t="shared" si="12"/>
        <v>100</v>
      </c>
      <c r="T34" s="704" t="s">
        <v>14</v>
      </c>
      <c r="U34" s="705">
        <f t="shared" si="13"/>
        <v>100</v>
      </c>
      <c r="V34" s="704" t="s">
        <v>14</v>
      </c>
      <c r="W34" s="705">
        <f t="shared" si="14"/>
        <v>100</v>
      </c>
      <c r="X34" s="1354"/>
      <c r="Y34" s="372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6"/>
      <c r="Q35" s="706">
        <f t="shared" si="11"/>
        <v>111</v>
      </c>
      <c r="R35" s="707" t="s">
        <v>14</v>
      </c>
      <c r="S35" s="708">
        <f t="shared" si="12"/>
        <v>100</v>
      </c>
      <c r="T35" s="707" t="s">
        <v>14</v>
      </c>
      <c r="U35" s="708">
        <f t="shared" si="13"/>
        <v>100</v>
      </c>
      <c r="V35" s="707" t="s">
        <v>14</v>
      </c>
      <c r="W35" s="708">
        <f t="shared" si="14"/>
        <v>100</v>
      </c>
      <c r="X35" s="709"/>
      <c r="Y35" s="372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6"/>
      <c r="Q36" s="1351">
        <f t="shared" si="11"/>
        <v>111</v>
      </c>
      <c r="R36" s="704" t="s">
        <v>14</v>
      </c>
      <c r="S36" s="705">
        <f t="shared" si="12"/>
        <v>100</v>
      </c>
      <c r="T36" s="704" t="s">
        <v>14</v>
      </c>
      <c r="U36" s="705">
        <f t="shared" si="13"/>
        <v>100</v>
      </c>
      <c r="V36" s="704" t="s">
        <v>14</v>
      </c>
      <c r="W36" s="705">
        <f t="shared" si="14"/>
        <v>100</v>
      </c>
      <c r="X36" s="1354"/>
      <c r="Y36" s="3726"/>
      <c r="Z36" s="1355">
        <f t="shared" si="15"/>
        <v>111</v>
      </c>
      <c r="AA36" s="1352">
        <f t="shared" si="3"/>
        <v>1</v>
      </c>
      <c r="AB36" s="1352">
        <f t="shared" si="4"/>
        <v>1</v>
      </c>
      <c r="AC36" s="1352">
        <f t="shared" si="5"/>
        <v>1</v>
      </c>
    </row>
    <row r="37" spans="1:29" ht="15">
      <c r="A37" s="430" t="s">
        <v>1844</v>
      </c>
      <c r="B37" s="1972" t="s">
        <v>3361</v>
      </c>
      <c r="C37" s="1153" t="s">
        <v>0</v>
      </c>
      <c r="D37" s="1154"/>
      <c r="E37" s="1155"/>
      <c r="F37" s="1156"/>
      <c r="G37" s="1157"/>
      <c r="H37" s="1158"/>
      <c r="I37" s="1155"/>
      <c r="J37" s="1158"/>
      <c r="K37" s="568"/>
      <c r="L37" s="2721"/>
      <c r="M37" s="2722"/>
      <c r="N37" s="2713"/>
      <c r="O37" s="2722"/>
      <c r="P37" s="3714" t="str">
        <f>A37</f>
        <v>成交单价</v>
      </c>
      <c r="Q37" s="3714"/>
      <c r="R37" s="3715">
        <f>E37</f>
        <v>0</v>
      </c>
      <c r="S37" s="3715"/>
      <c r="T37" s="3715">
        <f>G37</f>
        <v>0</v>
      </c>
      <c r="U37" s="3715"/>
      <c r="V37" s="3715">
        <f>I37</f>
        <v>0</v>
      </c>
      <c r="W37" s="371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16" t="str">
        <f>A39</f>
        <v>估价对象XX用房的比较价值（楼面单价，元/平方米）</v>
      </c>
      <c r="Q39" s="3717"/>
      <c r="R39" s="3832" t="e">
        <f>IF(F1="售价",ROUND(IF(D38="简单平均",AVERAGE(R38:W38),R38*F38+T38*H38+V38*J38),0),ROUND(IF(D38="简单平均",AVERAGE(R38:V38),R38*F38+T38*H38+V38*J38),1))</f>
        <v>#DIV/0!</v>
      </c>
      <c r="S39" s="3832"/>
      <c r="T39" s="3832"/>
      <c r="U39" s="3832"/>
      <c r="V39" s="3832"/>
      <c r="W39" s="3832"/>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6" priority="18" stopIfTrue="1" operator="containsText" text="超过">
      <formula>NOT(ISERROR(SEARCH("超过",F42)))</formula>
    </cfRule>
  </conditionalFormatting>
  <conditionalFormatting sqref="J44">
    <cfRule type="containsText" dxfId="105" priority="17" stopIfTrue="1" operator="containsText" text="超过">
      <formula>NOT(ISERROR(SEARCH("超过",J44)))</formula>
    </cfRule>
  </conditionalFormatting>
  <conditionalFormatting sqref="H44">
    <cfRule type="containsText" dxfId="104" priority="16" stopIfTrue="1" operator="containsText" text="超过">
      <formula>NOT(ISERROR(SEARCH("超过",H44)))</formula>
    </cfRule>
  </conditionalFormatting>
  <conditionalFormatting sqref="F44">
    <cfRule type="containsText" dxfId="103" priority="15" stopIfTrue="1" operator="containsText" text="超过">
      <formula>NOT(ISERROR(SEARCH("超过",F44)))</formula>
    </cfRule>
  </conditionalFormatting>
  <conditionalFormatting sqref="F43 H43 J43">
    <cfRule type="containsText" dxfId="102" priority="14" stopIfTrue="1" operator="containsText" text="超过">
      <formula>NOT(ISERROR(SEARCH("超过",F43)))</formula>
    </cfRule>
  </conditionalFormatting>
  <conditionalFormatting sqref="E42">
    <cfRule type="expression" dxfId="101" priority="13" stopIfTrue="1">
      <formula>$F$42="超过30%"</formula>
    </cfRule>
  </conditionalFormatting>
  <conditionalFormatting sqref="G44">
    <cfRule type="expression" dxfId="100" priority="12" stopIfTrue="1">
      <formula>$H$54+$H$44="超过30%"</formula>
    </cfRule>
  </conditionalFormatting>
  <conditionalFormatting sqref="E43">
    <cfRule type="expression" dxfId="99" priority="11" stopIfTrue="1">
      <formula>$F$43="超过20%"</formula>
    </cfRule>
  </conditionalFormatting>
  <conditionalFormatting sqref="E44">
    <cfRule type="expression" dxfId="98" priority="10" stopIfTrue="1">
      <formula>$F$44="超过30%"</formula>
    </cfRule>
  </conditionalFormatting>
  <conditionalFormatting sqref="G42">
    <cfRule type="expression" dxfId="97" priority="9" stopIfTrue="1">
      <formula>$H$52+$H$42="超过30%"</formula>
    </cfRule>
  </conditionalFormatting>
  <conditionalFormatting sqref="G43">
    <cfRule type="expression" dxfId="96" priority="8" stopIfTrue="1">
      <formula>$H$43="超过20%"</formula>
    </cfRule>
  </conditionalFormatting>
  <conditionalFormatting sqref="I42">
    <cfRule type="expression" dxfId="95" priority="7" stopIfTrue="1">
      <formula>$J$52+$J$42="超过30%"</formula>
    </cfRule>
  </conditionalFormatting>
  <conditionalFormatting sqref="I43">
    <cfRule type="expression" dxfId="94" priority="6" stopIfTrue="1">
      <formula>$J$53+$J$43="超过20%"</formula>
    </cfRule>
  </conditionalFormatting>
  <conditionalFormatting sqref="I44">
    <cfRule type="expression" dxfId="93" priority="5" stopIfTrue="1">
      <formula>$J$44="超过30%"</formula>
    </cfRule>
  </conditionalFormatting>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F7:F36 H7:H36 J7:J36">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33" t="s">
        <v>1770</v>
      </c>
      <c r="D4" s="3734"/>
      <c r="E4" s="3735" t="s">
        <v>1771</v>
      </c>
      <c r="F4" s="3736"/>
      <c r="G4" s="3733" t="s">
        <v>1772</v>
      </c>
      <c r="H4" s="3734"/>
      <c r="I4" s="3733" t="s">
        <v>1773</v>
      </c>
      <c r="J4" s="3734"/>
      <c r="K4" s="559" t="s">
        <v>1774</v>
      </c>
      <c r="L4" s="2712"/>
      <c r="M4" s="2713"/>
      <c r="N4" s="2713"/>
      <c r="O4" s="2713"/>
      <c r="P4" s="3737" t="s">
        <v>1775</v>
      </c>
      <c r="Q4" s="3738"/>
      <c r="R4" s="3743" t="s">
        <v>1771</v>
      </c>
      <c r="S4" s="3744"/>
      <c r="T4" s="3743" t="s">
        <v>1772</v>
      </c>
      <c r="U4" s="3744"/>
      <c r="V4" s="3728" t="s">
        <v>1773</v>
      </c>
      <c r="W4" s="3728"/>
      <c r="X4" s="1354"/>
      <c r="Y4" s="3743" t="s">
        <v>1775</v>
      </c>
      <c r="Z4" s="3744"/>
      <c r="AA4" s="3730" t="s">
        <v>1771</v>
      </c>
      <c r="AB4" s="3731" t="s">
        <v>1772</v>
      </c>
      <c r="AC4" s="3730" t="s">
        <v>1773</v>
      </c>
    </row>
    <row r="5" spans="1:29" ht="15">
      <c r="A5" s="358"/>
      <c r="B5" s="359"/>
      <c r="C5" s="3756" t="s">
        <v>1673</v>
      </c>
      <c r="D5" s="3752"/>
      <c r="E5" s="3815" t="s">
        <v>1674</v>
      </c>
      <c r="F5" s="3760"/>
      <c r="G5" s="3756" t="s">
        <v>1675</v>
      </c>
      <c r="H5" s="3752"/>
      <c r="I5" s="3756" t="s">
        <v>1676</v>
      </c>
      <c r="J5" s="3752"/>
      <c r="K5" s="559"/>
      <c r="L5" s="2712"/>
      <c r="M5" s="2713"/>
      <c r="N5" s="2713"/>
      <c r="O5" s="2713"/>
      <c r="P5" s="3739"/>
      <c r="Q5" s="3740"/>
      <c r="R5" s="3745"/>
      <c r="S5" s="3746"/>
      <c r="T5" s="3745"/>
      <c r="U5" s="3746"/>
      <c r="V5" s="3728"/>
      <c r="W5" s="3728"/>
      <c r="X5" s="1354"/>
      <c r="Y5" s="3745"/>
      <c r="Z5" s="3746"/>
      <c r="AA5" s="3731"/>
      <c r="AB5" s="3731"/>
      <c r="AC5" s="3731"/>
    </row>
    <row r="6" spans="1:29" ht="15.75" thickBot="1">
      <c r="A6" s="360"/>
      <c r="B6" s="361"/>
      <c r="C6" s="3749" t="s">
        <v>1677</v>
      </c>
      <c r="D6" s="3750"/>
      <c r="E6" s="3757" t="s">
        <v>1677</v>
      </c>
      <c r="F6" s="3758"/>
      <c r="G6" s="3749" t="s">
        <v>1677</v>
      </c>
      <c r="H6" s="3750"/>
      <c r="I6" s="3749" t="s">
        <v>1677</v>
      </c>
      <c r="J6" s="3750"/>
      <c r="K6" s="559" t="s">
        <v>1678</v>
      </c>
      <c r="L6" s="2712"/>
      <c r="M6" s="2713"/>
      <c r="N6" s="2713"/>
      <c r="O6" s="2713"/>
      <c r="P6" s="3741"/>
      <c r="Q6" s="3742"/>
      <c r="R6" s="3745"/>
      <c r="S6" s="3746"/>
      <c r="T6" s="3747"/>
      <c r="U6" s="3748"/>
      <c r="V6" s="3728"/>
      <c r="W6" s="3728"/>
      <c r="X6" s="1354"/>
      <c r="Y6" s="3747"/>
      <c r="Z6" s="3748"/>
      <c r="AA6" s="3732"/>
      <c r="AB6" s="3732"/>
      <c r="AC6" s="3732"/>
    </row>
    <row r="7" spans="1:29" s="108" customFormat="1" ht="15.75" thickBot="1">
      <c r="A7" s="362" t="s">
        <v>1679</v>
      </c>
      <c r="B7" s="363"/>
      <c r="C7" s="364">
        <f>'数据-取费表'!B2</f>
        <v>44944</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53" t="s">
        <v>1680</v>
      </c>
      <c r="Q7" s="3755"/>
      <c r="R7" s="700" t="s">
        <v>14</v>
      </c>
      <c r="S7" s="701">
        <f t="shared" ref="S7:S14" si="0">F7</f>
        <v>0</v>
      </c>
      <c r="T7" s="700" t="s">
        <v>14</v>
      </c>
      <c r="U7" s="701">
        <f t="shared" ref="U7:U14" si="1">H7</f>
        <v>0</v>
      </c>
      <c r="V7" s="700" t="s">
        <v>14</v>
      </c>
      <c r="W7" s="701">
        <f t="shared" ref="W7:W14"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53" t="s">
        <v>1683</v>
      </c>
      <c r="Q8" s="3754"/>
      <c r="R8" s="700" t="s">
        <v>14</v>
      </c>
      <c r="S8" s="701">
        <f t="shared" si="0"/>
        <v>100</v>
      </c>
      <c r="T8" s="700" t="s">
        <v>14</v>
      </c>
      <c r="U8" s="701">
        <f t="shared" si="1"/>
        <v>100</v>
      </c>
      <c r="V8" s="700" t="s">
        <v>14</v>
      </c>
      <c r="W8" s="701">
        <f t="shared" si="2"/>
        <v>100</v>
      </c>
      <c r="X8" s="702"/>
      <c r="Y8" s="3753" t="s">
        <v>1683</v>
      </c>
      <c r="Z8" s="375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4"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6"/>
      <c r="M10" s="2717"/>
      <c r="N10" s="2717"/>
      <c r="O10" s="2770"/>
      <c r="P10" s="3714"/>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4"/>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4"/>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14"/>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1" t="s">
        <v>1691</v>
      </c>
      <c r="Q14" s="1351" t="str">
        <f t="shared" si="6"/>
        <v>交通便捷度</v>
      </c>
      <c r="R14" s="704" t="s">
        <v>14</v>
      </c>
      <c r="S14" s="705">
        <f t="shared" si="0"/>
        <v>100</v>
      </c>
      <c r="T14" s="704" t="s">
        <v>14</v>
      </c>
      <c r="U14" s="705">
        <f t="shared" si="1"/>
        <v>100</v>
      </c>
      <c r="V14" s="704" t="s">
        <v>14</v>
      </c>
      <c r="W14" s="705">
        <f t="shared" si="2"/>
        <v>100</v>
      </c>
      <c r="X14" s="1354"/>
      <c r="Y14" s="372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22"/>
      <c r="Q15" s="1351"/>
      <c r="R15" s="704"/>
      <c r="S15" s="705"/>
      <c r="T15" s="704"/>
      <c r="U15" s="705"/>
      <c r="V15" s="704"/>
      <c r="W15" s="705"/>
      <c r="X15" s="1354"/>
      <c r="Y15" s="372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2"/>
      <c r="Q16" s="1351" t="str">
        <f>B16</f>
        <v>公共配套设施</v>
      </c>
      <c r="R16" s="704" t="s">
        <v>14</v>
      </c>
      <c r="S16" s="705">
        <f>F16</f>
        <v>100</v>
      </c>
      <c r="T16" s="704" t="s">
        <v>14</v>
      </c>
      <c r="U16" s="705">
        <f>H16</f>
        <v>100</v>
      </c>
      <c r="V16" s="704" t="s">
        <v>14</v>
      </c>
      <c r="W16" s="705">
        <f>J16</f>
        <v>100</v>
      </c>
      <c r="X16" s="1354"/>
      <c r="Y16" s="372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22"/>
      <c r="Q17" s="1351"/>
      <c r="R17" s="704"/>
      <c r="S17" s="705"/>
      <c r="T17" s="704"/>
      <c r="U17" s="705"/>
      <c r="V17" s="704"/>
      <c r="W17" s="705"/>
      <c r="X17" s="1354"/>
      <c r="Y17" s="372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2"/>
      <c r="Q18" s="1351" t="str">
        <f>B18</f>
        <v>基础设施水平</v>
      </c>
      <c r="R18" s="704" t="s">
        <v>14</v>
      </c>
      <c r="S18" s="705">
        <f>F18</f>
        <v>100</v>
      </c>
      <c r="T18" s="704" t="s">
        <v>14</v>
      </c>
      <c r="U18" s="705">
        <f>H18</f>
        <v>100</v>
      </c>
      <c r="V18" s="704" t="s">
        <v>14</v>
      </c>
      <c r="W18" s="705">
        <f>J18</f>
        <v>100</v>
      </c>
      <c r="X18" s="1354"/>
      <c r="Y18" s="372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22"/>
      <c r="Q19" s="1351"/>
      <c r="R19" s="704"/>
      <c r="S19" s="705"/>
      <c r="T19" s="704"/>
      <c r="U19" s="705"/>
      <c r="V19" s="704"/>
      <c r="W19" s="705"/>
      <c r="X19" s="1354"/>
      <c r="Y19" s="372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2"/>
      <c r="Q20" s="1351" t="str">
        <f>B20</f>
        <v>自然及人文环境</v>
      </c>
      <c r="R20" s="704" t="s">
        <v>14</v>
      </c>
      <c r="S20" s="705">
        <f>F20</f>
        <v>100</v>
      </c>
      <c r="T20" s="704" t="s">
        <v>14</v>
      </c>
      <c r="U20" s="705">
        <f>H20</f>
        <v>100</v>
      </c>
      <c r="V20" s="704" t="s">
        <v>14</v>
      </c>
      <c r="W20" s="705">
        <f>J20</f>
        <v>100</v>
      </c>
      <c r="X20" s="1354"/>
      <c r="Y20" s="372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22"/>
      <c r="Q21" s="1351"/>
      <c r="R21" s="704"/>
      <c r="S21" s="705"/>
      <c r="T21" s="704"/>
      <c r="U21" s="705"/>
      <c r="V21" s="704"/>
      <c r="W21" s="705"/>
      <c r="X21" s="1354"/>
      <c r="Y21" s="372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2"/>
      <c r="Q22" s="1351" t="str">
        <f>B22</f>
        <v>楼层</v>
      </c>
      <c r="R22" s="704" t="s">
        <v>14</v>
      </c>
      <c r="S22" s="705">
        <f>F22</f>
        <v>100</v>
      </c>
      <c r="T22" s="704" t="s">
        <v>14</v>
      </c>
      <c r="U22" s="705">
        <f>H22</f>
        <v>100</v>
      </c>
      <c r="V22" s="704" t="s">
        <v>14</v>
      </c>
      <c r="W22" s="705">
        <f>J22</f>
        <v>100</v>
      </c>
      <c r="X22" s="1354"/>
      <c r="Y22" s="372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2"/>
      <c r="Q23" s="1351">
        <f>B23</f>
        <v>111</v>
      </c>
      <c r="R23" s="704" t="s">
        <v>14</v>
      </c>
      <c r="S23" s="705">
        <f>F23</f>
        <v>100</v>
      </c>
      <c r="T23" s="704" t="s">
        <v>14</v>
      </c>
      <c r="U23" s="705">
        <f>H23</f>
        <v>100</v>
      </c>
      <c r="V23" s="704" t="s">
        <v>14</v>
      </c>
      <c r="W23" s="705">
        <f>J23</f>
        <v>100</v>
      </c>
      <c r="X23" s="1354"/>
      <c r="Y23" s="372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2"/>
      <c r="Q24" s="1351">
        <f t="shared" ref="Q24:Q34" si="11">B24</f>
        <v>111</v>
      </c>
      <c r="R24" s="704" t="s">
        <v>14</v>
      </c>
      <c r="S24" s="705">
        <f>F24</f>
        <v>100</v>
      </c>
      <c r="T24" s="704" t="s">
        <v>14</v>
      </c>
      <c r="U24" s="705">
        <f>H24</f>
        <v>100</v>
      </c>
      <c r="V24" s="704" t="s">
        <v>14</v>
      </c>
      <c r="W24" s="705">
        <f>J24</f>
        <v>100</v>
      </c>
      <c r="X24" s="1354"/>
      <c r="Y24" s="372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22"/>
      <c r="Q25" s="1342">
        <f t="shared" si="11"/>
        <v>111</v>
      </c>
      <c r="R25" s="700" t="s">
        <v>14</v>
      </c>
      <c r="S25" s="701">
        <f>F25</f>
        <v>100</v>
      </c>
      <c r="T25" s="700" t="s">
        <v>14</v>
      </c>
      <c r="U25" s="701">
        <f>H25</f>
        <v>100</v>
      </c>
      <c r="V25" s="700" t="s">
        <v>14</v>
      </c>
      <c r="W25" s="701">
        <f>J25</f>
        <v>100</v>
      </c>
      <c r="X25" s="702"/>
      <c r="Y25" s="372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83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6"/>
      <c r="Q27" s="706" t="str">
        <f t="shared" si="11"/>
        <v>成新率</v>
      </c>
      <c r="R27" s="707" t="s">
        <v>14</v>
      </c>
      <c r="S27" s="708" t="e">
        <f t="shared" si="12"/>
        <v>#N/A</v>
      </c>
      <c r="T27" s="707" t="s">
        <v>14</v>
      </c>
      <c r="U27" s="708" t="e">
        <f t="shared" si="13"/>
        <v>#N/A</v>
      </c>
      <c r="V27" s="707" t="s">
        <v>14</v>
      </c>
      <c r="W27" s="708" t="e">
        <f t="shared" si="14"/>
        <v>#N/A</v>
      </c>
      <c r="X27" s="709"/>
      <c r="Y27" s="372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6"/>
      <c r="Q28" s="1351" t="str">
        <f t="shared" si="11"/>
        <v>物业等级</v>
      </c>
      <c r="R28" s="704" t="s">
        <v>14</v>
      </c>
      <c r="S28" s="705">
        <f t="shared" si="12"/>
        <v>100</v>
      </c>
      <c r="T28" s="704" t="s">
        <v>14</v>
      </c>
      <c r="U28" s="705">
        <f t="shared" si="13"/>
        <v>100</v>
      </c>
      <c r="V28" s="704" t="s">
        <v>14</v>
      </c>
      <c r="W28" s="705">
        <f t="shared" si="14"/>
        <v>100</v>
      </c>
      <c r="X28" s="1354"/>
      <c r="Y28" s="372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6"/>
      <c r="Q29" s="1351" t="str">
        <f t="shared" si="11"/>
        <v>有无电梯</v>
      </c>
      <c r="R29" s="704" t="s">
        <v>14</v>
      </c>
      <c r="S29" s="705">
        <f t="shared" si="12"/>
        <v>100</v>
      </c>
      <c r="T29" s="704" t="s">
        <v>14</v>
      </c>
      <c r="U29" s="705">
        <f t="shared" si="13"/>
        <v>100</v>
      </c>
      <c r="V29" s="704" t="s">
        <v>14</v>
      </c>
      <c r="W29" s="705">
        <f t="shared" si="14"/>
        <v>100</v>
      </c>
      <c r="X29" s="1354"/>
      <c r="Y29" s="372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6"/>
      <c r="Q30" s="1351" t="str">
        <f t="shared" si="11"/>
        <v>建筑面积</v>
      </c>
      <c r="R30" s="704" t="s">
        <v>14</v>
      </c>
      <c r="S30" s="705" t="e">
        <f t="shared" si="12"/>
        <v>#N/A</v>
      </c>
      <c r="T30" s="704" t="s">
        <v>14</v>
      </c>
      <c r="U30" s="705" t="e">
        <f t="shared" si="13"/>
        <v>#N/A</v>
      </c>
      <c r="V30" s="704" t="s">
        <v>14</v>
      </c>
      <c r="W30" s="705" t="e">
        <f t="shared" si="14"/>
        <v>#N/A</v>
      </c>
      <c r="X30" s="1354"/>
      <c r="Y30" s="372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6"/>
      <c r="Q31" s="1342" t="str">
        <f t="shared" si="11"/>
        <v>是否封闭</v>
      </c>
      <c r="R31" s="700" t="s">
        <v>14</v>
      </c>
      <c r="S31" s="701">
        <f t="shared" si="12"/>
        <v>100</v>
      </c>
      <c r="T31" s="700" t="s">
        <v>14</v>
      </c>
      <c r="U31" s="701">
        <f t="shared" si="13"/>
        <v>100</v>
      </c>
      <c r="V31" s="700" t="s">
        <v>14</v>
      </c>
      <c r="W31" s="701">
        <f t="shared" si="14"/>
        <v>100</v>
      </c>
      <c r="X31" s="702"/>
      <c r="Y31" s="372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6" t="s">
        <v>1696</v>
      </c>
      <c r="Q32" s="1351">
        <f t="shared" si="11"/>
        <v>111</v>
      </c>
      <c r="R32" s="704" t="s">
        <v>14</v>
      </c>
      <c r="S32" s="705">
        <f t="shared" si="12"/>
        <v>100</v>
      </c>
      <c r="T32" s="704" t="s">
        <v>14</v>
      </c>
      <c r="U32" s="705">
        <f t="shared" si="13"/>
        <v>100</v>
      </c>
      <c r="V32" s="704" t="s">
        <v>14</v>
      </c>
      <c r="W32" s="705">
        <f t="shared" si="14"/>
        <v>100</v>
      </c>
      <c r="X32" s="1354"/>
      <c r="Y32" s="372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6"/>
      <c r="Q33" s="1351">
        <f t="shared" si="11"/>
        <v>111</v>
      </c>
      <c r="R33" s="704" t="s">
        <v>14</v>
      </c>
      <c r="S33" s="705">
        <f t="shared" si="12"/>
        <v>100</v>
      </c>
      <c r="T33" s="704" t="s">
        <v>14</v>
      </c>
      <c r="U33" s="705">
        <f t="shared" si="13"/>
        <v>100</v>
      </c>
      <c r="V33" s="704" t="s">
        <v>14</v>
      </c>
      <c r="W33" s="705">
        <f t="shared" si="14"/>
        <v>100</v>
      </c>
      <c r="X33" s="1354"/>
      <c r="Y33" s="372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26"/>
      <c r="Q34" s="1351">
        <f t="shared" si="11"/>
        <v>111</v>
      </c>
      <c r="R34" s="704" t="s">
        <v>14</v>
      </c>
      <c r="S34" s="705">
        <f t="shared" si="12"/>
        <v>100</v>
      </c>
      <c r="T34" s="704" t="s">
        <v>14</v>
      </c>
      <c r="U34" s="705">
        <f t="shared" si="13"/>
        <v>100</v>
      </c>
      <c r="V34" s="704" t="s">
        <v>14</v>
      </c>
      <c r="W34" s="705">
        <f t="shared" si="14"/>
        <v>100</v>
      </c>
      <c r="X34" s="1354"/>
      <c r="Y34" s="372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714" t="str">
        <f>A35</f>
        <v>成交单价（元/平方米）</v>
      </c>
      <c r="Q35" s="3714"/>
      <c r="R35" s="3715">
        <f>E35</f>
        <v>0</v>
      </c>
      <c r="S35" s="3715"/>
      <c r="T35" s="3715">
        <f>G35</f>
        <v>0</v>
      </c>
      <c r="U35" s="3715"/>
      <c r="V35" s="3715">
        <f>I35</f>
        <v>0</v>
      </c>
      <c r="W35" s="371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16" t="str">
        <f>A37</f>
        <v>估价对象XX用房的比较价值（楼面单价，元/平方米）</v>
      </c>
      <c r="Q37" s="3717"/>
      <c r="R37" s="3832" t="e">
        <f>IF(F1="售价",ROUND(IF(D36="简单平均",AVERAGE(R36:W36),R36*F36+T36*H36+V36*J36),0),ROUND(IF(D36="简单平均",AVERAGE(R36:V36),R36*F36+T36*H36+V36*J36),1))</f>
        <v>#DIV/0!</v>
      </c>
      <c r="S37" s="3832"/>
      <c r="T37" s="3832"/>
      <c r="U37" s="3832"/>
      <c r="V37" s="3832"/>
      <c r="W37" s="3832"/>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8" priority="18" stopIfTrue="1" operator="containsText" text="超过">
      <formula>NOT(ISERROR(SEARCH("超过",F40)))</formula>
    </cfRule>
  </conditionalFormatting>
  <conditionalFormatting sqref="J42">
    <cfRule type="containsText" dxfId="87" priority="17" stopIfTrue="1" operator="containsText" text="超过">
      <formula>NOT(ISERROR(SEARCH("超过",J42)))</formula>
    </cfRule>
  </conditionalFormatting>
  <conditionalFormatting sqref="H42">
    <cfRule type="containsText" dxfId="86" priority="16" stopIfTrue="1" operator="containsText" text="超过">
      <formula>NOT(ISERROR(SEARCH("超过",H42)))</formula>
    </cfRule>
  </conditionalFormatting>
  <conditionalFormatting sqref="F42">
    <cfRule type="containsText" dxfId="85" priority="15" stopIfTrue="1" operator="containsText" text="超过">
      <formula>NOT(ISERROR(SEARCH("超过",F42)))</formula>
    </cfRule>
  </conditionalFormatting>
  <conditionalFormatting sqref="F41 H41 J41">
    <cfRule type="containsText" dxfId="84" priority="14" stopIfTrue="1" operator="containsText" text="超过">
      <formula>NOT(ISERROR(SEARCH("超过",F41)))</formula>
    </cfRule>
  </conditionalFormatting>
  <conditionalFormatting sqref="E40">
    <cfRule type="expression" dxfId="83" priority="13" stopIfTrue="1">
      <formula>$F$40="超过30%"</formula>
    </cfRule>
  </conditionalFormatting>
  <conditionalFormatting sqref="G42">
    <cfRule type="expression" dxfId="82" priority="12" stopIfTrue="1">
      <formula>$H$54+$H$42="超过30%"</formula>
    </cfRule>
  </conditionalFormatting>
  <conditionalFormatting sqref="E41">
    <cfRule type="expression" dxfId="81" priority="11" stopIfTrue="1">
      <formula>$F$41="超过20%"</formula>
    </cfRule>
  </conditionalFormatting>
  <conditionalFormatting sqref="E42">
    <cfRule type="expression" dxfId="80" priority="10" stopIfTrue="1">
      <formula>$F$42="超过30%"</formula>
    </cfRule>
  </conditionalFormatting>
  <conditionalFormatting sqref="G40">
    <cfRule type="expression" dxfId="79" priority="9" stopIfTrue="1">
      <formula>$H$52+$H$40="超过30%"</formula>
    </cfRule>
  </conditionalFormatting>
  <conditionalFormatting sqref="G41">
    <cfRule type="expression" dxfId="78" priority="8" stopIfTrue="1">
      <formula>$H$53+$H$41="超过20%"</formula>
    </cfRule>
  </conditionalFormatting>
  <conditionalFormatting sqref="I40">
    <cfRule type="expression" dxfId="77" priority="7" stopIfTrue="1">
      <formula>$J$40="超过30%"</formula>
    </cfRule>
  </conditionalFormatting>
  <conditionalFormatting sqref="I41">
    <cfRule type="expression" dxfId="76" priority="6" stopIfTrue="1">
      <formula>$J$41="超过20%"</formula>
    </cfRule>
  </conditionalFormatting>
  <conditionalFormatting sqref="I42">
    <cfRule type="expression" dxfId="75" priority="5" stopIfTrue="1">
      <formula>$J$42="超过30%"</formula>
    </cfRule>
  </conditionalFormatting>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F7:F34 H7:H34 J7:J34">
    <cfRule type="cellIs" dxfId="7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33" t="s">
        <v>1770</v>
      </c>
      <c r="D4" s="3734"/>
      <c r="E4" s="3735" t="s">
        <v>1771</v>
      </c>
      <c r="F4" s="3736"/>
      <c r="G4" s="3733" t="s">
        <v>1772</v>
      </c>
      <c r="H4" s="3734"/>
      <c r="I4" s="3733" t="s">
        <v>1773</v>
      </c>
      <c r="J4" s="3734"/>
      <c r="K4" s="559" t="s">
        <v>1774</v>
      </c>
      <c r="L4" s="2712"/>
      <c r="M4" s="2713"/>
      <c r="N4" s="2713"/>
      <c r="O4" s="2713"/>
      <c r="P4" s="3737" t="s">
        <v>1775</v>
      </c>
      <c r="Q4" s="3738"/>
      <c r="R4" s="3743" t="s">
        <v>1771</v>
      </c>
      <c r="S4" s="3744"/>
      <c r="T4" s="3743" t="s">
        <v>1772</v>
      </c>
      <c r="U4" s="3744"/>
      <c r="V4" s="3728" t="s">
        <v>1773</v>
      </c>
      <c r="W4" s="3728"/>
      <c r="X4" s="1354"/>
      <c r="Y4" s="3743" t="s">
        <v>1775</v>
      </c>
      <c r="Z4" s="3744"/>
      <c r="AA4" s="3730" t="s">
        <v>1771</v>
      </c>
      <c r="AB4" s="3731" t="s">
        <v>1772</v>
      </c>
      <c r="AC4" s="3730" t="s">
        <v>1773</v>
      </c>
    </row>
    <row r="5" spans="1:30" ht="15">
      <c r="A5" s="358"/>
      <c r="B5" s="359"/>
      <c r="C5" s="3756" t="s">
        <v>1673</v>
      </c>
      <c r="D5" s="3752"/>
      <c r="E5" s="3815" t="s">
        <v>1674</v>
      </c>
      <c r="F5" s="3760"/>
      <c r="G5" s="3756" t="s">
        <v>1675</v>
      </c>
      <c r="H5" s="3752"/>
      <c r="I5" s="3756" t="s">
        <v>1676</v>
      </c>
      <c r="J5" s="3752"/>
      <c r="K5" s="559"/>
      <c r="L5" s="2712"/>
      <c r="M5" s="2713"/>
      <c r="N5" s="2713"/>
      <c r="O5" s="2713"/>
      <c r="P5" s="3739"/>
      <c r="Q5" s="3740"/>
      <c r="R5" s="3745"/>
      <c r="S5" s="3746"/>
      <c r="T5" s="3745"/>
      <c r="U5" s="3746"/>
      <c r="V5" s="3728"/>
      <c r="W5" s="3728"/>
      <c r="X5" s="1354"/>
      <c r="Y5" s="3745"/>
      <c r="Z5" s="3746"/>
      <c r="AA5" s="3731"/>
      <c r="AB5" s="3731"/>
      <c r="AC5" s="3731"/>
    </row>
    <row r="6" spans="1:30" ht="15.75" thickBot="1">
      <c r="A6" s="360"/>
      <c r="B6" s="361"/>
      <c r="C6" s="3749" t="s">
        <v>1677</v>
      </c>
      <c r="D6" s="3750"/>
      <c r="E6" s="3757" t="s">
        <v>1677</v>
      </c>
      <c r="F6" s="3758"/>
      <c r="G6" s="3749" t="s">
        <v>1677</v>
      </c>
      <c r="H6" s="3750"/>
      <c r="I6" s="3749" t="s">
        <v>1677</v>
      </c>
      <c r="J6" s="3750"/>
      <c r="K6" s="559" t="s">
        <v>1678</v>
      </c>
      <c r="L6" s="2712"/>
      <c r="M6" s="2713"/>
      <c r="N6" s="2713"/>
      <c r="O6" s="2713"/>
      <c r="P6" s="3741"/>
      <c r="Q6" s="3742"/>
      <c r="R6" s="3745"/>
      <c r="S6" s="3746"/>
      <c r="T6" s="3747"/>
      <c r="U6" s="3748"/>
      <c r="V6" s="3728"/>
      <c r="W6" s="3728"/>
      <c r="X6" s="1354"/>
      <c r="Y6" s="3747"/>
      <c r="Z6" s="3748"/>
      <c r="AA6" s="3732"/>
      <c r="AB6" s="3732"/>
      <c r="AC6" s="3732"/>
    </row>
    <row r="7" spans="1:30" s="108" customFormat="1" ht="15.75" thickBot="1">
      <c r="A7" s="362" t="s">
        <v>1679</v>
      </c>
      <c r="B7" s="363"/>
      <c r="C7" s="364">
        <f>'数据-取费表'!B2</f>
        <v>44944</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53" t="s">
        <v>1683</v>
      </c>
      <c r="Q8" s="3754"/>
      <c r="R8" s="700" t="s">
        <v>14</v>
      </c>
      <c r="S8" s="701">
        <f t="shared" si="0"/>
        <v>0</v>
      </c>
      <c r="T8" s="700" t="s">
        <v>14</v>
      </c>
      <c r="U8" s="701">
        <f t="shared" si="1"/>
        <v>0</v>
      </c>
      <c r="V8" s="700" t="s">
        <v>14</v>
      </c>
      <c r="W8" s="701">
        <f t="shared" si="2"/>
        <v>0</v>
      </c>
      <c r="X8" s="702"/>
      <c r="Y8" s="3753" t="s">
        <v>1683</v>
      </c>
      <c r="Z8" s="375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14"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6"/>
      <c r="M10" s="2717"/>
      <c r="N10" s="2717"/>
      <c r="O10" s="2770"/>
      <c r="P10" s="3714"/>
      <c r="Q10" s="1342" t="str">
        <f t="shared" si="6"/>
        <v>土地使用年限（年）</v>
      </c>
      <c r="R10" s="700" t="s">
        <v>14</v>
      </c>
      <c r="S10" s="701">
        <f t="shared" si="0"/>
        <v>116</v>
      </c>
      <c r="T10" s="700" t="s">
        <v>14</v>
      </c>
      <c r="U10" s="701">
        <f t="shared" si="1"/>
        <v>116</v>
      </c>
      <c r="V10" s="700" t="s">
        <v>14</v>
      </c>
      <c r="W10" s="701">
        <f t="shared" si="2"/>
        <v>116</v>
      </c>
      <c r="X10" s="702"/>
      <c r="Y10" s="3622"/>
      <c r="Z10" s="52" t="str">
        <f t="shared" si="7"/>
        <v>土地使用年限（年）</v>
      </c>
      <c r="AA10" s="703">
        <f t="shared" si="3"/>
        <v>0.86206896551724133</v>
      </c>
      <c r="AB10" s="703">
        <f t="shared" si="4"/>
        <v>0.86206896551724133</v>
      </c>
      <c r="AC10" s="703">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4"/>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4"/>
      <c r="Q12" s="1342" t="str">
        <f t="shared" si="6"/>
        <v>配建</v>
      </c>
      <c r="R12" s="700" t="s">
        <v>14</v>
      </c>
      <c r="S12" s="701">
        <f t="shared" si="0"/>
        <v>100</v>
      </c>
      <c r="T12" s="700" t="s">
        <v>14</v>
      </c>
      <c r="U12" s="701">
        <f t="shared" si="1"/>
        <v>100</v>
      </c>
      <c r="V12" s="700" t="s">
        <v>14</v>
      </c>
      <c r="W12" s="701">
        <f t="shared" si="2"/>
        <v>100</v>
      </c>
      <c r="X12" s="702"/>
      <c r="Y12" s="362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4"/>
      <c r="Q13" s="1342">
        <f t="shared" si="6"/>
        <v>111</v>
      </c>
      <c r="R13" s="700" t="s">
        <v>14</v>
      </c>
      <c r="S13" s="701">
        <f t="shared" si="0"/>
        <v>100</v>
      </c>
      <c r="T13" s="700" t="s">
        <v>14</v>
      </c>
      <c r="U13" s="701">
        <f t="shared" si="1"/>
        <v>100</v>
      </c>
      <c r="V13" s="700" t="s">
        <v>14</v>
      </c>
      <c r="W13" s="701">
        <f t="shared" si="2"/>
        <v>100</v>
      </c>
      <c r="X13" s="702"/>
      <c r="Y13" s="362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4"/>
      <c r="Q14" s="1342">
        <f t="shared" si="6"/>
        <v>111</v>
      </c>
      <c r="R14" s="700" t="s">
        <v>14</v>
      </c>
      <c r="S14" s="701">
        <f t="shared" si="0"/>
        <v>100</v>
      </c>
      <c r="T14" s="700" t="s">
        <v>14</v>
      </c>
      <c r="U14" s="701">
        <f t="shared" si="1"/>
        <v>100</v>
      </c>
      <c r="V14" s="700" t="s">
        <v>14</v>
      </c>
      <c r="W14" s="701">
        <f t="shared" si="2"/>
        <v>100</v>
      </c>
      <c r="X14" s="702"/>
      <c r="Y14" s="362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1" t="s">
        <v>1691</v>
      </c>
      <c r="Q15" s="1351" t="str">
        <f t="shared" si="6"/>
        <v>居住社区成熟度</v>
      </c>
      <c r="R15" s="704" t="s">
        <v>14</v>
      </c>
      <c r="S15" s="705">
        <f t="shared" si="0"/>
        <v>100</v>
      </c>
      <c r="T15" s="704" t="s">
        <v>14</v>
      </c>
      <c r="U15" s="705">
        <f t="shared" si="1"/>
        <v>100</v>
      </c>
      <c r="V15" s="704" t="s">
        <v>14</v>
      </c>
      <c r="W15" s="705">
        <f t="shared" si="2"/>
        <v>100</v>
      </c>
      <c r="X15" s="1354"/>
      <c r="Y15" s="372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22"/>
      <c r="Q16" s="1351"/>
      <c r="R16" s="704"/>
      <c r="S16" s="705"/>
      <c r="T16" s="704"/>
      <c r="U16" s="705"/>
      <c r="V16" s="704"/>
      <c r="W16" s="705"/>
      <c r="X16" s="1354"/>
      <c r="Y16" s="372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2"/>
      <c r="Q17" s="1351" t="str">
        <f>B17</f>
        <v>商业繁华度</v>
      </c>
      <c r="R17" s="704" t="s">
        <v>14</v>
      </c>
      <c r="S17" s="705">
        <f>F17</f>
        <v>100</v>
      </c>
      <c r="T17" s="704" t="s">
        <v>14</v>
      </c>
      <c r="U17" s="705">
        <f>H17</f>
        <v>100</v>
      </c>
      <c r="V17" s="704" t="s">
        <v>14</v>
      </c>
      <c r="W17" s="705">
        <f>J17</f>
        <v>100</v>
      </c>
      <c r="X17" s="1354"/>
      <c r="Y17" s="372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22"/>
      <c r="Q18" s="1351"/>
      <c r="R18" s="704"/>
      <c r="S18" s="705"/>
      <c r="T18" s="704"/>
      <c r="U18" s="705"/>
      <c r="V18" s="704"/>
      <c r="W18" s="705"/>
      <c r="X18" s="1354"/>
      <c r="Y18" s="372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2"/>
      <c r="Q19" s="1351" t="str">
        <f>B19</f>
        <v>办公集聚程度</v>
      </c>
      <c r="R19" s="704" t="s">
        <v>14</v>
      </c>
      <c r="S19" s="705">
        <f>F19</f>
        <v>100</v>
      </c>
      <c r="T19" s="704" t="s">
        <v>14</v>
      </c>
      <c r="U19" s="705">
        <f>H19</f>
        <v>100</v>
      </c>
      <c r="V19" s="704" t="s">
        <v>14</v>
      </c>
      <c r="W19" s="705">
        <f>J19</f>
        <v>100</v>
      </c>
      <c r="X19" s="1354"/>
      <c r="Y19" s="372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22"/>
      <c r="Q20" s="1351"/>
      <c r="R20" s="704"/>
      <c r="S20" s="705"/>
      <c r="T20" s="704"/>
      <c r="U20" s="705"/>
      <c r="V20" s="704"/>
      <c r="W20" s="705"/>
      <c r="X20" s="1354"/>
      <c r="Y20" s="372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2"/>
      <c r="Q21" s="1351" t="str">
        <f>B21</f>
        <v>交通便捷度</v>
      </c>
      <c r="R21" s="704" t="s">
        <v>14</v>
      </c>
      <c r="S21" s="705">
        <f>F21</f>
        <v>100</v>
      </c>
      <c r="T21" s="704" t="s">
        <v>14</v>
      </c>
      <c r="U21" s="705">
        <f>H21</f>
        <v>100</v>
      </c>
      <c r="V21" s="704" t="s">
        <v>14</v>
      </c>
      <c r="W21" s="705">
        <f>J21</f>
        <v>100</v>
      </c>
      <c r="X21" s="1354"/>
      <c r="Y21" s="372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22"/>
      <c r="Q22" s="1351"/>
      <c r="R22" s="704"/>
      <c r="S22" s="705"/>
      <c r="T22" s="704"/>
      <c r="U22" s="705"/>
      <c r="V22" s="704"/>
      <c r="W22" s="705"/>
      <c r="X22" s="1354"/>
      <c r="Y22" s="372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2"/>
      <c r="Q23" s="1351" t="str">
        <f t="shared" ref="Q23:Q37" si="8">B23</f>
        <v>区域土地利用方向</v>
      </c>
      <c r="R23" s="704" t="s">
        <v>14</v>
      </c>
      <c r="S23" s="705">
        <f>F23</f>
        <v>100</v>
      </c>
      <c r="T23" s="704" t="s">
        <v>14</v>
      </c>
      <c r="U23" s="705">
        <f>H23</f>
        <v>100</v>
      </c>
      <c r="V23" s="704" t="s">
        <v>14</v>
      </c>
      <c r="W23" s="705">
        <f>J23</f>
        <v>100</v>
      </c>
      <c r="X23" s="1354"/>
      <c r="Y23" s="372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22"/>
      <c r="Q24" s="1351"/>
      <c r="R24" s="704"/>
      <c r="S24" s="705"/>
      <c r="T24" s="704"/>
      <c r="U24" s="705"/>
      <c r="V24" s="704"/>
      <c r="W24" s="705"/>
      <c r="X24" s="1354"/>
      <c r="Y24" s="372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2"/>
      <c r="Q25" s="1351" t="str">
        <f t="shared" si="8"/>
        <v>自然及人文环境状况</v>
      </c>
      <c r="R25" s="704" t="s">
        <v>14</v>
      </c>
      <c r="S25" s="705">
        <f>F25</f>
        <v>100</v>
      </c>
      <c r="T25" s="704" t="s">
        <v>14</v>
      </c>
      <c r="U25" s="705">
        <f>H25</f>
        <v>100</v>
      </c>
      <c r="V25" s="704" t="s">
        <v>14</v>
      </c>
      <c r="W25" s="705">
        <f>J25</f>
        <v>100</v>
      </c>
      <c r="X25" s="1354"/>
      <c r="Y25" s="372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22"/>
      <c r="Q26" s="1351"/>
      <c r="R26" s="704"/>
      <c r="S26" s="705"/>
      <c r="T26" s="704"/>
      <c r="U26" s="705"/>
      <c r="V26" s="704"/>
      <c r="W26" s="705"/>
      <c r="X26" s="1354"/>
      <c r="Y26" s="3722"/>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2"/>
      <c r="Q27" s="1342" t="str">
        <f t="shared" si="8"/>
        <v>公共配套设施</v>
      </c>
      <c r="R27" s="700" t="s">
        <v>14</v>
      </c>
      <c r="S27" s="701">
        <f>F27</f>
        <v>100</v>
      </c>
      <c r="T27" s="700" t="s">
        <v>14</v>
      </c>
      <c r="U27" s="701">
        <f>H27</f>
        <v>100</v>
      </c>
      <c r="V27" s="700" t="s">
        <v>14</v>
      </c>
      <c r="W27" s="701">
        <f>J27</f>
        <v>100</v>
      </c>
      <c r="X27" s="702"/>
      <c r="Y27" s="372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22"/>
      <c r="Q28" s="1342"/>
      <c r="R28" s="700"/>
      <c r="S28" s="701"/>
      <c r="T28" s="700"/>
      <c r="U28" s="701"/>
      <c r="V28" s="700"/>
      <c r="W28" s="701"/>
      <c r="X28" s="702"/>
      <c r="Y28" s="3722"/>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2"/>
      <c r="Q29" s="1342" t="str">
        <f t="shared" ref="Q29" si="9">B29</f>
        <v>基础设施水平</v>
      </c>
      <c r="R29" s="700" t="s">
        <v>14</v>
      </c>
      <c r="S29" s="701">
        <f>F29</f>
        <v>100</v>
      </c>
      <c r="T29" s="700" t="s">
        <v>14</v>
      </c>
      <c r="U29" s="701">
        <f>H29</f>
        <v>100</v>
      </c>
      <c r="V29" s="700" t="s">
        <v>14</v>
      </c>
      <c r="W29" s="701">
        <f>J29</f>
        <v>100</v>
      </c>
      <c r="X29" s="702"/>
      <c r="Y29" s="372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22"/>
      <c r="Q30" s="1342"/>
      <c r="R30" s="700"/>
      <c r="S30" s="701"/>
      <c r="T30" s="700"/>
      <c r="U30" s="701"/>
      <c r="V30" s="700"/>
      <c r="W30" s="701"/>
      <c r="X30" s="702"/>
      <c r="Y30" s="372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2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2"/>
      <c r="Q32" s="1351" t="str">
        <f t="shared" si="8"/>
        <v>毗邻道路的类型与等级</v>
      </c>
      <c r="R32" s="704" t="s">
        <v>14</v>
      </c>
      <c r="S32" s="705">
        <f t="shared" si="10"/>
        <v>100</v>
      </c>
      <c r="T32" s="704" t="s">
        <v>14</v>
      </c>
      <c r="U32" s="705">
        <f t="shared" si="11"/>
        <v>100</v>
      </c>
      <c r="V32" s="704" t="s">
        <v>14</v>
      </c>
      <c r="W32" s="705">
        <f t="shared" si="12"/>
        <v>100</v>
      </c>
      <c r="X32" s="1354"/>
      <c r="Y32" s="372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22"/>
      <c r="Q33" s="1351"/>
      <c r="R33" s="704"/>
      <c r="S33" s="705"/>
      <c r="T33" s="704"/>
      <c r="U33" s="705"/>
      <c r="V33" s="704"/>
      <c r="W33" s="705"/>
      <c r="X33" s="1354"/>
      <c r="Y33" s="372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2"/>
      <c r="Q34" s="1351" t="str">
        <f t="shared" si="8"/>
        <v>土地级别</v>
      </c>
      <c r="R34" s="704" t="s">
        <v>14</v>
      </c>
      <c r="S34" s="705">
        <f t="shared" si="10"/>
        <v>100</v>
      </c>
      <c r="T34" s="704" t="s">
        <v>14</v>
      </c>
      <c r="U34" s="705">
        <f t="shared" si="11"/>
        <v>100</v>
      </c>
      <c r="V34" s="704" t="s">
        <v>14</v>
      </c>
      <c r="W34" s="705">
        <f t="shared" si="12"/>
        <v>100</v>
      </c>
      <c r="X34" s="1354"/>
      <c r="Y34" s="372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2"/>
      <c r="Q35" s="1351">
        <f t="shared" si="8"/>
        <v>111</v>
      </c>
      <c r="R35" s="704" t="s">
        <v>14</v>
      </c>
      <c r="S35" s="705">
        <f t="shared" si="10"/>
        <v>100</v>
      </c>
      <c r="T35" s="704" t="s">
        <v>14</v>
      </c>
      <c r="U35" s="705">
        <f t="shared" si="11"/>
        <v>100</v>
      </c>
      <c r="V35" s="704" t="s">
        <v>14</v>
      </c>
      <c r="W35" s="705">
        <f t="shared" si="12"/>
        <v>100</v>
      </c>
      <c r="X35" s="1354"/>
      <c r="Y35" s="372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31" t="s">
        <v>1696</v>
      </c>
      <c r="Q36" s="1351">
        <f t="shared" si="8"/>
        <v>111</v>
      </c>
      <c r="R36" s="704" t="s">
        <v>14</v>
      </c>
      <c r="S36" s="705">
        <f t="shared" si="10"/>
        <v>100</v>
      </c>
      <c r="T36" s="704" t="s">
        <v>14</v>
      </c>
      <c r="U36" s="705">
        <f t="shared" si="11"/>
        <v>100</v>
      </c>
      <c r="V36" s="704" t="s">
        <v>14</v>
      </c>
      <c r="W36" s="705">
        <f t="shared" si="12"/>
        <v>100</v>
      </c>
      <c r="X36" s="1354"/>
      <c r="Y36" s="372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6"/>
      <c r="Q37" s="1351">
        <f t="shared" si="8"/>
        <v>111</v>
      </c>
      <c r="R37" s="707" t="s">
        <v>14</v>
      </c>
      <c r="S37" s="708">
        <f t="shared" si="10"/>
        <v>100</v>
      </c>
      <c r="T37" s="707" t="s">
        <v>14</v>
      </c>
      <c r="U37" s="708">
        <f t="shared" si="11"/>
        <v>100</v>
      </c>
      <c r="V37" s="707" t="s">
        <v>14</v>
      </c>
      <c r="W37" s="708">
        <f t="shared" si="12"/>
        <v>100</v>
      </c>
      <c r="X37" s="709"/>
      <c r="Y37" s="3726"/>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6"/>
      <c r="Q38" s="1351" t="str">
        <f>B38</f>
        <v>宗地面积</v>
      </c>
      <c r="R38" s="704" t="s">
        <v>14</v>
      </c>
      <c r="S38" s="705" t="e">
        <f t="shared" si="10"/>
        <v>#N/A</v>
      </c>
      <c r="T38" s="704" t="s">
        <v>14</v>
      </c>
      <c r="U38" s="705" t="e">
        <f t="shared" si="11"/>
        <v>#N/A</v>
      </c>
      <c r="V38" s="704" t="s">
        <v>14</v>
      </c>
      <c r="W38" s="705" t="e">
        <f t="shared" si="12"/>
        <v>#N/A</v>
      </c>
      <c r="X38" s="1354"/>
      <c r="Y38" s="372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26"/>
      <c r="Q39" s="1351" t="str">
        <f t="shared" ref="Q39:Q45" si="14">B39</f>
        <v>宗地形状</v>
      </c>
      <c r="R39" s="704" t="s">
        <v>14</v>
      </c>
      <c r="S39" s="705">
        <f t="shared" si="10"/>
        <v>100</v>
      </c>
      <c r="T39" s="704" t="s">
        <v>14</v>
      </c>
      <c r="U39" s="705">
        <f t="shared" si="11"/>
        <v>100</v>
      </c>
      <c r="V39" s="704" t="s">
        <v>14</v>
      </c>
      <c r="W39" s="705">
        <f t="shared" si="12"/>
        <v>100</v>
      </c>
      <c r="X39" s="1354"/>
      <c r="Y39" s="372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26"/>
      <c r="Q40" s="1351" t="str">
        <f t="shared" si="14"/>
        <v>临街宽度及深度</v>
      </c>
      <c r="R40" s="704" t="s">
        <v>14</v>
      </c>
      <c r="S40" s="705">
        <f t="shared" si="10"/>
        <v>100</v>
      </c>
      <c r="T40" s="704" t="s">
        <v>14</v>
      </c>
      <c r="U40" s="705">
        <f t="shared" si="11"/>
        <v>100</v>
      </c>
      <c r="V40" s="704" t="s">
        <v>14</v>
      </c>
      <c r="W40" s="705">
        <f t="shared" si="12"/>
        <v>100</v>
      </c>
      <c r="X40" s="1354"/>
      <c r="Y40" s="372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26"/>
      <c r="Q41" s="1351" t="str">
        <f t="shared" si="14"/>
        <v>宗地开发程度</v>
      </c>
      <c r="R41" s="700" t="s">
        <v>14</v>
      </c>
      <c r="S41" s="701">
        <f t="shared" si="10"/>
        <v>100</v>
      </c>
      <c r="T41" s="700" t="s">
        <v>14</v>
      </c>
      <c r="U41" s="701">
        <f t="shared" si="11"/>
        <v>100</v>
      </c>
      <c r="V41" s="700" t="s">
        <v>14</v>
      </c>
      <c r="W41" s="701">
        <f t="shared" si="12"/>
        <v>100</v>
      </c>
      <c r="X41" s="702"/>
      <c r="Y41" s="372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26" t="s">
        <v>1696</v>
      </c>
      <c r="Q42" s="1351" t="str">
        <f t="shared" si="14"/>
        <v>工程地质条件</v>
      </c>
      <c r="R42" s="704" t="s">
        <v>14</v>
      </c>
      <c r="S42" s="705">
        <f t="shared" si="10"/>
        <v>100</v>
      </c>
      <c r="T42" s="704" t="s">
        <v>14</v>
      </c>
      <c r="U42" s="705">
        <f t="shared" si="11"/>
        <v>100</v>
      </c>
      <c r="V42" s="704" t="s">
        <v>14</v>
      </c>
      <c r="W42" s="705">
        <f t="shared" si="12"/>
        <v>100</v>
      </c>
      <c r="X42" s="1354"/>
      <c r="Y42" s="372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6"/>
      <c r="Q43" s="1351">
        <f t="shared" si="14"/>
        <v>111</v>
      </c>
      <c r="R43" s="704" t="s">
        <v>14</v>
      </c>
      <c r="S43" s="705">
        <f t="shared" si="10"/>
        <v>100</v>
      </c>
      <c r="T43" s="704" t="s">
        <v>14</v>
      </c>
      <c r="U43" s="705">
        <f t="shared" si="11"/>
        <v>100</v>
      </c>
      <c r="V43" s="704" t="s">
        <v>14</v>
      </c>
      <c r="W43" s="705">
        <f t="shared" si="12"/>
        <v>100</v>
      </c>
      <c r="X43" s="1354"/>
      <c r="Y43" s="372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6"/>
      <c r="Q44" s="1351">
        <f t="shared" si="14"/>
        <v>111</v>
      </c>
      <c r="R44" s="704" t="s">
        <v>14</v>
      </c>
      <c r="S44" s="705">
        <f t="shared" si="10"/>
        <v>100</v>
      </c>
      <c r="T44" s="704" t="s">
        <v>14</v>
      </c>
      <c r="U44" s="705">
        <f t="shared" si="11"/>
        <v>100</v>
      </c>
      <c r="V44" s="704" t="s">
        <v>14</v>
      </c>
      <c r="W44" s="705">
        <f t="shared" si="12"/>
        <v>100</v>
      </c>
      <c r="X44" s="1354"/>
      <c r="Y44" s="372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6"/>
      <c r="Q45" s="1351">
        <f t="shared" si="14"/>
        <v>111</v>
      </c>
      <c r="R45" s="707" t="s">
        <v>14</v>
      </c>
      <c r="S45" s="708">
        <f t="shared" si="10"/>
        <v>100</v>
      </c>
      <c r="T45" s="707" t="s">
        <v>14</v>
      </c>
      <c r="U45" s="708">
        <f t="shared" si="11"/>
        <v>100</v>
      </c>
      <c r="V45" s="707" t="s">
        <v>14</v>
      </c>
      <c r="W45" s="708">
        <f t="shared" si="12"/>
        <v>100</v>
      </c>
      <c r="X45" s="709"/>
      <c r="Y45" s="3726"/>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714" t="str">
        <f>A46</f>
        <v>成交单价</v>
      </c>
      <c r="Q46" s="3714"/>
      <c r="R46" s="3728">
        <f>E46</f>
        <v>0</v>
      </c>
      <c r="S46" s="3728"/>
      <c r="T46" s="3728">
        <f>G46</f>
        <v>0</v>
      </c>
      <c r="U46" s="3728"/>
      <c r="V46" s="3728">
        <f>I46</f>
        <v>0</v>
      </c>
      <c r="W46" s="3728"/>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714" t="str">
        <f>A47</f>
        <v>比较价值（元/平方米）</v>
      </c>
      <c r="Q47" s="3714"/>
      <c r="R47" s="3833" t="e">
        <f>ROUND(PRODUCT(R46,AA7:AA45),0)</f>
        <v>#DIV/0!</v>
      </c>
      <c r="S47" s="3833"/>
      <c r="T47" s="3833" t="e">
        <f>ROUND(PRODUCT(T46,AB7:AB45),0)</f>
        <v>#DIV/0!</v>
      </c>
      <c r="U47" s="3833"/>
      <c r="V47" s="3833" t="e">
        <f>ROUND(PRODUCT(V46,AC7:AC45),0)</f>
        <v>#DIV/0!</v>
      </c>
      <c r="W47" s="38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16" t="str">
        <f>A48</f>
        <v>估价对象XX用房的比较价值（楼面单价，元/平方米）</v>
      </c>
      <c r="Q48" s="3717"/>
      <c r="R48" s="3834" t="e">
        <f>ROUND(IF(D47="简单平均",AVERAGE(R47:W47),R47*F47+T47*H47+V47*J47),0)</f>
        <v>#DIV/0!</v>
      </c>
      <c r="S48" s="3834"/>
      <c r="T48" s="3834"/>
      <c r="U48" s="3834"/>
      <c r="V48" s="3834"/>
      <c r="W48" s="3834"/>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33" t="s">
        <v>1887</v>
      </c>
      <c r="H55" s="3835"/>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17619.28</v>
      </c>
      <c r="F56" s="885" t="e">
        <f t="shared" ref="F56:F64" si="15">ROUND(B56*E56/10000,0)</f>
        <v>#DIV/0!</v>
      </c>
      <c r="G56" s="3729"/>
      <c r="H56" s="3714"/>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0.6</v>
      </c>
      <c r="D57" s="944">
        <v>0.25</v>
      </c>
      <c r="E57" s="642"/>
      <c r="F57" s="885" t="e">
        <f t="shared" si="15"/>
        <v>#DIV/0!</v>
      </c>
      <c r="G57" s="3003" t="s">
        <v>1892</v>
      </c>
      <c r="H57" s="886" t="str">
        <f>项目基本情况!B37</f>
        <v>三级</v>
      </c>
      <c r="I57" s="890">
        <f>SUMIF(修正!A57:A68,H57,修正!B57:B68)</f>
        <v>0.6</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0.3</v>
      </c>
      <c r="D58" s="944">
        <v>0.25</v>
      </c>
      <c r="E58" s="642"/>
      <c r="F58" s="885" t="e">
        <f t="shared" si="15"/>
        <v>#DIV/0!</v>
      </c>
      <c r="G58" s="3004"/>
      <c r="H58" s="886" t="str">
        <f>项目基本情况!B37</f>
        <v>三级</v>
      </c>
      <c r="I58" s="890">
        <f>SUMIF(修正!A57:A68,H58,修正!C57:C68)</f>
        <v>0.3</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0.25</v>
      </c>
      <c r="D59" s="944">
        <v>0.25</v>
      </c>
      <c r="E59" s="642"/>
      <c r="F59" s="885" t="e">
        <f t="shared" si="15"/>
        <v>#DIV/0!</v>
      </c>
      <c r="G59" s="3004"/>
      <c r="H59" s="886" t="str">
        <f>项目基本情况!B37</f>
        <v>三级</v>
      </c>
      <c r="I59" s="890">
        <f>SUMIF(修正!A57:A68,H59,修正!D57:D68)</f>
        <v>0.25</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0.15</v>
      </c>
      <c r="D63" s="944">
        <v>0.25</v>
      </c>
      <c r="E63" s="217">
        <f>'数据-汇总表'!E14</f>
        <v>0</v>
      </c>
      <c r="F63" s="885" t="e">
        <f t="shared" si="15"/>
        <v>#DIV/0!</v>
      </c>
      <c r="G63" s="1986" t="s">
        <v>1892</v>
      </c>
      <c r="H63" s="886" t="str">
        <f>项目基本情况!B37</f>
        <v>三级</v>
      </c>
      <c r="I63" s="890">
        <f>SUMIF(修正!A57:A68,H63,修正!G57:G68)</f>
        <v>0.15</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17619.28</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2023-1-1</v>
      </c>
      <c r="D67" s="691">
        <f>EDATE(C67,-3)</f>
        <v>44835</v>
      </c>
      <c r="E67" s="691">
        <f>EDATE(D67,-3)</f>
        <v>44743</v>
      </c>
      <c r="F67" s="691">
        <f t="shared" ref="F67:O67" si="18">EDATE(E67,-3)</f>
        <v>44652</v>
      </c>
      <c r="G67" s="691">
        <f t="shared" si="18"/>
        <v>44562</v>
      </c>
      <c r="H67" s="691">
        <f t="shared" si="18"/>
        <v>44470</v>
      </c>
      <c r="I67" s="691">
        <f t="shared" si="18"/>
        <v>44378</v>
      </c>
      <c r="J67" s="691">
        <f t="shared" si="18"/>
        <v>44287</v>
      </c>
      <c r="K67" s="691">
        <f t="shared" si="18"/>
        <v>44197</v>
      </c>
      <c r="L67" s="691">
        <f t="shared" si="18"/>
        <v>44105</v>
      </c>
      <c r="M67" s="691">
        <f t="shared" si="18"/>
        <v>44013</v>
      </c>
      <c r="N67" s="691">
        <f t="shared" si="18"/>
        <v>43922</v>
      </c>
      <c r="O67" s="691">
        <f t="shared" si="18"/>
        <v>43831</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0" priority="18" stopIfTrue="1" operator="containsText" text="超过">
      <formula>NOT(ISERROR(SEARCH("超过",F51)))</formula>
    </cfRule>
  </conditionalFormatting>
  <conditionalFormatting sqref="J53">
    <cfRule type="containsText" dxfId="69" priority="17" stopIfTrue="1" operator="containsText" text="超过">
      <formula>NOT(ISERROR(SEARCH("超过",J53)))</formula>
    </cfRule>
  </conditionalFormatting>
  <conditionalFormatting sqref="H53">
    <cfRule type="containsText" dxfId="68" priority="16" stopIfTrue="1" operator="containsText" text="超过">
      <formula>NOT(ISERROR(SEARCH("超过",H53)))</formula>
    </cfRule>
  </conditionalFormatting>
  <conditionalFormatting sqref="F53">
    <cfRule type="containsText" dxfId="67" priority="15" stopIfTrue="1" operator="containsText" text="超过">
      <formula>NOT(ISERROR(SEARCH("超过",F53)))</formula>
    </cfRule>
  </conditionalFormatting>
  <conditionalFormatting sqref="F52 H52 J52">
    <cfRule type="containsText" dxfId="66" priority="14" stopIfTrue="1" operator="containsText" text="超过">
      <formula>NOT(ISERROR(SEARCH("超过",F52)))</formula>
    </cfRule>
  </conditionalFormatting>
  <conditionalFormatting sqref="E51">
    <cfRule type="expression" dxfId="65" priority="13" stopIfTrue="1">
      <formula>$F$51="超过30%"</formula>
    </cfRule>
  </conditionalFormatting>
  <conditionalFormatting sqref="G53">
    <cfRule type="expression" dxfId="64" priority="12" stopIfTrue="1">
      <formula>$H$53="超过30%"</formula>
    </cfRule>
  </conditionalFormatting>
  <conditionalFormatting sqref="E52">
    <cfRule type="expression" dxfId="63" priority="11" stopIfTrue="1">
      <formula>$F$52="超过20%"</formula>
    </cfRule>
  </conditionalFormatting>
  <conditionalFormatting sqref="E53">
    <cfRule type="expression" dxfId="62" priority="10" stopIfTrue="1">
      <formula>$F$53="超过30%"</formula>
    </cfRule>
  </conditionalFormatting>
  <conditionalFormatting sqref="G51">
    <cfRule type="expression" dxfId="61" priority="9" stopIfTrue="1">
      <formula>$H$53+$H$51="超过30%"</formula>
    </cfRule>
  </conditionalFormatting>
  <conditionalFormatting sqref="G52">
    <cfRule type="expression" dxfId="60" priority="8" stopIfTrue="1">
      <formula>$H$52="超过20%"</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F47">
    <cfRule type="expression" dxfId="56" priority="4">
      <formula>$D$47="简单平均"</formula>
    </cfRule>
  </conditionalFormatting>
  <conditionalFormatting sqref="H47">
    <cfRule type="expression" dxfId="55" priority="3">
      <formula>$D$47="简单平均"</formula>
    </cfRule>
  </conditionalFormatting>
  <conditionalFormatting sqref="J47">
    <cfRule type="expression" dxfId="54" priority="2">
      <formula>$D$47="简单平均"</formula>
    </cfRule>
  </conditionalFormatting>
  <conditionalFormatting sqref="F7:F45 H7:H45 J7:J45">
    <cfRule type="cellIs" dxfId="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33" t="s">
        <v>1770</v>
      </c>
      <c r="D4" s="3734"/>
      <c r="E4" s="3735" t="s">
        <v>1771</v>
      </c>
      <c r="F4" s="3736"/>
      <c r="G4" s="3733" t="s">
        <v>1772</v>
      </c>
      <c r="H4" s="3734"/>
      <c r="I4" s="3733" t="s">
        <v>1773</v>
      </c>
      <c r="J4" s="3734"/>
      <c r="K4" s="559" t="s">
        <v>1774</v>
      </c>
      <c r="L4" s="2712"/>
      <c r="M4" s="2713"/>
      <c r="N4" s="2713"/>
      <c r="O4" s="2713"/>
      <c r="P4" s="3737" t="s">
        <v>1775</v>
      </c>
      <c r="Q4" s="3738"/>
      <c r="R4" s="3743" t="s">
        <v>1771</v>
      </c>
      <c r="S4" s="3744"/>
      <c r="T4" s="3743" t="s">
        <v>1772</v>
      </c>
      <c r="U4" s="3744"/>
      <c r="V4" s="3728" t="s">
        <v>1773</v>
      </c>
      <c r="W4" s="3728"/>
      <c r="X4" s="1354"/>
      <c r="Y4" s="3743" t="s">
        <v>1775</v>
      </c>
      <c r="Z4" s="3744"/>
      <c r="AA4" s="3730" t="s">
        <v>1771</v>
      </c>
      <c r="AB4" s="3731" t="s">
        <v>1772</v>
      </c>
      <c r="AC4" s="3730" t="s">
        <v>1773</v>
      </c>
    </row>
    <row r="5" spans="1:29" ht="15">
      <c r="A5" s="358"/>
      <c r="B5" s="359"/>
      <c r="C5" s="3756" t="s">
        <v>1673</v>
      </c>
      <c r="D5" s="3752"/>
      <c r="E5" s="3815" t="s">
        <v>1674</v>
      </c>
      <c r="F5" s="3760"/>
      <c r="G5" s="3756" t="s">
        <v>1675</v>
      </c>
      <c r="H5" s="3752"/>
      <c r="I5" s="3756" t="s">
        <v>1676</v>
      </c>
      <c r="J5" s="3752"/>
      <c r="K5" s="559"/>
      <c r="L5" s="2712"/>
      <c r="M5" s="2713"/>
      <c r="N5" s="2713"/>
      <c r="O5" s="2713"/>
      <c r="P5" s="3739"/>
      <c r="Q5" s="3740"/>
      <c r="R5" s="3745"/>
      <c r="S5" s="3746"/>
      <c r="T5" s="3745"/>
      <c r="U5" s="3746"/>
      <c r="V5" s="3728"/>
      <c r="W5" s="3728"/>
      <c r="X5" s="1354"/>
      <c r="Y5" s="3745"/>
      <c r="Z5" s="3746"/>
      <c r="AA5" s="3731"/>
      <c r="AB5" s="3731"/>
      <c r="AC5" s="3731"/>
    </row>
    <row r="6" spans="1:29" ht="15.75" thickBot="1">
      <c r="A6" s="360"/>
      <c r="B6" s="361"/>
      <c r="C6" s="3836" t="s">
        <v>1919</v>
      </c>
      <c r="D6" s="3837"/>
      <c r="E6" s="3838" t="s">
        <v>1919</v>
      </c>
      <c r="F6" s="3839"/>
      <c r="G6" s="3836" t="s">
        <v>1919</v>
      </c>
      <c r="H6" s="3837"/>
      <c r="I6" s="3836" t="s">
        <v>1919</v>
      </c>
      <c r="J6" s="3837"/>
      <c r="K6" s="559" t="s">
        <v>1678</v>
      </c>
      <c r="L6" s="2712"/>
      <c r="M6" s="2713"/>
      <c r="N6" s="2713"/>
      <c r="O6" s="2713"/>
      <c r="P6" s="3741"/>
      <c r="Q6" s="3742"/>
      <c r="R6" s="3745"/>
      <c r="S6" s="3746"/>
      <c r="T6" s="3747"/>
      <c r="U6" s="3748"/>
      <c r="V6" s="3728"/>
      <c r="W6" s="3728"/>
      <c r="X6" s="1354"/>
      <c r="Y6" s="3747"/>
      <c r="Z6" s="3748"/>
      <c r="AA6" s="3732"/>
      <c r="AB6" s="3732"/>
      <c r="AC6" s="3732"/>
    </row>
    <row r="7" spans="1:29" s="108" customFormat="1" ht="15.75" thickBot="1">
      <c r="A7" s="362" t="s">
        <v>1679</v>
      </c>
      <c r="B7" s="363"/>
      <c r="C7" s="364">
        <f>'数据-取费表'!B2</f>
        <v>44944</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53" t="s">
        <v>1683</v>
      </c>
      <c r="Q8" s="3754"/>
      <c r="R8" s="700" t="s">
        <v>14</v>
      </c>
      <c r="S8" s="701">
        <f t="shared" si="0"/>
        <v>0</v>
      </c>
      <c r="T8" s="700" t="s">
        <v>14</v>
      </c>
      <c r="U8" s="701">
        <f t="shared" si="1"/>
        <v>0</v>
      </c>
      <c r="V8" s="700" t="s">
        <v>14</v>
      </c>
      <c r="W8" s="701">
        <f t="shared" si="2"/>
        <v>0</v>
      </c>
      <c r="X8" s="702"/>
      <c r="Y8" s="3753" t="s">
        <v>1683</v>
      </c>
      <c r="Z8" s="375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14"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6"/>
      <c r="M10" s="2717"/>
      <c r="N10" s="2717"/>
      <c r="O10" s="2770"/>
      <c r="P10" s="3714"/>
      <c r="Q10" s="1342" t="str">
        <f t="shared" si="6"/>
        <v>土地使用年限（年）</v>
      </c>
      <c r="R10" s="700" t="s">
        <v>14</v>
      </c>
      <c r="S10" s="701">
        <f t="shared" si="0"/>
        <v>116</v>
      </c>
      <c r="T10" s="700" t="s">
        <v>14</v>
      </c>
      <c r="U10" s="701">
        <f t="shared" si="1"/>
        <v>116</v>
      </c>
      <c r="V10" s="700" t="s">
        <v>14</v>
      </c>
      <c r="W10" s="701">
        <f t="shared" si="2"/>
        <v>116</v>
      </c>
      <c r="X10" s="702"/>
      <c r="Y10" s="3622"/>
      <c r="Z10" s="52" t="str">
        <f t="shared" si="7"/>
        <v>土地使用年限（年）</v>
      </c>
      <c r="AA10" s="703">
        <f t="shared" si="3"/>
        <v>0.86206896551724133</v>
      </c>
      <c r="AB10" s="703">
        <f t="shared" si="4"/>
        <v>0.86206896551724133</v>
      </c>
      <c r="AC10" s="703">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4"/>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4"/>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4"/>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4"/>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1" t="s">
        <v>1691</v>
      </c>
      <c r="Q15" s="1351" t="str">
        <f t="shared" si="6"/>
        <v>产业集聚程度</v>
      </c>
      <c r="R15" s="704" t="s">
        <v>14</v>
      </c>
      <c r="S15" s="705">
        <f t="shared" si="0"/>
        <v>100</v>
      </c>
      <c r="T15" s="704" t="s">
        <v>14</v>
      </c>
      <c r="U15" s="705">
        <f t="shared" si="1"/>
        <v>100</v>
      </c>
      <c r="V15" s="704" t="s">
        <v>14</v>
      </c>
      <c r="W15" s="705">
        <f t="shared" si="2"/>
        <v>100</v>
      </c>
      <c r="X15" s="1354"/>
      <c r="Y15" s="372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22"/>
      <c r="Q16" s="1351"/>
      <c r="R16" s="704"/>
      <c r="S16" s="705"/>
      <c r="T16" s="704"/>
      <c r="U16" s="705"/>
      <c r="V16" s="704"/>
      <c r="W16" s="705"/>
      <c r="X16" s="1354"/>
      <c r="Y16" s="372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2"/>
      <c r="Q17" s="1351" t="str">
        <f>B17</f>
        <v>交通便捷度</v>
      </c>
      <c r="R17" s="704" t="s">
        <v>14</v>
      </c>
      <c r="S17" s="705">
        <f>F17</f>
        <v>100</v>
      </c>
      <c r="T17" s="704" t="s">
        <v>14</v>
      </c>
      <c r="U17" s="705">
        <f>H17</f>
        <v>100</v>
      </c>
      <c r="V17" s="704" t="s">
        <v>14</v>
      </c>
      <c r="W17" s="705">
        <f>J17</f>
        <v>100</v>
      </c>
      <c r="X17" s="1354"/>
      <c r="Y17" s="372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22"/>
      <c r="Q18" s="1351"/>
      <c r="R18" s="704"/>
      <c r="S18" s="705"/>
      <c r="T18" s="704"/>
      <c r="U18" s="705"/>
      <c r="V18" s="704"/>
      <c r="W18" s="705"/>
      <c r="X18" s="1354"/>
      <c r="Y18" s="372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2"/>
      <c r="Q19" s="1351" t="str">
        <f t="shared" ref="Q19:Q33" si="8">B19</f>
        <v>区域土地利用方向</v>
      </c>
      <c r="R19" s="704" t="s">
        <v>14</v>
      </c>
      <c r="S19" s="705">
        <f>F19</f>
        <v>100</v>
      </c>
      <c r="T19" s="704" t="s">
        <v>14</v>
      </c>
      <c r="U19" s="705">
        <f>H19</f>
        <v>100</v>
      </c>
      <c r="V19" s="704" t="s">
        <v>14</v>
      </c>
      <c r="W19" s="705">
        <f>J19</f>
        <v>100</v>
      </c>
      <c r="X19" s="1354"/>
      <c r="Y19" s="372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22"/>
      <c r="Q20" s="1351"/>
      <c r="R20" s="704"/>
      <c r="S20" s="705"/>
      <c r="T20" s="704"/>
      <c r="U20" s="705"/>
      <c r="V20" s="704"/>
      <c r="W20" s="705"/>
      <c r="X20" s="1354"/>
      <c r="Y20" s="372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2"/>
      <c r="Q21" s="1351" t="str">
        <f t="shared" si="8"/>
        <v>环境状况</v>
      </c>
      <c r="R21" s="704" t="s">
        <v>14</v>
      </c>
      <c r="S21" s="705">
        <f>F21</f>
        <v>100</v>
      </c>
      <c r="T21" s="704" t="s">
        <v>14</v>
      </c>
      <c r="U21" s="705">
        <f>H21</f>
        <v>100</v>
      </c>
      <c r="V21" s="704" t="s">
        <v>14</v>
      </c>
      <c r="W21" s="705">
        <f>J21</f>
        <v>100</v>
      </c>
      <c r="X21" s="1354"/>
      <c r="Y21" s="372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22"/>
      <c r="Q22" s="1351"/>
      <c r="R22" s="704"/>
      <c r="S22" s="705"/>
      <c r="T22" s="704"/>
      <c r="U22" s="705"/>
      <c r="V22" s="704"/>
      <c r="W22" s="705"/>
      <c r="X22" s="1354"/>
      <c r="Y22" s="372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2"/>
      <c r="Q23" s="1342" t="str">
        <f t="shared" si="8"/>
        <v>公共配套设施</v>
      </c>
      <c r="R23" s="700" t="s">
        <v>14</v>
      </c>
      <c r="S23" s="701">
        <f>F23</f>
        <v>100</v>
      </c>
      <c r="T23" s="700" t="s">
        <v>14</v>
      </c>
      <c r="U23" s="701">
        <f>H23</f>
        <v>100</v>
      </c>
      <c r="V23" s="700" t="s">
        <v>14</v>
      </c>
      <c r="W23" s="701">
        <f>J23</f>
        <v>100</v>
      </c>
      <c r="X23" s="702"/>
      <c r="Y23" s="372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22"/>
      <c r="Q24" s="1342"/>
      <c r="R24" s="700"/>
      <c r="S24" s="701"/>
      <c r="T24" s="700"/>
      <c r="U24" s="701"/>
      <c r="V24" s="700"/>
      <c r="W24" s="701"/>
      <c r="X24" s="702"/>
      <c r="Y24" s="3722"/>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2"/>
      <c r="Q25" s="1342" t="str">
        <f t="shared" ref="Q25" si="9">B25</f>
        <v>基础设施水平</v>
      </c>
      <c r="R25" s="700" t="s">
        <v>14</v>
      </c>
      <c r="S25" s="701">
        <f>F25</f>
        <v>100</v>
      </c>
      <c r="T25" s="700" t="s">
        <v>14</v>
      </c>
      <c r="U25" s="701">
        <f>H25</f>
        <v>100</v>
      </c>
      <c r="V25" s="700" t="s">
        <v>14</v>
      </c>
      <c r="W25" s="701">
        <f>J25</f>
        <v>100</v>
      </c>
      <c r="X25" s="702"/>
      <c r="Y25" s="372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22"/>
      <c r="Q26" s="1342"/>
      <c r="R26" s="700"/>
      <c r="S26" s="701"/>
      <c r="T26" s="700"/>
      <c r="U26" s="701"/>
      <c r="V26" s="700"/>
      <c r="W26" s="701"/>
      <c r="X26" s="702"/>
      <c r="Y26" s="372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2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2"/>
      <c r="Q28" s="1351" t="str">
        <f t="shared" si="8"/>
        <v>毗邻道路的类型与等级</v>
      </c>
      <c r="R28" s="704" t="s">
        <v>14</v>
      </c>
      <c r="S28" s="705">
        <f t="shared" si="10"/>
        <v>100</v>
      </c>
      <c r="T28" s="704" t="s">
        <v>14</v>
      </c>
      <c r="U28" s="705">
        <f t="shared" si="11"/>
        <v>100</v>
      </c>
      <c r="V28" s="704" t="s">
        <v>14</v>
      </c>
      <c r="W28" s="705">
        <f t="shared" si="12"/>
        <v>100</v>
      </c>
      <c r="X28" s="1354"/>
      <c r="Y28" s="372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22"/>
      <c r="Q29" s="1351"/>
      <c r="R29" s="704"/>
      <c r="S29" s="705"/>
      <c r="T29" s="704"/>
      <c r="U29" s="705"/>
      <c r="V29" s="704"/>
      <c r="W29" s="705"/>
      <c r="X29" s="1354"/>
      <c r="Y29" s="372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2"/>
      <c r="Q30" s="1351" t="str">
        <f t="shared" si="8"/>
        <v>土地级别</v>
      </c>
      <c r="R30" s="704" t="s">
        <v>14</v>
      </c>
      <c r="S30" s="705">
        <f t="shared" si="10"/>
        <v>100</v>
      </c>
      <c r="T30" s="704" t="s">
        <v>14</v>
      </c>
      <c r="U30" s="705">
        <f t="shared" si="11"/>
        <v>100</v>
      </c>
      <c r="V30" s="704" t="s">
        <v>14</v>
      </c>
      <c r="W30" s="705">
        <f t="shared" si="12"/>
        <v>100</v>
      </c>
      <c r="X30" s="1354"/>
      <c r="Y30" s="372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2"/>
      <c r="Q31" s="1351">
        <f t="shared" si="8"/>
        <v>111</v>
      </c>
      <c r="R31" s="704" t="s">
        <v>14</v>
      </c>
      <c r="S31" s="705">
        <f t="shared" si="10"/>
        <v>100</v>
      </c>
      <c r="T31" s="704" t="s">
        <v>14</v>
      </c>
      <c r="U31" s="705">
        <f t="shared" si="11"/>
        <v>100</v>
      </c>
      <c r="V31" s="704" t="s">
        <v>14</v>
      </c>
      <c r="W31" s="705">
        <f t="shared" si="12"/>
        <v>100</v>
      </c>
      <c r="X31" s="1354"/>
      <c r="Y31" s="372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31" t="s">
        <v>1696</v>
      </c>
      <c r="Q32" s="1351">
        <f t="shared" si="8"/>
        <v>111</v>
      </c>
      <c r="R32" s="704" t="s">
        <v>14</v>
      </c>
      <c r="S32" s="705">
        <f t="shared" si="10"/>
        <v>100</v>
      </c>
      <c r="T32" s="704" t="s">
        <v>14</v>
      </c>
      <c r="U32" s="705">
        <f t="shared" si="11"/>
        <v>100</v>
      </c>
      <c r="V32" s="704" t="s">
        <v>14</v>
      </c>
      <c r="W32" s="705">
        <f t="shared" si="12"/>
        <v>100</v>
      </c>
      <c r="X32" s="1354"/>
      <c r="Y32" s="372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6"/>
      <c r="Q33" s="1351">
        <f t="shared" si="8"/>
        <v>111</v>
      </c>
      <c r="R33" s="707" t="s">
        <v>14</v>
      </c>
      <c r="S33" s="708">
        <f t="shared" si="10"/>
        <v>100</v>
      </c>
      <c r="T33" s="707" t="s">
        <v>14</v>
      </c>
      <c r="U33" s="708">
        <f t="shared" si="11"/>
        <v>100</v>
      </c>
      <c r="V33" s="707" t="s">
        <v>14</v>
      </c>
      <c r="W33" s="708">
        <f t="shared" si="12"/>
        <v>100</v>
      </c>
      <c r="X33" s="709"/>
      <c r="Y33" s="372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6"/>
      <c r="Q34" s="1351" t="str">
        <f>B34</f>
        <v>宗地面积</v>
      </c>
      <c r="R34" s="704" t="s">
        <v>14</v>
      </c>
      <c r="S34" s="705" t="e">
        <f t="shared" si="10"/>
        <v>#N/A</v>
      </c>
      <c r="T34" s="704" t="s">
        <v>14</v>
      </c>
      <c r="U34" s="705" t="e">
        <f t="shared" si="11"/>
        <v>#N/A</v>
      </c>
      <c r="V34" s="704" t="s">
        <v>14</v>
      </c>
      <c r="W34" s="705" t="e">
        <f t="shared" si="12"/>
        <v>#N/A</v>
      </c>
      <c r="X34" s="1354"/>
      <c r="Y34" s="372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26"/>
      <c r="Q35" s="1351" t="str">
        <f t="shared" ref="Q35:Q40" si="14">B35</f>
        <v>宗地形状</v>
      </c>
      <c r="R35" s="704" t="s">
        <v>14</v>
      </c>
      <c r="S35" s="705">
        <f t="shared" si="10"/>
        <v>100</v>
      </c>
      <c r="T35" s="704" t="s">
        <v>14</v>
      </c>
      <c r="U35" s="705">
        <f t="shared" si="11"/>
        <v>100</v>
      </c>
      <c r="V35" s="704" t="s">
        <v>14</v>
      </c>
      <c r="W35" s="705">
        <f t="shared" si="12"/>
        <v>100</v>
      </c>
      <c r="X35" s="1354"/>
      <c r="Y35" s="372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26"/>
      <c r="Q36" s="1351" t="str">
        <f t="shared" si="14"/>
        <v>宗地开发程度</v>
      </c>
      <c r="R36" s="700" t="s">
        <v>14</v>
      </c>
      <c r="S36" s="701">
        <f t="shared" si="10"/>
        <v>100</v>
      </c>
      <c r="T36" s="700" t="s">
        <v>14</v>
      </c>
      <c r="U36" s="701">
        <f t="shared" si="11"/>
        <v>100</v>
      </c>
      <c r="V36" s="700" t="s">
        <v>14</v>
      </c>
      <c r="W36" s="701">
        <f t="shared" si="12"/>
        <v>100</v>
      </c>
      <c r="X36" s="702"/>
      <c r="Y36" s="372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26" t="s">
        <v>1696</v>
      </c>
      <c r="Q37" s="1351" t="str">
        <f t="shared" si="14"/>
        <v>工程地质条件</v>
      </c>
      <c r="R37" s="704" t="s">
        <v>14</v>
      </c>
      <c r="S37" s="705">
        <f t="shared" si="10"/>
        <v>100</v>
      </c>
      <c r="T37" s="704" t="s">
        <v>14</v>
      </c>
      <c r="U37" s="705">
        <f t="shared" si="11"/>
        <v>100</v>
      </c>
      <c r="V37" s="704" t="s">
        <v>14</v>
      </c>
      <c r="W37" s="705">
        <f t="shared" si="12"/>
        <v>100</v>
      </c>
      <c r="X37" s="1354"/>
      <c r="Y37" s="372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6"/>
      <c r="Q38" s="1351">
        <f t="shared" si="14"/>
        <v>111</v>
      </c>
      <c r="R38" s="704" t="s">
        <v>14</v>
      </c>
      <c r="S38" s="705">
        <f t="shared" si="10"/>
        <v>100</v>
      </c>
      <c r="T38" s="704" t="s">
        <v>14</v>
      </c>
      <c r="U38" s="705">
        <f t="shared" si="11"/>
        <v>100</v>
      </c>
      <c r="V38" s="704" t="s">
        <v>14</v>
      </c>
      <c r="W38" s="705">
        <f t="shared" si="12"/>
        <v>100</v>
      </c>
      <c r="X38" s="1354"/>
      <c r="Y38" s="372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6"/>
      <c r="Q39" s="1351">
        <f t="shared" si="14"/>
        <v>111</v>
      </c>
      <c r="R39" s="704" t="s">
        <v>14</v>
      </c>
      <c r="S39" s="705">
        <f t="shared" si="10"/>
        <v>100</v>
      </c>
      <c r="T39" s="704" t="s">
        <v>14</v>
      </c>
      <c r="U39" s="705">
        <f t="shared" si="11"/>
        <v>100</v>
      </c>
      <c r="V39" s="704" t="s">
        <v>14</v>
      </c>
      <c r="W39" s="705">
        <f t="shared" si="12"/>
        <v>100</v>
      </c>
      <c r="X39" s="1354"/>
      <c r="Y39" s="372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6"/>
      <c r="Q40" s="1351">
        <f t="shared" si="14"/>
        <v>111</v>
      </c>
      <c r="R40" s="707" t="s">
        <v>14</v>
      </c>
      <c r="S40" s="708">
        <f t="shared" si="10"/>
        <v>100</v>
      </c>
      <c r="T40" s="707" t="s">
        <v>14</v>
      </c>
      <c r="U40" s="708">
        <f t="shared" si="11"/>
        <v>100</v>
      </c>
      <c r="V40" s="707" t="s">
        <v>14</v>
      </c>
      <c r="W40" s="708">
        <f t="shared" si="12"/>
        <v>100</v>
      </c>
      <c r="X40" s="709"/>
      <c r="Y40" s="3726"/>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714" t="str">
        <f>A41</f>
        <v>成交单价</v>
      </c>
      <c r="Q41" s="3714"/>
      <c r="R41" s="3728">
        <f>E41</f>
        <v>0</v>
      </c>
      <c r="S41" s="3728"/>
      <c r="T41" s="3728">
        <f>G41</f>
        <v>0</v>
      </c>
      <c r="U41" s="3728"/>
      <c r="V41" s="3728">
        <f>I41</f>
        <v>0</v>
      </c>
      <c r="W41" s="3728"/>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714" t="str">
        <f>A42</f>
        <v>比较价值（元/平方米）</v>
      </c>
      <c r="Q42" s="3714"/>
      <c r="R42" s="3833" t="e">
        <f>ROUND(PRODUCT(R41,AA7:AA40),0)</f>
        <v>#DIV/0!</v>
      </c>
      <c r="S42" s="3833"/>
      <c r="T42" s="3833" t="e">
        <f>ROUND(PRODUCT(T41,AB7:AB40),0)</f>
        <v>#DIV/0!</v>
      </c>
      <c r="U42" s="3833"/>
      <c r="V42" s="3833" t="e">
        <f>ROUND(PRODUCT(V41,AC7:AC40),0)</f>
        <v>#DIV/0!</v>
      </c>
      <c r="W42" s="383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16" t="str">
        <f>A43</f>
        <v>估价对象XX用房的比较价值（楼面单价，元/平方米）</v>
      </c>
      <c r="Q43" s="3717"/>
      <c r="R43" s="3834" t="e">
        <f>ROUND(IF(D42="简单平均",AVERAGE(R42:W42),R42*F42+T42*H42+V42*J42),0)</f>
        <v>#DIV/0!</v>
      </c>
      <c r="S43" s="3834"/>
      <c r="T43" s="3834"/>
      <c r="U43" s="3834"/>
      <c r="V43" s="3834"/>
      <c r="W43" s="3834"/>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33" t="s">
        <v>1887</v>
      </c>
      <c r="H50" s="3835"/>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17619.28</v>
      </c>
      <c r="F51" s="639" t="e">
        <f t="shared" ref="F51:F60" si="15">ROUND(B51*E51/10000,0)</f>
        <v>#DIV/0!</v>
      </c>
      <c r="G51" s="3729"/>
      <c r="H51" s="3714"/>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0.6</v>
      </c>
      <c r="D52" s="944">
        <v>0.25</v>
      </c>
      <c r="E52" s="642"/>
      <c r="F52" s="639" t="e">
        <f t="shared" si="15"/>
        <v>#DIV/0!</v>
      </c>
      <c r="G52" s="3003" t="s">
        <v>1892</v>
      </c>
      <c r="H52" s="886" t="str">
        <f>项目基本情况!B37</f>
        <v>三级</v>
      </c>
      <c r="I52" s="772">
        <f>SUMIF(修正!A57:A68,H52,修正!B57:B68)</f>
        <v>0.6</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0.3</v>
      </c>
      <c r="D53" s="944">
        <v>0.25</v>
      </c>
      <c r="E53" s="642"/>
      <c r="F53" s="639" t="e">
        <f t="shared" si="15"/>
        <v>#DIV/0!</v>
      </c>
      <c r="G53" s="3004"/>
      <c r="H53" s="886" t="str">
        <f>项目基本情况!B37</f>
        <v>三级</v>
      </c>
      <c r="I53" s="772">
        <f>SUMIF(修正!A57:A68,H53,修正!C57:C68)</f>
        <v>0.3</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0.25</v>
      </c>
      <c r="D54" s="944">
        <v>0.25</v>
      </c>
      <c r="E54" s="642"/>
      <c r="F54" s="639" t="e">
        <f t="shared" si="15"/>
        <v>#DIV/0!</v>
      </c>
      <c r="G54" s="3004"/>
      <c r="H54" s="886" t="str">
        <f>项目基本情况!B37</f>
        <v>三级</v>
      </c>
      <c r="I54" s="772">
        <f>SUMIF(修正!A57:A68,H54,修正!D57:D68)</f>
        <v>0.25</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0.15</v>
      </c>
      <c r="D59" s="944">
        <v>0.25</v>
      </c>
      <c r="E59" s="217">
        <f>'数据-汇总表'!E14</f>
        <v>0</v>
      </c>
      <c r="F59" s="639" t="e">
        <f t="shared" si="15"/>
        <v>#DIV/0!</v>
      </c>
      <c r="G59" s="1986" t="s">
        <v>1892</v>
      </c>
      <c r="H59" s="886" t="str">
        <f>项目基本情况!B37</f>
        <v>三级</v>
      </c>
      <c r="I59" s="772">
        <f>SUMIF(修正!A57:A68,H59,修正!G57:G68)</f>
        <v>0.15</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2023-1-1</v>
      </c>
      <c r="D63" s="691">
        <f>EDATE(C63,-3)</f>
        <v>44835</v>
      </c>
      <c r="E63" s="691">
        <f>EDATE(D63,-3)</f>
        <v>44743</v>
      </c>
      <c r="F63" s="691">
        <f t="shared" ref="F63:O63" si="18">EDATE(E63,-3)</f>
        <v>44652</v>
      </c>
      <c r="G63" s="691">
        <f t="shared" si="18"/>
        <v>44562</v>
      </c>
      <c r="H63" s="691">
        <f t="shared" si="18"/>
        <v>44470</v>
      </c>
      <c r="I63" s="691">
        <f t="shared" si="18"/>
        <v>44378</v>
      </c>
      <c r="J63" s="691">
        <f t="shared" si="18"/>
        <v>44287</v>
      </c>
      <c r="K63" s="691">
        <f t="shared" si="18"/>
        <v>44197</v>
      </c>
      <c r="L63" s="691">
        <f t="shared" si="18"/>
        <v>44105</v>
      </c>
      <c r="M63" s="691">
        <f t="shared" si="18"/>
        <v>44013</v>
      </c>
      <c r="N63" s="691">
        <f t="shared" si="18"/>
        <v>43922</v>
      </c>
      <c r="O63" s="691">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53" stopIfTrue="1">
      <formula>#REF!+$F$47="超过20%"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599">
        <f ca="1">SUMIF(B6:B13,"&lt;&gt;#ref!",B6:B13)</f>
        <v>33741</v>
      </c>
      <c r="C2" s="2144" t="s">
        <v>2074</v>
      </c>
      <c r="D2" s="2144" t="s">
        <v>2075</v>
      </c>
      <c r="E2" s="2609">
        <f ca="1">SUMIF(E6:E13,"&lt;&gt;#ref!",E6:E13)</f>
        <v>1792.66</v>
      </c>
      <c r="F2" s="2790"/>
      <c r="G2" s="2790"/>
      <c r="H2" s="2790"/>
      <c r="I2" s="2790"/>
      <c r="J2" s="2790"/>
      <c r="K2" s="2790"/>
      <c r="L2" s="2790"/>
      <c r="M2" s="2790"/>
      <c r="N2" s="2790"/>
      <c r="O2" s="2790"/>
      <c r="P2" s="2790"/>
    </row>
    <row r="3" spans="1:16" ht="15.75">
      <c r="A3" s="2144" t="s">
        <v>2076</v>
      </c>
      <c r="B3" s="2599">
        <f ca="1">ROUND(B2*10000/E2,0)</f>
        <v>188218</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5"/>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33741</v>
      </c>
      <c r="C6" s="2144" t="s">
        <v>2074</v>
      </c>
      <c r="D6" s="2790"/>
      <c r="E6" s="2609">
        <f ca="1">SUMIF(INDIRECT("'"&amp;A6&amp;"'"&amp;"!C:C"),"建筑面积",INDIRECT("'"&amp;A6&amp;"'"&amp;"!D:D"))</f>
        <v>1792.66</v>
      </c>
      <c r="F6" s="2790"/>
      <c r="G6" s="2790"/>
      <c r="H6" s="2790"/>
      <c r="I6" s="2790"/>
      <c r="J6" s="2790"/>
      <c r="K6" s="2790"/>
      <c r="L6" s="2790"/>
      <c r="M6" s="2790"/>
      <c r="N6" s="2790"/>
      <c r="O6" s="2790"/>
      <c r="P6" s="2790"/>
    </row>
    <row r="7" spans="1:16" ht="15.75">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70" zoomScaleNormal="100" zoomScaleSheetLayoutView="70" zoomScalePageLayoutView="80" workbookViewId="0">
      <selection activeCell="A131" sqref="A13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3381</v>
      </c>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2.75">
      <c r="A3" s="3659" t="s">
        <v>1264</v>
      </c>
      <c r="B3" s="3660"/>
      <c r="C3" s="3660"/>
      <c r="D3" s="3660"/>
      <c r="E3" s="3660"/>
      <c r="F3" s="3660"/>
      <c r="G3" s="3660"/>
      <c r="H3" s="3660"/>
      <c r="I3" s="3660"/>
    </row>
    <row r="4" spans="1:12" ht="14.25">
      <c r="A4" s="1753" t="s">
        <v>1265</v>
      </c>
      <c r="B4" s="1754" t="s">
        <v>1266</v>
      </c>
      <c r="C4" s="1755" t="s">
        <v>3408</v>
      </c>
      <c r="D4" s="1755" t="s">
        <v>3410</v>
      </c>
      <c r="E4" s="3661" t="s">
        <v>1267</v>
      </c>
      <c r="F4" s="3662"/>
      <c r="G4" s="3662"/>
      <c r="H4" s="3662"/>
      <c r="I4" s="3663"/>
      <c r="K4" s="146" t="str">
        <f>IF(ISNUMBER(FIND("比较法",'结果表-车库'!C4)),"比较法",IF(ISNUMBER(FIND("成本法",'结果表-车库'!C4)),"成本法",IF(ISNUMBER(FIND("假设开发法",'结果表-车库'!C4)),"假设开发法",IF(ISNUMBER(FIND("收益法",'结果表-车库'!C4)),"收益法","基准地价系数修正法"))))</f>
        <v>成本法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35" t="s">
        <v>1268</v>
      </c>
      <c r="B5" s="3622">
        <v>25</v>
      </c>
      <c r="C5" s="3638"/>
      <c r="D5" s="3658"/>
      <c r="E5" s="131" t="s">
        <v>1269</v>
      </c>
      <c r="F5" s="1756"/>
      <c r="G5" s="1756"/>
      <c r="H5" s="1756"/>
      <c r="I5" s="1372"/>
    </row>
    <row r="6" spans="1:12" ht="12.75">
      <c r="A6" s="3635"/>
      <c r="B6" s="3622"/>
      <c r="C6" s="3639"/>
      <c r="D6" s="3658"/>
      <c r="E6" s="131" t="s">
        <v>1270</v>
      </c>
      <c r="F6" s="1756"/>
      <c r="G6" s="1756"/>
      <c r="H6" s="1756"/>
      <c r="I6" s="1372"/>
    </row>
    <row r="7" spans="1:12" ht="12.75">
      <c r="A7" s="3635"/>
      <c r="B7" s="3622"/>
      <c r="C7" s="3640"/>
      <c r="D7" s="3658"/>
      <c r="E7" s="131" t="s">
        <v>1271</v>
      </c>
      <c r="F7" s="1756"/>
      <c r="G7" s="1756"/>
      <c r="H7" s="1756"/>
      <c r="I7" s="1372"/>
    </row>
    <row r="8" spans="1:12" ht="12.75">
      <c r="A8" s="3635" t="s">
        <v>1272</v>
      </c>
      <c r="B8" s="3622">
        <v>15</v>
      </c>
      <c r="C8" s="3638"/>
      <c r="D8" s="3658"/>
      <c r="E8" s="131" t="s">
        <v>1273</v>
      </c>
      <c r="F8" s="1756"/>
      <c r="G8" s="1756"/>
      <c r="H8" s="1756"/>
      <c r="I8" s="1372"/>
    </row>
    <row r="9" spans="1:12" ht="12.75">
      <c r="A9" s="3635"/>
      <c r="B9" s="3622"/>
      <c r="C9" s="3640"/>
      <c r="D9" s="3658"/>
      <c r="E9" s="131" t="s">
        <v>1274</v>
      </c>
      <c r="F9" s="1756"/>
      <c r="G9" s="1756"/>
      <c r="H9" s="1756"/>
      <c r="I9" s="1372"/>
    </row>
    <row r="10" spans="1:12" ht="12.75">
      <c r="A10" s="3635" t="s">
        <v>1275</v>
      </c>
      <c r="B10" s="3622">
        <v>15</v>
      </c>
      <c r="C10" s="3638"/>
      <c r="D10" s="3658"/>
      <c r="E10" s="131" t="s">
        <v>1276</v>
      </c>
      <c r="F10" s="1756"/>
      <c r="G10" s="1756"/>
      <c r="H10" s="1756"/>
      <c r="I10" s="1372"/>
    </row>
    <row r="11" spans="1:12" ht="12.75">
      <c r="A11" s="3635"/>
      <c r="B11" s="3622"/>
      <c r="C11" s="3640"/>
      <c r="D11" s="3658"/>
      <c r="E11" s="131" t="s">
        <v>1277</v>
      </c>
      <c r="F11" s="1756"/>
      <c r="G11" s="1756"/>
      <c r="H11" s="1756"/>
      <c r="I11" s="1372"/>
    </row>
    <row r="12" spans="1:12" ht="12.75">
      <c r="A12" s="3635" t="s">
        <v>1278</v>
      </c>
      <c r="B12" s="3622">
        <v>15</v>
      </c>
      <c r="C12" s="3638"/>
      <c r="D12" s="3658"/>
      <c r="E12" s="131" t="s">
        <v>1279</v>
      </c>
      <c r="F12" s="1756"/>
      <c r="G12" s="1756"/>
      <c r="H12" s="1756"/>
      <c r="I12" s="1372"/>
    </row>
    <row r="13" spans="1:12" ht="12.75">
      <c r="A13" s="3635"/>
      <c r="B13" s="3622"/>
      <c r="C13" s="3640"/>
      <c r="D13" s="3658"/>
      <c r="E13" s="131" t="s">
        <v>1280</v>
      </c>
      <c r="F13" s="1756"/>
      <c r="G13" s="1756"/>
      <c r="H13" s="1756"/>
      <c r="I13" s="1372"/>
    </row>
    <row r="14" spans="1:12" ht="12.75">
      <c r="A14" s="3635" t="s">
        <v>1281</v>
      </c>
      <c r="B14" s="3622">
        <v>30</v>
      </c>
      <c r="C14" s="3638">
        <v>6</v>
      </c>
      <c r="D14" s="3658">
        <v>4</v>
      </c>
      <c r="E14" s="131" t="s">
        <v>1282</v>
      </c>
      <c r="F14" s="1756"/>
      <c r="G14" s="1756"/>
      <c r="H14" s="1756"/>
      <c r="I14" s="1372"/>
    </row>
    <row r="15" spans="1:12" ht="12.75">
      <c r="A15" s="3635"/>
      <c r="B15" s="3622"/>
      <c r="C15" s="3639"/>
      <c r="D15" s="3658"/>
      <c r="E15" s="131" t="s">
        <v>1283</v>
      </c>
      <c r="F15" s="1756"/>
      <c r="G15" s="1756"/>
      <c r="H15" s="1756"/>
      <c r="I15" s="1372"/>
    </row>
    <row r="16" spans="1:12" ht="12.75">
      <c r="A16" s="3635"/>
      <c r="B16" s="3622"/>
      <c r="C16" s="3640"/>
      <c r="D16" s="3658"/>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5" t="s">
        <v>2130</v>
      </c>
      <c r="F18" s="3646"/>
      <c r="G18" s="3646"/>
      <c r="H18" s="3646"/>
      <c r="I18" s="3646"/>
      <c r="K18" s="302" t="s">
        <v>1289</v>
      </c>
      <c r="L18" s="302">
        <f>IF(C1="",'数据-汇总表'!E3,SUMIF(项目类型,C1,'数据-汇总表'!E17:E26)+SUMIF(项目类型,C1,'数据-汇总表'!I17:I26))</f>
        <v>0</v>
      </c>
      <c r="M18" s="302">
        <f>IF(C1="",'数据-汇总表'!E3,SUMIF(项目类型,C1,'数据-汇总表'!E17:E26))</f>
        <v>0</v>
      </c>
    </row>
    <row r="19" spans="1:36" ht="15">
      <c r="A19" s="1760" t="s">
        <v>1290</v>
      </c>
      <c r="B19" s="1761" t="s">
        <v>1291</v>
      </c>
      <c r="C19" s="134" t="e">
        <f ca="1">SUMIF(INDIRECT("'"&amp;C4&amp;"'"&amp;"!A:A"),'结果表-车库'!B19,INDIRECT("'"&amp;C4&amp;"'"&amp;"!B:B"))</f>
        <v>#N/A</v>
      </c>
      <c r="D19" s="135" t="e">
        <f ca="1">SUMIF(INDIRECT("'"&amp;D4&amp;"'"&amp;"!A:A"),'结果表-车库'!B19,INDIRECT("'"&amp;D4&amp;"'"&amp;"!B:B"))</f>
        <v>#N/A</v>
      </c>
      <c r="E19" s="1760" t="s">
        <v>1292</v>
      </c>
      <c r="F19" s="1761" t="s">
        <v>1291</v>
      </c>
      <c r="G19" s="136" t="e">
        <f ca="1">ROUND(C19*$C$18+D19*$D$18,0)</f>
        <v>#N/A</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t="e">
        <f ca="1">SUMIF(INDIRECT("'"&amp;C4&amp;"'"&amp;"!A:A"),'结果表-车库'!B20,INDIRECT("'"&amp;C4&amp;"'"&amp;"!B:B"))</f>
        <v>#N/A</v>
      </c>
      <c r="D20" s="138">
        <f ca="1">SUMIF(INDIRECT("'"&amp;D4&amp;"'"&amp;"!A:A"),'结果表-车库'!B20,INDIRECT("'"&amp;D4&amp;"'"&amp;"!B:B"))</f>
        <v>0</v>
      </c>
      <c r="E20" s="1763"/>
      <c r="F20" s="1025" t="s">
        <v>1295</v>
      </c>
      <c r="G20" s="139" t="e">
        <f ca="1">ROUND(C20*$C$18+D20*$D$18,0)</f>
        <v>#N/A</v>
      </c>
      <c r="H20" s="807" t="s">
        <v>1296</v>
      </c>
      <c r="I20" s="129"/>
    </row>
    <row r="21" spans="1:36" ht="15" customHeight="1" thickBot="1">
      <c r="A21" s="827"/>
      <c r="B21" s="1764" t="s">
        <v>1297</v>
      </c>
      <c r="C21" s="718" t="e">
        <f ca="1">ROUND(C19*10000/L19,0)</f>
        <v>#N/A</v>
      </c>
      <c r="D21" s="719" t="e">
        <f ca="1">ROUND(D19*10000/L19,0)</f>
        <v>#N/A</v>
      </c>
      <c r="E21" s="827"/>
      <c r="F21" s="1764" t="s">
        <v>1297</v>
      </c>
      <c r="G21" s="140" t="e">
        <f ca="1">ROUND(G19*10000/L19,0)</f>
        <v>#N/A</v>
      </c>
      <c r="H21" s="1765" t="s">
        <v>1296</v>
      </c>
      <c r="I21" s="129"/>
    </row>
    <row r="22" spans="1:36" ht="15" thickBot="1">
      <c r="A22" s="1687" t="s">
        <v>1298</v>
      </c>
      <c r="B22" s="1766"/>
      <c r="C22" s="1767"/>
      <c r="D22" s="720" t="e">
        <f ca="1">IF(C19&lt;D19,D19/C19-1,C19/D19-1)</f>
        <v>#N/A</v>
      </c>
      <c r="E22" s="129"/>
      <c r="F22" s="129"/>
      <c r="G22" s="129"/>
      <c r="H22" s="129"/>
      <c r="I22" s="129"/>
    </row>
    <row r="23" spans="1:36" ht="13.5" thickBot="1">
      <c r="A23" s="1746"/>
      <c r="B23" s="1746"/>
      <c r="C23" s="1746"/>
      <c r="D23" s="1746"/>
      <c r="E23" s="129"/>
      <c r="F23" s="129"/>
      <c r="G23" s="129"/>
      <c r="H23" s="129"/>
      <c r="I23" s="129"/>
    </row>
    <row r="24" spans="1:36" ht="14.25">
      <c r="A24" s="3629" t="s">
        <v>1299</v>
      </c>
      <c r="B24" s="1761" t="s">
        <v>1291</v>
      </c>
      <c r="C24" s="136">
        <f>IF(B30=0,0,D30)</f>
        <v>0</v>
      </c>
      <c r="D24" s="1768"/>
      <c r="E24" s="129"/>
      <c r="F24" s="129"/>
      <c r="G24" s="129"/>
      <c r="H24" s="129"/>
      <c r="I24" s="129"/>
    </row>
    <row r="25" spans="1:36" ht="14.25">
      <c r="A25" s="363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#N/A</v>
      </c>
      <c r="D32" s="1774" t="s">
        <v>3419</v>
      </c>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#N/A</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#N/A</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49" t="s">
        <v>1312</v>
      </c>
      <c r="B36" s="1786" t="s">
        <v>1313</v>
      </c>
      <c r="C36" s="145"/>
      <c r="D36" s="1787"/>
      <c r="E36" s="1788"/>
      <c r="F36" s="1789"/>
      <c r="G36" s="129"/>
      <c r="H36" s="129"/>
      <c r="I36" s="129"/>
    </row>
    <row r="37" spans="1:15" ht="15.75" thickBot="1">
      <c r="A37" s="3650"/>
      <c r="B37" s="1673" t="s">
        <v>1314</v>
      </c>
      <c r="C37" s="147"/>
      <c r="D37" s="1138"/>
      <c r="E37" s="1138"/>
      <c r="F37" s="1789"/>
      <c r="G37" s="129"/>
      <c r="H37" s="129"/>
      <c r="I37" s="129"/>
    </row>
    <row r="38" spans="1:15" ht="15.75" thickBot="1">
      <c r="A38" s="365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6" t="s">
        <v>1326</v>
      </c>
      <c r="B45" s="3627"/>
      <c r="C45" s="3628"/>
      <c r="D45" s="155" t="e">
        <f ca="1">ROUND(H101*F45,0)</f>
        <v>#N/A</v>
      </c>
      <c r="E45" s="156" t="s">
        <v>1327</v>
      </c>
      <c r="F45" s="157">
        <v>1</v>
      </c>
      <c r="G45" s="158" t="s">
        <v>1328</v>
      </c>
      <c r="H45" s="129"/>
      <c r="I45" s="129"/>
      <c r="J45" s="3846" t="s">
        <v>1329</v>
      </c>
      <c r="K45" s="3846"/>
      <c r="L45" s="3846"/>
      <c r="M45" s="3846"/>
      <c r="N45" s="3846"/>
      <c r="O45" s="3846"/>
    </row>
    <row r="46" spans="1:15" ht="14.25" customHeight="1">
      <c r="A46" s="3623" t="s">
        <v>1330</v>
      </c>
      <c r="B46" s="3624"/>
      <c r="C46" s="3624"/>
      <c r="D46" s="3624"/>
      <c r="E46" s="3624"/>
      <c r="F46" s="3624"/>
      <c r="G46" s="3625"/>
      <c r="H46" s="1805"/>
      <c r="I46" s="159"/>
      <c r="J46" s="3462">
        <v>1</v>
      </c>
      <c r="K46" s="3847" t="s">
        <v>1331</v>
      </c>
      <c r="L46" s="3847"/>
      <c r="M46" s="3850"/>
      <c r="N46" s="3850"/>
      <c r="O46" s="3850"/>
    </row>
    <row r="47" spans="1:15" ht="12" customHeight="1">
      <c r="A47" s="160" t="s">
        <v>1332</v>
      </c>
      <c r="B47" s="161"/>
      <c r="C47" s="162"/>
      <c r="D47" s="1086" t="s">
        <v>1333</v>
      </c>
      <c r="E47" s="302" t="s">
        <v>1334</v>
      </c>
      <c r="F47" s="163" t="s">
        <v>1335</v>
      </c>
      <c r="G47" s="2543" t="s">
        <v>1336</v>
      </c>
      <c r="H47" s="2544"/>
      <c r="I47" s="159"/>
      <c r="J47" s="3462">
        <v>2</v>
      </c>
      <c r="K47" s="3847" t="s">
        <v>1337</v>
      </c>
      <c r="L47" s="3847"/>
      <c r="M47" s="3848">
        <f>'数据-取费表'!B2</f>
        <v>44944</v>
      </c>
      <c r="N47" s="3848"/>
      <c r="O47" s="3848"/>
    </row>
    <row r="48" spans="1:15" ht="25.5">
      <c r="A48" s="3654" t="s">
        <v>1338</v>
      </c>
      <c r="B48" s="3637"/>
      <c r="C48" s="3637"/>
      <c r="D48" s="3464" t="b">
        <f>IF(H48="情况1",0,IF(H48="情况2",D52,IF(H48="情况3",D53,IF(H48="情况4",D54))))</f>
        <v>0</v>
      </c>
      <c r="E48" s="3453" t="str">
        <f>IF(H48="情况4","(销售额-原购置价)×税（费）率","销售额×税（费）率")</f>
        <v>销售额×税（费）率</v>
      </c>
      <c r="F48" s="2545">
        <f>IF(H48="情况1","免征",'数据-取费表'!B41)</f>
        <v>5.6000000000000001E-2</v>
      </c>
      <c r="G48" s="2546" t="s">
        <v>1339</v>
      </c>
      <c r="H48" s="2547"/>
      <c r="I48" s="1805"/>
      <c r="J48" s="3462">
        <v>3</v>
      </c>
      <c r="K48" s="3847" t="s">
        <v>1340</v>
      </c>
      <c r="L48" s="3847"/>
      <c r="M48" s="3849" t="e">
        <f ca="1">H101</f>
        <v>#N/A</v>
      </c>
      <c r="N48" s="3849"/>
      <c r="O48" s="3849"/>
    </row>
    <row r="49" spans="1:35" ht="25.5" customHeight="1">
      <c r="A49" s="3457" t="s">
        <v>1341</v>
      </c>
      <c r="B49" s="3621" t="s">
        <v>1342</v>
      </c>
      <c r="C49" s="3621"/>
      <c r="D49" s="1589">
        <v>0</v>
      </c>
      <c r="E49" s="324" t="s">
        <v>1343</v>
      </c>
      <c r="F49" s="3447" t="s">
        <v>28</v>
      </c>
      <c r="G49" s="3691"/>
      <c r="H49" s="2309" t="s">
        <v>2133</v>
      </c>
      <c r="I49" s="2310"/>
      <c r="J49" s="3462">
        <v>4</v>
      </c>
      <c r="K49" s="3847" t="str">
        <f>IF(项目基本情况!E8="房地产抵押价值","房地产抵押价值","抵押担保权已注销时的房地产抵押价值")</f>
        <v>房地产抵押价值</v>
      </c>
      <c r="L49" s="3847"/>
      <c r="M49" s="3849" t="e">
        <f ca="1">IF(项目基本情况!E8="房地产抵押价值",H107,H109)</f>
        <v>#N/A</v>
      </c>
      <c r="N49" s="3849"/>
      <c r="O49" s="3849"/>
    </row>
    <row r="50" spans="1:35" ht="25.5" customHeight="1">
      <c r="A50" s="2548"/>
      <c r="B50" s="3621" t="s">
        <v>1344</v>
      </c>
      <c r="C50" s="3621"/>
      <c r="D50" s="2549"/>
      <c r="E50" s="332"/>
      <c r="F50" s="3447"/>
      <c r="G50" s="3692"/>
      <c r="H50" s="2311" t="s">
        <v>2134</v>
      </c>
      <c r="I50" s="2310"/>
      <c r="J50" s="3846" t="s">
        <v>1345</v>
      </c>
      <c r="K50" s="3846"/>
      <c r="L50" s="3846"/>
      <c r="M50" s="3846"/>
      <c r="N50" s="3846"/>
      <c r="O50" s="3846"/>
    </row>
    <row r="51" spans="1:35" ht="20.45" customHeight="1">
      <c r="A51" s="2550"/>
      <c r="B51" s="3621" t="s">
        <v>1346</v>
      </c>
      <c r="C51" s="3621"/>
      <c r="D51" s="1086"/>
      <c r="E51" s="327"/>
      <c r="F51" s="3447"/>
      <c r="G51" s="3693"/>
      <c r="H51" s="2311" t="s">
        <v>2135</v>
      </c>
      <c r="I51" s="2310"/>
      <c r="J51" s="3461" t="s">
        <v>1347</v>
      </c>
      <c r="K51" s="3847" t="s">
        <v>1348</v>
      </c>
      <c r="L51" s="3847"/>
      <c r="M51" s="3461" t="s">
        <v>1349</v>
      </c>
      <c r="N51" s="3461" t="s">
        <v>1350</v>
      </c>
      <c r="O51" s="3461" t="s">
        <v>1351</v>
      </c>
    </row>
    <row r="52" spans="1:35" ht="24" customHeight="1">
      <c r="A52" s="3452" t="s">
        <v>1352</v>
      </c>
      <c r="B52" s="3621" t="s">
        <v>1353</v>
      </c>
      <c r="C52" s="3621"/>
      <c r="D52" s="1086" t="e">
        <f ca="1">ROUND(D45*'数据-取费表'!B41/(1+'数据-取费表'!C42),0)</f>
        <v>#N/A</v>
      </c>
      <c r="E52" s="3453" t="s">
        <v>1354</v>
      </c>
      <c r="F52" s="2551">
        <f>'数据-取费表'!B41</f>
        <v>5.6000000000000001E-2</v>
      </c>
      <c r="G52" s="2552"/>
      <c r="H52" s="2541"/>
      <c r="I52" s="1806"/>
      <c r="J52" s="3462">
        <v>1</v>
      </c>
      <c r="K52" s="3840" t="s">
        <v>1355</v>
      </c>
      <c r="L52" s="3840"/>
      <c r="M52" s="2522" t="b">
        <f>D48</f>
        <v>0</v>
      </c>
      <c r="N52" s="3462" t="str">
        <f>E48</f>
        <v>销售额×税（费）率</v>
      </c>
      <c r="O52" s="2523">
        <f>F48</f>
        <v>5.6000000000000001E-2</v>
      </c>
    </row>
    <row r="53" spans="1:35" ht="12" customHeight="1">
      <c r="A53" s="3452" t="s">
        <v>1356</v>
      </c>
      <c r="B53" s="3647" t="s">
        <v>2290</v>
      </c>
      <c r="C53" s="3648"/>
      <c r="D53" s="1086" t="e">
        <f ca="1">ROUND(D45*'数据-取费表'!B41/(1+'数据-取费表'!C42),0)</f>
        <v>#N/A</v>
      </c>
      <c r="E53" s="3453" t="s">
        <v>1354</v>
      </c>
      <c r="F53" s="2551">
        <f>'数据-取费表'!B41</f>
        <v>5.6000000000000001E-2</v>
      </c>
      <c r="G53" s="2552"/>
      <c r="H53" s="2541"/>
      <c r="I53" s="1806"/>
      <c r="J53" s="3462">
        <v>2</v>
      </c>
      <c r="K53" s="3840" t="s">
        <v>1357</v>
      </c>
      <c r="L53" s="3840"/>
      <c r="M53" s="2522" t="e">
        <f t="shared" ref="M53:O54" ca="1" si="0">D55</f>
        <v>#N/A</v>
      </c>
      <c r="N53" s="3462" t="str">
        <f t="shared" si="0"/>
        <v>销售额×税（费）率</v>
      </c>
      <c r="O53" s="2523" t="str">
        <f t="shared" si="0"/>
        <v>免征</v>
      </c>
    </row>
    <row r="54" spans="1:35" ht="12" customHeight="1">
      <c r="A54" s="3452" t="s">
        <v>1358</v>
      </c>
      <c r="B54" s="3647" t="s">
        <v>2291</v>
      </c>
      <c r="C54" s="3648"/>
      <c r="D54" s="1086" t="e">
        <f ca="1">C68</f>
        <v>#N/A</v>
      </c>
      <c r="E54" s="327" t="s">
        <v>1359</v>
      </c>
      <c r="F54" s="2551">
        <f>'数据-取费表'!B41</f>
        <v>5.6000000000000001E-2</v>
      </c>
      <c r="G54" s="2552"/>
      <c r="H54" s="2553"/>
      <c r="I54" s="1806"/>
      <c r="J54" s="3462">
        <v>3</v>
      </c>
      <c r="K54" s="3840" t="s">
        <v>1360</v>
      </c>
      <c r="L54" s="3840"/>
      <c r="M54" s="2522" t="e">
        <f t="shared" ca="1" si="0"/>
        <v>#N/A</v>
      </c>
      <c r="N54" s="3462" t="str">
        <f t="shared" si="0"/>
        <v>增值额×税（费）率</v>
      </c>
      <c r="O54" s="2524" t="str">
        <f t="shared" si="0"/>
        <v>免征</v>
      </c>
    </row>
    <row r="55" spans="1:35" ht="24" customHeight="1">
      <c r="A55" s="3636" t="s">
        <v>1361</v>
      </c>
      <c r="B55" s="3637"/>
      <c r="C55" s="3637"/>
      <c r="D55" s="3464" t="e">
        <f ca="1">IF(H55="个人住宅",0,ROUND(D45*I55,0))</f>
        <v>#N/A</v>
      </c>
      <c r="E55" s="3453" t="s">
        <v>1362</v>
      </c>
      <c r="F55" s="2551" t="str">
        <f>IF(H55="正常",I55,"免征")</f>
        <v>免征</v>
      </c>
      <c r="G55" s="2552"/>
      <c r="H55" s="2547"/>
      <c r="I55" s="165">
        <f>'数据-取费表'!B49</f>
        <v>5.0000000000000001E-4</v>
      </c>
      <c r="J55" s="3462">
        <f>IF(H59="非个人房产","",4)</f>
        <v>4</v>
      </c>
      <c r="K55" s="3840" t="str">
        <f>IF(H59="非个人房产","——","个人所得税")</f>
        <v>个人所得税</v>
      </c>
      <c r="L55" s="3840"/>
      <c r="M55" s="2525" t="e">
        <f ca="1">D59</f>
        <v>#N/A</v>
      </c>
      <c r="N55" s="3463" t="str">
        <f>E59</f>
        <v>差额计税</v>
      </c>
      <c r="O55" s="2526">
        <f>F59</f>
        <v>0.01</v>
      </c>
    </row>
    <row r="56" spans="1:35" ht="24.75">
      <c r="A56" s="3636" t="s">
        <v>1363</v>
      </c>
      <c r="B56" s="3637"/>
      <c r="C56" s="3637"/>
      <c r="D56" s="3464" t="e">
        <f ca="1">IF(H56="个人住宅",D57,D58)</f>
        <v>#N/A</v>
      </c>
      <c r="E56" s="3453" t="s">
        <v>1364</v>
      </c>
      <c r="F56" s="2551" t="str">
        <f>IF(H56="正常",F58,"免征")</f>
        <v>免征</v>
      </c>
      <c r="G56" s="2554" t="s">
        <v>1365</v>
      </c>
      <c r="H56" s="2555"/>
      <c r="I56" s="1807"/>
      <c r="J56" s="3462" t="str">
        <f>IF(项目基本情况!K6="上海银行",IF(J55="",4,J55+1),"")</f>
        <v/>
      </c>
      <c r="K56" s="3841" t="str">
        <f>IF(项目基本情况!K6="上海银行","其他处置费用","")</f>
        <v/>
      </c>
      <c r="L56" s="3845"/>
      <c r="M56" s="2522" t="str">
        <f>IF(项目基本情况!K6="上海银行",M69,"")</f>
        <v/>
      </c>
      <c r="N56" s="3841" t="str">
        <f>IF(项目基本情况!K6="上海银行","包含处置中涉及的律师、诉讼、拍卖、评估等费用","")</f>
        <v/>
      </c>
      <c r="O56" s="3842"/>
    </row>
    <row r="57" spans="1:35" ht="12.75">
      <c r="A57" s="3452" t="s">
        <v>1341</v>
      </c>
      <c r="B57" s="3647" t="s">
        <v>1366</v>
      </c>
      <c r="C57" s="3648"/>
      <c r="D57" s="1589">
        <v>0</v>
      </c>
      <c r="E57" s="324" t="s">
        <v>1343</v>
      </c>
      <c r="F57" s="302"/>
      <c r="G57" s="2552"/>
      <c r="H57" s="2556"/>
      <c r="I57" s="1807"/>
      <c r="J57" s="3840">
        <f>IF(AND(J55="",J56=""),4,IF(项目基本情况!K6="上海银行",'结果表-车库'!J56+1,'结果表-车库'!J55+1))</f>
        <v>5</v>
      </c>
      <c r="K57" s="3840" t="s">
        <v>1367</v>
      </c>
      <c r="L57" s="2527" t="s">
        <v>1368</v>
      </c>
      <c r="M57" s="2528"/>
      <c r="N57" s="2529">
        <f ca="1">SUMIF(M52:M56,"&lt;9e307")</f>
        <v>0</v>
      </c>
      <c r="O57" s="2530"/>
      <c r="P57" s="2687" t="e">
        <f ca="1">N57/M49</f>
        <v>#N/A</v>
      </c>
    </row>
    <row r="58" spans="1:35" ht="24.75">
      <c r="A58" s="3452" t="s">
        <v>1352</v>
      </c>
      <c r="B58" s="3647" t="s">
        <v>1369</v>
      </c>
      <c r="C58" s="3621"/>
      <c r="D58" s="3464" t="e">
        <f ca="1">IF(H58="转让取得",C81,C97)</f>
        <v>#N/A</v>
      </c>
      <c r="E58" s="3453" t="s">
        <v>1364</v>
      </c>
      <c r="F58" s="302" t="s">
        <v>28</v>
      </c>
      <c r="G58" s="2552"/>
      <c r="H58" s="2555"/>
      <c r="I58" s="1807"/>
      <c r="J58" s="3840"/>
      <c r="K58" s="3840"/>
      <c r="L58" s="2527" t="s">
        <v>1370</v>
      </c>
      <c r="M58" s="2531"/>
      <c r="N58" s="2532" t="str">
        <f ca="1">NUMBERSTRING(INT(N57*10000),2)&amp;"元整"</f>
        <v>零元整</v>
      </c>
      <c r="O58" s="2533"/>
    </row>
    <row r="59" spans="1:35" ht="24.75" thickBot="1">
      <c r="A59" s="3689" t="s">
        <v>1371</v>
      </c>
      <c r="B59" s="3690"/>
      <c r="C59" s="3690"/>
      <c r="D59" s="2557" t="e">
        <f ca="1">IF(H59="非个人房产","——",IF(H59="个人住宅（满五唯一有凭证）",0,IF(H59="个人其他（无凭证）",ROUND(D45*F59,0),ROUND(C67*F59,0))))</f>
        <v>#N/A</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2136</v>
      </c>
      <c r="J59" s="3843">
        <f>J57+1</f>
        <v>6</v>
      </c>
      <c r="K59" s="3840" t="s">
        <v>1372</v>
      </c>
      <c r="L59" s="3462" t="s">
        <v>1368</v>
      </c>
      <c r="M59" s="2534"/>
      <c r="N59" s="2535" t="e">
        <f ca="1">M49-N57</f>
        <v>#N/A</v>
      </c>
      <c r="O59" s="2536"/>
    </row>
    <row r="60" spans="1:35" ht="12" customHeight="1">
      <c r="A60" s="1808"/>
      <c r="B60" s="1746"/>
      <c r="C60" s="1746"/>
      <c r="D60" s="1746"/>
      <c r="E60" s="1577"/>
      <c r="F60" s="1807"/>
      <c r="G60" s="1807"/>
      <c r="H60" s="1809"/>
      <c r="I60" s="129"/>
      <c r="J60" s="3844"/>
      <c r="K60" s="3840"/>
      <c r="L60" s="2527" t="s">
        <v>1370</v>
      </c>
      <c r="M60" s="2531"/>
      <c r="N60" s="2532" t="e">
        <f ca="1">NUMBERSTRING(INT(N59*10000),2)&amp;"元整"</f>
        <v>#N/A</v>
      </c>
      <c r="O60" s="2533"/>
    </row>
    <row r="61" spans="1:35" ht="13.5" thickBot="1">
      <c r="A61" s="3634" t="s">
        <v>1373</v>
      </c>
      <c r="B61" s="3634"/>
      <c r="C61" s="3634"/>
      <c r="D61" s="3634"/>
      <c r="E61" s="3634"/>
      <c r="F61" s="1807"/>
      <c r="G61" s="1807"/>
      <c r="H61" s="1809"/>
      <c r="I61" s="129"/>
      <c r="J61" s="3462">
        <f>J59+1</f>
        <v>7</v>
      </c>
      <c r="K61" s="3840" t="s">
        <v>1374</v>
      </c>
      <c r="L61" s="3840"/>
      <c r="M61" s="2537"/>
      <c r="N61" s="2538" t="e">
        <f ca="1">ROUND(N59*10000/'数据-汇总表'!E3,0)</f>
        <v>#N/A</v>
      </c>
      <c r="O61" s="2539"/>
    </row>
    <row r="62" spans="1:35" ht="12.75">
      <c r="A62" s="3652" t="s">
        <v>1375</v>
      </c>
      <c r="B62" s="3653"/>
      <c r="C62" s="3456"/>
      <c r="D62" s="3456" t="s">
        <v>1376</v>
      </c>
      <c r="E62" s="166" t="s">
        <v>1377</v>
      </c>
      <c r="F62" s="1807"/>
      <c r="G62" s="1807"/>
      <c r="H62" s="1809"/>
      <c r="I62" s="129"/>
    </row>
    <row r="63" spans="1:35" ht="12.75">
      <c r="A63" s="173" t="s">
        <v>330</v>
      </c>
      <c r="B63" s="167" t="s">
        <v>1378</v>
      </c>
      <c r="C63" s="2561" t="e">
        <f ca="1">ROUND((C64+C65)/(1+'数据-取费表'!C42),0)</f>
        <v>#N/A</v>
      </c>
      <c r="D63" s="167"/>
      <c r="E63" s="168"/>
      <c r="F63" s="1807"/>
      <c r="G63" s="1807"/>
      <c r="H63" s="1809"/>
      <c r="I63" s="129"/>
      <c r="J63" s="3710" t="s">
        <v>1379</v>
      </c>
      <c r="K63" s="3465" t="s">
        <v>1380</v>
      </c>
      <c r="L63" s="3465" t="e">
        <f ca="1">IF(M49&gt;10000,M49*0.5%,IF(AND(M49&gt;1000,M49&lt;=10000),M49*1%,IF(AND(M49&gt;100,M49&lt;=1000),M49*3%,IF(AND(M49&gt;10,M49&lt;=100),M49*5%,M49*8%))))</f>
        <v>#N/A</v>
      </c>
      <c r="M63" s="302" t="e">
        <f ca="1">ROUND(L63,1)</f>
        <v>#N/A</v>
      </c>
      <c r="N63" s="2540"/>
      <c r="Z63" s="1751"/>
      <c r="AI63" s="1752"/>
    </row>
    <row r="64" spans="1:35" ht="14.25" customHeight="1">
      <c r="A64" s="169" t="s">
        <v>325</v>
      </c>
      <c r="B64" s="170" t="s">
        <v>1381</v>
      </c>
      <c r="C64" s="2562" t="e">
        <f ca="1">D45</f>
        <v>#N/A</v>
      </c>
      <c r="D64" s="170" t="s">
        <v>26</v>
      </c>
      <c r="E64" s="172"/>
      <c r="F64" s="1807"/>
      <c r="G64" s="1807"/>
      <c r="H64" s="1809"/>
      <c r="I64" s="129"/>
      <c r="J64" s="3710"/>
      <c r="K64" s="3465" t="s">
        <v>1382</v>
      </c>
      <c r="L64" s="3465"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1" t="s">
        <v>1383</v>
      </c>
      <c r="Z64" s="1751"/>
      <c r="AI64" s="1752"/>
    </row>
    <row r="65" spans="1:35" ht="14.25" customHeight="1">
      <c r="A65" s="169" t="s">
        <v>326</v>
      </c>
      <c r="B65" s="170" t="s">
        <v>1384</v>
      </c>
      <c r="C65" s="2563"/>
      <c r="D65" s="170"/>
      <c r="E65" s="172"/>
      <c r="F65" s="1807"/>
      <c r="G65" s="1807"/>
      <c r="H65" s="1809"/>
      <c r="I65" s="129"/>
      <c r="J65" s="3710"/>
      <c r="K65" s="3465" t="s">
        <v>1385</v>
      </c>
      <c r="L65" s="3465" t="e">
        <f ca="1">IF(M49&gt;1000,M49*0.1%,IF(AND(M49&gt;500,M49&lt;=1000),M49*0.5%,IF(AND(M49&gt;50,M49&lt;=500),M49*1%,IF(AND(M49&gt;1,M49&lt;=50),M49*1.5%))))</f>
        <v>#N/A</v>
      </c>
      <c r="M65" s="302" t="e">
        <f t="shared" ca="1" si="1"/>
        <v>#N/A</v>
      </c>
      <c r="N65" s="2541" t="s">
        <v>1383</v>
      </c>
      <c r="Z65" s="1751"/>
      <c r="AI65" s="1752"/>
    </row>
    <row r="66" spans="1:35" ht="14.25" customHeight="1">
      <c r="A66" s="173" t="s">
        <v>327</v>
      </c>
      <c r="B66" s="174" t="s">
        <v>1386</v>
      </c>
      <c r="C66" s="2564"/>
      <c r="D66" s="174" t="s">
        <v>26</v>
      </c>
      <c r="E66" s="1337" t="s">
        <v>671</v>
      </c>
      <c r="F66" s="1807"/>
      <c r="G66" s="1807"/>
      <c r="H66" s="1809"/>
      <c r="I66" s="129"/>
      <c r="J66" s="3710"/>
      <c r="K66" s="3465" t="s">
        <v>1387</v>
      </c>
      <c r="L66" s="3465" t="e">
        <f ca="1">M49*0.5%</f>
        <v>#N/A</v>
      </c>
      <c r="M66" s="302" t="e">
        <f ca="1">IF(L66&gt;0.5,0.5,ROUND(L66,0))</f>
        <v>#N/A</v>
      </c>
      <c r="N66" s="2541" t="s">
        <v>1388</v>
      </c>
      <c r="Z66" s="1751"/>
      <c r="AI66" s="1752"/>
    </row>
    <row r="67" spans="1:35" ht="14.25" customHeight="1">
      <c r="A67" s="173" t="s">
        <v>328</v>
      </c>
      <c r="B67" s="174" t="s">
        <v>1389</v>
      </c>
      <c r="C67" s="2565" t="e">
        <f ca="1">C63-C66</f>
        <v>#N/A</v>
      </c>
      <c r="D67" s="170" t="s">
        <v>26</v>
      </c>
      <c r="E67" s="172"/>
      <c r="F67" s="1807"/>
      <c r="G67" s="1807"/>
      <c r="H67" s="1809"/>
      <c r="I67" s="129"/>
      <c r="J67" s="3710"/>
      <c r="K67" s="3465" t="s">
        <v>1390</v>
      </c>
      <c r="L67" s="3465"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40"/>
      <c r="Z67" s="1751"/>
      <c r="AI67" s="1752"/>
    </row>
    <row r="68" spans="1:35" ht="14.25" customHeight="1" thickBot="1">
      <c r="A68" s="176" t="s">
        <v>329</v>
      </c>
      <c r="B68" s="177" t="s">
        <v>1391</v>
      </c>
      <c r="C68" s="2566" t="e">
        <f ca="1">IF(C67&lt;=0,0,ROUND(C67*D68,0))</f>
        <v>#N/A</v>
      </c>
      <c r="D68" s="2567">
        <f>'数据-取费表'!B41</f>
        <v>5.6000000000000001E-2</v>
      </c>
      <c r="E68" s="178"/>
      <c r="F68" s="1807"/>
      <c r="G68" s="1807"/>
      <c r="H68" s="1809"/>
      <c r="I68" s="129"/>
      <c r="J68" s="3710"/>
      <c r="K68" s="3465" t="s">
        <v>1392</v>
      </c>
      <c r="L68" s="3465" t="e">
        <f ca="1">IF(M49&gt;10000,M49*0.5%,IF(AND(M49&gt;5000,M49&lt;=10000),M49*1%,IF(AND(M49&gt;1000,M49&lt;=5000),M49*2%,IF(AND(M49&gt;200,M49&lt;=1000),M49*3%,M49*5%))))</f>
        <v>#N/A</v>
      </c>
      <c r="M68" s="302" t="e">
        <f ca="1">ROUND(L68,1)</f>
        <v>#N/A</v>
      </c>
      <c r="N68" s="2540"/>
      <c r="Z68" s="1751"/>
      <c r="AI68" s="1752"/>
    </row>
    <row r="69" spans="1:35" s="1771" customFormat="1" ht="16.5" customHeight="1">
      <c r="A69" s="1810"/>
      <c r="B69" s="1811"/>
      <c r="C69" s="1812"/>
      <c r="D69" s="1813"/>
      <c r="E69" s="1814"/>
      <c r="F69" s="1577"/>
      <c r="G69" s="1577"/>
      <c r="H69" s="1576"/>
      <c r="I69" s="1746"/>
      <c r="J69" s="3710"/>
      <c r="K69" s="3465" t="s">
        <v>1393</v>
      </c>
      <c r="L69" s="3465"/>
      <c r="M69" s="302" t="e">
        <f ca="1">ROUND(SUM(M63:M68),0)</f>
        <v>#N/A</v>
      </c>
      <c r="N69" s="2542" t="e">
        <f ca="1">M69/M49</f>
        <v>#N/A</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73" t="s">
        <v>1394</v>
      </c>
      <c r="B70" s="3674"/>
      <c r="C70" s="3674"/>
      <c r="D70" s="3674"/>
      <c r="E70" s="3674"/>
      <c r="F70" s="3674"/>
      <c r="G70" s="3674"/>
      <c r="H70" s="367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2" t="s">
        <v>1375</v>
      </c>
      <c r="B71" s="3653"/>
      <c r="C71" s="3456"/>
      <c r="D71" s="3456"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t="e">
        <f ca="1">ROUND(D45/(1+'数据-取费表'!C42),0)</f>
        <v>#N/A</v>
      </c>
      <c r="D72" s="170" t="s">
        <v>26</v>
      </c>
      <c r="E72" s="3455"/>
      <c r="F72" s="3448"/>
      <c r="G72" s="3448"/>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t="e">
        <f ca="1">C74+C78</f>
        <v>#N/A</v>
      </c>
      <c r="D73" s="170" t="s">
        <v>26</v>
      </c>
      <c r="E73" s="3455"/>
      <c r="F73" s="3448"/>
      <c r="G73" s="344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3455"/>
      <c r="F74" s="3448"/>
      <c r="G74" s="344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647" t="s">
        <v>1402</v>
      </c>
      <c r="F76" s="3621"/>
      <c r="G76" s="3621"/>
      <c r="H76" s="367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3464" t="s">
        <v>1404</v>
      </c>
      <c r="F77" s="186"/>
      <c r="G77" s="1821"/>
      <c r="H77" s="345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#N/A</v>
      </c>
      <c r="D78" s="2574">
        <f>'数据-取费表'!B43</f>
        <v>6.000000000000001E-3</v>
      </c>
      <c r="E78" s="3631" t="s">
        <v>1406</v>
      </c>
      <c r="F78" s="3632"/>
      <c r="G78" s="3632"/>
      <c r="H78" s="364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5" t="e">
        <f ca="1">C72-C73</f>
        <v>#N/A</v>
      </c>
      <c r="D79" s="170" t="s">
        <v>26</v>
      </c>
      <c r="E79" s="3455"/>
      <c r="F79" s="3448"/>
      <c r="G79" s="344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#N/A</v>
      </c>
      <c r="D80" s="170" t="s">
        <v>26</v>
      </c>
      <c r="E80" s="3464" t="e">
        <f ca="1">IF(C80&gt;=200%,"增值额超过扣除项目金额200%",IF(C80&gt;=100%,"增值额超过扣除项目金额100%，未超过200%",IF(C80&gt;=50%,"增值额超过扣除项目金额50%，未超过100%",IF(C80&lt;50%,"增值额未超过扣除项目金额50%"))))</f>
        <v>#N/A</v>
      </c>
      <c r="F80" s="3448"/>
      <c r="G80" s="344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t="e">
        <f ca="1">ROUND(IF(C79&lt;=0,0,IF(C80&gt;=200%,C79*60%-C73*35%,IF(C80&gt;=100%,C79*50%-C73*15%,IF(C80&gt;=50%,C79*40%-C73*5%,IF(C80&lt;50%,C79*30%,0))))),0)</f>
        <v>#N/A</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73" t="s">
        <v>1410</v>
      </c>
      <c r="B83" s="3674"/>
      <c r="C83" s="3674"/>
      <c r="D83" s="3674"/>
      <c r="E83" s="3674"/>
      <c r="F83" s="3674"/>
      <c r="G83" s="3674"/>
      <c r="H83" s="367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2" t="s">
        <v>1375</v>
      </c>
      <c r="B84" s="3653"/>
      <c r="C84" s="3456"/>
      <c r="D84" s="3456"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t="e">
        <f ca="1">ROUND(D45/(1+'数据-取费表'!C42),0)</f>
        <v>#N/A</v>
      </c>
      <c r="D85" s="170" t="s">
        <v>26</v>
      </c>
      <c r="E85" s="3455"/>
      <c r="F85" s="3448"/>
      <c r="G85" s="344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t="e">
        <f ca="1">IF(H88="仅含出让金",C87+C90+C91+C92+C93+C94,C87+C91+C92+C93+C94)</f>
        <v>#N/A</v>
      </c>
      <c r="D86" s="2578"/>
      <c r="E86" s="3455"/>
      <c r="F86" s="3448"/>
      <c r="G86" s="344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3449"/>
      <c r="F87" s="3450"/>
      <c r="G87" s="3450"/>
      <c r="H87" s="345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3450"/>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3450"/>
      <c r="G89" s="3450"/>
      <c r="H89" s="345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3450"/>
      <c r="G90" s="3712" t="s">
        <v>2128</v>
      </c>
      <c r="H90" s="371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631" t="s">
        <v>1419</v>
      </c>
      <c r="F91" s="3632"/>
      <c r="G91" s="363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631" t="s">
        <v>1422</v>
      </c>
      <c r="F92" s="3632"/>
      <c r="G92" s="3632"/>
      <c r="H92" s="364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#N/A</v>
      </c>
      <c r="D93" s="2574">
        <f>'数据-取费表'!B43</f>
        <v>6.000000000000001E-3</v>
      </c>
      <c r="E93" s="3631" t="s">
        <v>1406</v>
      </c>
      <c r="F93" s="3632"/>
      <c r="G93" s="3632"/>
      <c r="H93" s="364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642" t="s">
        <v>1426</v>
      </c>
      <c r="F94" s="3643"/>
      <c r="G94" s="3643"/>
      <c r="H94" s="364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5" t="e">
        <f ca="1">ROUND(C85-C86,0)</f>
        <v>#N/A</v>
      </c>
      <c r="D95" s="170" t="s">
        <v>26</v>
      </c>
      <c r="E95" s="3455"/>
      <c r="F95" s="3448"/>
      <c r="G95" s="344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#N/A</v>
      </c>
      <c r="D96" s="170" t="s">
        <v>26</v>
      </c>
      <c r="E96" s="3464" t="e">
        <f ca="1">IF(C96&gt;=200%,"增值额超过扣除项目金额200%",IF(C96&gt;=100%,"增值额超过扣除项目金额100%，未超过200%",IF(C96&gt;=50%,"增值额超过扣除项目金额50%，未超过100%",IF(C96&lt;50%,"增值额未超过扣除项目金额50%"))))</f>
        <v>#N/A</v>
      </c>
      <c r="F96" s="3448"/>
      <c r="G96" s="344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t="e">
        <f ca="1">ROUND(IF(C95&lt;=0,0,IF(C96&gt;=200%,C95*60%-C86*35%,IF(C96&gt;=100%,C95*50%-C86*15%,IF(C96&gt;=50%,C95*40%-C86*5%,IF(C96&lt;50%,C95*30%,0))))),0)</f>
        <v>#N/A</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15" t="s">
        <v>1428</v>
      </c>
      <c r="B100" s="3616"/>
      <c r="C100" s="3616"/>
      <c r="D100" s="3633"/>
      <c r="E100" s="3616" t="s">
        <v>1429</v>
      </c>
      <c r="F100" s="3616"/>
      <c r="G100" s="3616"/>
      <c r="H100" s="3633"/>
      <c r="I100" s="129"/>
    </row>
    <row r="101" spans="1:35" ht="18.75" customHeight="1">
      <c r="A101" s="3694" t="s">
        <v>1430</v>
      </c>
      <c r="B101" s="3695"/>
      <c r="C101" s="2582" t="str">
        <f>C4</f>
        <v>成本法-车库</v>
      </c>
      <c r="D101" s="2583" t="str">
        <f>D4</f>
        <v>收益法-车库</v>
      </c>
      <c r="E101" s="3707" t="s">
        <v>1431</v>
      </c>
      <c r="F101" s="3665"/>
      <c r="G101" s="1826" t="s">
        <v>1432</v>
      </c>
      <c r="H101" s="2592" t="e">
        <f ca="1">H118</f>
        <v>#N/A</v>
      </c>
      <c r="I101" s="129"/>
    </row>
    <row r="102" spans="1:35" ht="18.75" customHeight="1">
      <c r="A102" s="3667" t="s">
        <v>1433</v>
      </c>
      <c r="B102" s="2581" t="s">
        <v>1432</v>
      </c>
      <c r="C102" s="2582" t="e">
        <f ca="1">IF(D32="楼面单价",ROUND(C19,0),C19)</f>
        <v>#N/A</v>
      </c>
      <c r="D102" s="2583" t="e">
        <f ca="1">IF(D32="楼面单价",ROUND(D19,0),D19)</f>
        <v>#N/A</v>
      </c>
      <c r="E102" s="3707"/>
      <c r="F102" s="3665"/>
      <c r="G102" s="1826" t="s">
        <v>1434</v>
      </c>
      <c r="H102" s="2552" t="e">
        <f ca="1">I118</f>
        <v>#N/A</v>
      </c>
      <c r="I102" s="129"/>
    </row>
    <row r="103" spans="1:35" ht="42.75" customHeight="1">
      <c r="A103" s="3667"/>
      <c r="B103" s="2581" t="s">
        <v>1434</v>
      </c>
      <c r="C103" s="2584" t="e">
        <f ca="1">C20</f>
        <v>#N/A</v>
      </c>
      <c r="D103" s="2585">
        <f ca="1">D20</f>
        <v>0</v>
      </c>
      <c r="E103" s="3702" t="s">
        <v>1435</v>
      </c>
      <c r="F103" s="3703"/>
      <c r="G103" s="1827" t="s">
        <v>1436</v>
      </c>
      <c r="H103" s="2592">
        <f>IF(D36="正常操作",H104+H105+H106,H105+H106)</f>
        <v>0</v>
      </c>
      <c r="I103" s="129"/>
    </row>
    <row r="104" spans="1:35" ht="18.75" customHeight="1">
      <c r="A104" s="3667" t="s">
        <v>1437</v>
      </c>
      <c r="B104" s="2586" t="s">
        <v>1432</v>
      </c>
      <c r="C104" s="2587" t="e">
        <f ca="1">H118</f>
        <v>#N/A</v>
      </c>
      <c r="D104" s="2588"/>
      <c r="E104" s="1673" t="s">
        <v>1438</v>
      </c>
      <c r="F104" s="1665"/>
      <c r="G104" s="1827" t="s">
        <v>1436</v>
      </c>
      <c r="H104" s="2593">
        <f>IF(D36="同一抵押权人同一抵押物续贷",C36&amp;"（续贷，未扣减，详见特别提示）",C36)</f>
        <v>0</v>
      </c>
      <c r="I104" s="129"/>
    </row>
    <row r="105" spans="1:35" ht="18.75" customHeight="1" thickBot="1">
      <c r="A105" s="3668"/>
      <c r="B105" s="2589" t="s">
        <v>1434</v>
      </c>
      <c r="C105" s="2590" t="e">
        <f ca="1">I118</f>
        <v>#N/A</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64" t="str">
        <f>IF(项目基本情况!E8="已注销","——","3.房地产抵押价值")</f>
        <v>3.房地产抵押价值</v>
      </c>
      <c r="F107" s="3665"/>
      <c r="G107" s="1826" t="s">
        <v>1432</v>
      </c>
      <c r="H107" s="2592" t="e">
        <f ca="1">IF(E107="——","——",H101-H103)</f>
        <v>#N/A</v>
      </c>
      <c r="I107" s="129"/>
    </row>
    <row r="108" spans="1:35" ht="18.75" customHeight="1">
      <c r="A108" s="129"/>
      <c r="B108" s="129"/>
      <c r="C108" s="129"/>
      <c r="D108" s="129"/>
      <c r="E108" s="3664"/>
      <c r="F108" s="3665"/>
      <c r="G108" s="1826" t="s">
        <v>1434</v>
      </c>
      <c r="H108" s="2552" t="e">
        <f ca="1">IF(H107=H101,H102,ROUND(H107*10000/'数据-汇总表'!E3,0))</f>
        <v>#N/A</v>
      </c>
      <c r="I108" s="129"/>
    </row>
    <row r="109" spans="1:35" ht="18.75" customHeight="1">
      <c r="A109" s="129"/>
      <c r="B109" s="129"/>
      <c r="C109" s="129"/>
      <c r="D109" s="129"/>
      <c r="E109" s="3664" t="str">
        <f>IF(项目基本情况!E8="已注销及未注销","4.抵押担保权已注销时的房地产抵押价值",IF(项目基本情况!E8="已注销","3.抵押担保权已注销时的房地产抵押价值","——"))</f>
        <v>——</v>
      </c>
      <c r="F109" s="3665"/>
      <c r="G109" s="1826" t="s">
        <v>1432</v>
      </c>
      <c r="H109" s="2595" t="str">
        <f>IF(E109="——","——",H101-H105-H106)</f>
        <v>——</v>
      </c>
      <c r="I109" s="129"/>
    </row>
    <row r="110" spans="1:35" ht="18.75" customHeight="1">
      <c r="A110" s="129"/>
      <c r="B110" s="129"/>
      <c r="C110" s="129"/>
      <c r="D110" s="129"/>
      <c r="E110" s="3664"/>
      <c r="F110" s="3665"/>
      <c r="G110" s="1826" t="s">
        <v>1434</v>
      </c>
      <c r="H110" s="2552" t="str">
        <f>IF(H109="——","——",ROUND(H109*10000/'数据-汇总表'!E3,0))</f>
        <v>——</v>
      </c>
      <c r="I110" s="129"/>
    </row>
    <row r="111" spans="1:35" ht="18.75" customHeight="1">
      <c r="A111" s="129"/>
      <c r="B111" s="129"/>
      <c r="C111" s="129"/>
      <c r="D111" s="129"/>
      <c r="E111" s="3696" t="str">
        <f>IF(项目基本情况!E9="抵押净值",IF(OR(项目基本情况!E8="已注销",项目基本情况!E8="房地产抵押价值"),"4.抵押净值","5.抵押净值"),"——")</f>
        <v>4.抵押净值</v>
      </c>
      <c r="F111" s="3666"/>
      <c r="G111" s="1826" t="s">
        <v>1432</v>
      </c>
      <c r="H111" s="2592" t="e">
        <f ca="1">IF(E111="——","——",N59)</f>
        <v>#N/A</v>
      </c>
      <c r="I111" s="129"/>
    </row>
    <row r="112" spans="1:35" ht="18.75" customHeight="1" thickBot="1">
      <c r="A112" s="129"/>
      <c r="B112" s="129"/>
      <c r="C112" s="129"/>
      <c r="D112" s="129"/>
      <c r="E112" s="3697"/>
      <c r="F112" s="3698"/>
      <c r="G112" s="1829" t="s">
        <v>1434</v>
      </c>
      <c r="H112" s="2596" t="e">
        <f ca="1">IF(E111="——","——",N61)</f>
        <v>#N/A</v>
      </c>
      <c r="I112" s="129"/>
    </row>
    <row r="113" spans="1:27" ht="18.75" customHeight="1">
      <c r="A113" s="129"/>
      <c r="B113" s="129"/>
      <c r="C113" s="129"/>
      <c r="D113" s="129"/>
      <c r="E113" s="3669" t="s">
        <v>1440</v>
      </c>
      <c r="F113" s="3669"/>
      <c r="G113" s="3669"/>
      <c r="H113" s="3669"/>
      <c r="I113" s="129"/>
    </row>
    <row r="114" spans="1:27" ht="3.75" customHeight="1">
      <c r="A114" s="1746"/>
      <c r="B114" s="1746"/>
      <c r="C114" s="1746"/>
      <c r="D114" s="1746"/>
      <c r="E114" s="1808"/>
      <c r="F114" s="1808"/>
      <c r="G114" s="1808"/>
      <c r="H114" s="1808"/>
      <c r="I114" s="1746"/>
    </row>
    <row r="115" spans="1:27" ht="18.75" customHeight="1">
      <c r="A115" s="3679" t="s">
        <v>1442</v>
      </c>
      <c r="B115" s="3680"/>
      <c r="C115" s="3680"/>
      <c r="D115" s="3680"/>
      <c r="E115" s="3680"/>
      <c r="F115" s="3680"/>
      <c r="G115" s="3680"/>
      <c r="H115" s="3680"/>
      <c r="I115" s="3681"/>
    </row>
    <row r="116" spans="1:27" ht="27" customHeight="1">
      <c r="A116" s="3635" t="s">
        <v>1443</v>
      </c>
      <c r="B116" s="3670" t="s">
        <v>1444</v>
      </c>
      <c r="C116" s="3670" t="s">
        <v>1445</v>
      </c>
      <c r="D116" s="3683" t="s">
        <v>1446</v>
      </c>
      <c r="E116" s="3684"/>
      <c r="F116" s="3678" t="s">
        <v>1447</v>
      </c>
      <c r="G116" s="3678"/>
      <c r="H116" s="3635" t="s">
        <v>1448</v>
      </c>
      <c r="I116" s="3635"/>
    </row>
    <row r="117" spans="1:27" ht="18.75" customHeight="1">
      <c r="A117" s="3635"/>
      <c r="B117" s="3671"/>
      <c r="C117" s="3671"/>
      <c r="D117" s="3451" t="s">
        <v>1449</v>
      </c>
      <c r="E117" s="3451" t="s">
        <v>1450</v>
      </c>
      <c r="F117" s="3451" t="s">
        <v>1449</v>
      </c>
      <c r="G117" s="3451" t="s">
        <v>1451</v>
      </c>
      <c r="H117" s="3451" t="s">
        <v>1449</v>
      </c>
      <c r="I117" s="3451" t="s">
        <v>1451</v>
      </c>
    </row>
    <row r="118" spans="1:27" ht="24.75" customHeight="1">
      <c r="A118" s="2597" t="str">
        <f>项目基本情况!S2</f>
        <v>北京市房地产</v>
      </c>
      <c r="B118" s="3451">
        <f>M18</f>
        <v>0</v>
      </c>
      <c r="C118" s="3451">
        <f>M19</f>
        <v>0</v>
      </c>
      <c r="D118" s="3451" t="e">
        <f ca="1">ROUND(IF(D32="总价",C34,E118*B118/10000),0)</f>
        <v>#N/A</v>
      </c>
      <c r="E118" s="3451" t="e">
        <f ca="1">ROUND(IF(C33="自定义",IF(D32="楼面单价",C34,D118*10000/B118),I118-G118),0)</f>
        <v>#N/A</v>
      </c>
      <c r="F118" s="3451" t="e">
        <f ca="1">ROUND(IF(D32="总价",C35,G118*B118/10000),0)</f>
        <v>#N/A</v>
      </c>
      <c r="G118" s="3451" t="e">
        <f ca="1">ROUND(IF(D32="楼面单价",C35,F118*10000/B118),0)</f>
        <v>#N/A</v>
      </c>
      <c r="H118" s="3451" t="e">
        <f ca="1">ROUND(IF(D32="总价",C32,I118*B118/10000),0)</f>
        <v>#N/A</v>
      </c>
      <c r="I118" s="3451" t="e">
        <f ca="1">ROUND(IF(D32="楼面单价",C32,H118*10000/B118),0)</f>
        <v>#N/A</v>
      </c>
    </row>
    <row r="119" spans="1:27" ht="18.75" customHeight="1">
      <c r="A119" s="3635" t="s">
        <v>1452</v>
      </c>
      <c r="B119" s="3635"/>
      <c r="C119" s="3635"/>
      <c r="D119" s="3675" t="e">
        <f ca="1">NUMBERSTRING(INT(D118*10000),2)&amp;"元整"</f>
        <v>#N/A</v>
      </c>
      <c r="E119" s="3677"/>
      <c r="F119" s="3675" t="e">
        <f ca="1">NUMBERSTRING(INT(F118*10000),2)&amp;"元整"</f>
        <v>#N/A</v>
      </c>
      <c r="G119" s="3677"/>
      <c r="H119" s="3675" t="e">
        <f ca="1">NUMBERSTRING(INT(H118*10000),2)&amp;"元整"</f>
        <v>#N/A</v>
      </c>
      <c r="I119" s="3677"/>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75" t="s">
        <v>1452</v>
      </c>
      <c r="B121" s="3676"/>
      <c r="C121" s="3677"/>
      <c r="D121" s="3675" t="str">
        <f>IF(D120=0,"零元整",NUMBERSTRING(INT(D120*10000),2)&amp;"元整")</f>
        <v>零元整</v>
      </c>
      <c r="E121" s="3676"/>
      <c r="F121" s="3676"/>
      <c r="G121" s="3676"/>
      <c r="H121" s="3676"/>
      <c r="I121" s="3677"/>
      <c r="AA121" s="724"/>
    </row>
    <row r="122" spans="1:27" ht="18.75" customHeight="1">
      <c r="A122" s="3666" t="str">
        <f>IF(项目基本情况!B9="房地产市场价值","",MID(E107,3,LEN(E107)-2))</f>
        <v>房地产抵押价值</v>
      </c>
      <c r="B122" s="3666"/>
      <c r="C122" s="3666"/>
      <c r="D122" s="3699" t="e">
        <f ca="1">H107</f>
        <v>#N/A</v>
      </c>
      <c r="E122" s="3700"/>
      <c r="F122" s="3700"/>
      <c r="G122" s="3700"/>
      <c r="H122" s="3700"/>
      <c r="I122" s="3701"/>
      <c r="AA122" s="724"/>
    </row>
    <row r="123" spans="1:27" ht="18.75" customHeight="1">
      <c r="A123" s="3635" t="s">
        <v>1452</v>
      </c>
      <c r="B123" s="3635"/>
      <c r="C123" s="3635"/>
      <c r="D123" s="3675" t="e">
        <f ca="1">NUMBERSTRING(INT(D122*10000),2)&amp;"元整"</f>
        <v>#N/A</v>
      </c>
      <c r="E123" s="3676"/>
      <c r="F123" s="3676"/>
      <c r="G123" s="3676"/>
      <c r="H123" s="3676"/>
      <c r="I123" s="3677"/>
      <c r="AA123" s="724"/>
    </row>
    <row r="124" spans="1:27" ht="18.75" customHeight="1">
      <c r="A124" s="3666" t="str">
        <f>IF(项目基本情况!B9="房地产市场价值","",MID(E109,3,LEN(E109)-2))</f>
        <v/>
      </c>
      <c r="B124" s="3666"/>
      <c r="C124" s="3666"/>
      <c r="D124" s="3699" t="str">
        <f>H109</f>
        <v>——</v>
      </c>
      <c r="E124" s="3700"/>
      <c r="F124" s="3700"/>
      <c r="G124" s="3700"/>
      <c r="H124" s="3700"/>
      <c r="I124" s="3701"/>
      <c r="AA124" s="724"/>
    </row>
    <row r="125" spans="1:27" ht="18.75" customHeight="1">
      <c r="A125" s="3635" t="s">
        <v>1452</v>
      </c>
      <c r="B125" s="3635"/>
      <c r="C125" s="3635"/>
      <c r="D125" s="3675" t="e">
        <f>NUMBERSTRING(INT(D124*10000),2)&amp;"元整"</f>
        <v>#VALUE!</v>
      </c>
      <c r="E125" s="3676"/>
      <c r="F125" s="3676"/>
      <c r="G125" s="3676"/>
      <c r="H125" s="3676"/>
      <c r="I125" s="3677"/>
      <c r="AA125" s="724"/>
    </row>
    <row r="126" spans="1:27" ht="18.75" customHeight="1">
      <c r="A126" s="3666" t="str">
        <f>IF(项目基本情况!B9="房地产市场价值","",MID(E111,3,LEN(E111)-2))</f>
        <v>抵押净值</v>
      </c>
      <c r="B126" s="3666"/>
      <c r="C126" s="3666"/>
      <c r="D126" s="3699" t="e">
        <f ca="1">H111</f>
        <v>#N/A</v>
      </c>
      <c r="E126" s="3700"/>
      <c r="F126" s="3700"/>
      <c r="G126" s="3700"/>
      <c r="H126" s="3700"/>
      <c r="I126" s="3701"/>
      <c r="AA126" s="724"/>
    </row>
    <row r="127" spans="1:27" ht="18.75" customHeight="1">
      <c r="A127" s="3635" t="s">
        <v>1452</v>
      </c>
      <c r="B127" s="3635"/>
      <c r="C127" s="3635"/>
      <c r="D127" s="3675" t="e">
        <f ca="1">NUMBERSTRING(INT(D126*10000),2)&amp;"元整"</f>
        <v>#N/A</v>
      </c>
      <c r="E127" s="3676"/>
      <c r="F127" s="3676"/>
      <c r="G127" s="3676"/>
      <c r="H127" s="3676"/>
      <c r="I127" s="3677"/>
      <c r="AA127" s="724"/>
    </row>
    <row r="128" spans="1:27" ht="21.75" customHeight="1">
      <c r="A128" s="3682" t="s">
        <v>1453</v>
      </c>
      <c r="B128" s="3682"/>
      <c r="C128" s="3682"/>
      <c r="D128" s="3682"/>
      <c r="E128" s="3682"/>
      <c r="F128" s="3682"/>
      <c r="G128" s="3682"/>
      <c r="H128" s="3682"/>
      <c r="I128" s="368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3381</v>
      </c>
      <c r="C1" s="198"/>
      <c r="D1" s="198"/>
      <c r="E1" s="198"/>
      <c r="F1" s="198"/>
      <c r="G1" s="1125" t="e">
        <f>MATCH(B1,'数据-取费表'!A6:A16,0)+5</f>
        <v>#N/A</v>
      </c>
    </row>
    <row r="2" spans="1:9" s="200" customFormat="1" ht="18" customHeight="1">
      <c r="A2" s="201" t="s">
        <v>1462</v>
      </c>
      <c r="B2" s="202" t="e">
        <f ca="1">IF(D2="——",C52,C52-E2)</f>
        <v>#N/A</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t="e">
        <f ca="1">ROUND(B2*10000/(IF(B1="",'数据-汇总表'!E3,INDIRECT("'数据-取费表'!k"&amp;$G$1))),0)</f>
        <v>#N/A</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 ca="1">C6+C7+C8</f>
        <v>#N/A</v>
      </c>
      <c r="D5" s="211" t="s">
        <v>1469</v>
      </c>
      <c r="E5" s="212" t="s">
        <v>1470</v>
      </c>
      <c r="F5" s="212" t="s">
        <v>1471</v>
      </c>
      <c r="G5" s="213"/>
    </row>
    <row r="6" spans="1:9" s="214" customFormat="1" ht="13.5" customHeight="1">
      <c r="A6" s="777" t="s">
        <v>1472</v>
      </c>
      <c r="B6" s="215" t="s">
        <v>1473</v>
      </c>
      <c r="C6" s="216">
        <f>基准地价修正!E42</f>
        <v>0</v>
      </c>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t="e">
        <f ca="1">IF(G8="已包含在土地购买价格中","0",IF(B1="",'数据-取费表'!B29,IF(G9="全部缴纳",C9+C10,H9)))</f>
        <v>#N/A</v>
      </c>
      <c r="D8" s="222"/>
      <c r="E8" s="220"/>
      <c r="F8" s="221"/>
      <c r="G8" s="1855" t="s">
        <v>3405</v>
      </c>
    </row>
    <row r="9" spans="1:9" s="214" customFormat="1" ht="13.5" customHeight="1">
      <c r="A9" s="778" t="s">
        <v>355</v>
      </c>
      <c r="B9" s="224" t="s">
        <v>1478</v>
      </c>
      <c r="C9" s="225" t="e">
        <f ca="1">ROUND(D9*E9/10000,0)</f>
        <v>#N/A</v>
      </c>
      <c r="D9" s="844" t="e">
        <f ca="1">IF(B1="",'数据-汇总表'!E5,IF(INDIRECT("'数据-取费表'!c"&amp;$G$1)="住宅",INDIRECT("'数据-取费表'!k"&amp;$G$1),0))</f>
        <v>#N/A</v>
      </c>
      <c r="E9" s="225">
        <f>'数据-取费表'!B27</f>
        <v>0</v>
      </c>
      <c r="F9" s="221"/>
      <c r="G9" s="1856" t="s">
        <v>3404</v>
      </c>
      <c r="H9" s="1136"/>
      <c r="I9" s="1857" t="s">
        <v>1479</v>
      </c>
    </row>
    <row r="10" spans="1:9" s="214" customFormat="1" ht="13.5" customHeight="1">
      <c r="A10" s="778" t="s">
        <v>356</v>
      </c>
      <c r="B10" s="224" t="s">
        <v>1480</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t="e">
        <f ca="1">D9+D10</f>
        <v>#N/A</v>
      </c>
      <c r="E19" s="211">
        <f>'数据-取费表'!B31</f>
        <v>200</v>
      </c>
      <c r="F19" s="231"/>
      <c r="G19" s="1855" t="s">
        <v>3406</v>
      </c>
    </row>
    <row r="20" spans="1:7" s="214" customFormat="1" ht="13.5" customHeight="1">
      <c r="A20" s="255" t="s">
        <v>1493</v>
      </c>
      <c r="B20" s="210" t="s">
        <v>1494</v>
      </c>
      <c r="C20" s="232" t="e">
        <f ca="1">ROUND((C5+C19)*F20,0)</f>
        <v>#N/A</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t="e">
        <f ca="1">ROUND(SUM(C23:C25),0)</f>
        <v>#N/A</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t="e">
        <f ca="1">ROUND(IF('数据-取费表'!B22&lt;=1,C5*F22*'数据-取费表'!B23,C5*(POWER((1+F22),'数据-取费表'!B23)-1)),0)</f>
        <v>#N/A</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t="e">
        <f ca="1">ROUND(IF('数据-取费表'!B22&lt;=1,C20*F22*'数据-取费表'!B23/2,C20*(POWER((1+F22),'数据-取费表'!B23/2)-1)),0)</f>
        <v>#N/A</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9" t="s">
        <v>346</v>
      </c>
      <c r="B28" s="248" t="s">
        <v>1516</v>
      </c>
      <c r="C28" s="249" t="e">
        <f ca="1">ROUND((C5+C19+C20)*F27*'数据-取费表'!B21/'数据-取费表'!B20,0)</f>
        <v>#N/A</v>
      </c>
      <c r="D28" s="235"/>
      <c r="E28" s="236"/>
      <c r="F28" s="246"/>
      <c r="G28" s="247"/>
    </row>
    <row r="29" spans="1:7" s="214" customFormat="1" ht="13.5" customHeight="1">
      <c r="A29" s="779" t="s">
        <v>347</v>
      </c>
      <c r="B29" s="248" t="s">
        <v>1517</v>
      </c>
      <c r="C29" s="238" t="e">
        <f ca="1">ROUND(C21*F27*'数据-取费表'!B21/'数据-取费表'!B20,4)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t="e">
        <f ca="1">SUM(C34:C38)</f>
        <v>#N/A</v>
      </c>
      <c r="D33" s="232"/>
      <c r="E33" s="212"/>
      <c r="F33" s="241"/>
      <c r="G33" s="234"/>
    </row>
    <row r="34" spans="1:7" s="258" customFormat="1" ht="13.5" customHeight="1">
      <c r="A34" s="779" t="s">
        <v>346</v>
      </c>
      <c r="B34" s="215" t="s">
        <v>1525</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1526</v>
      </c>
    </row>
    <row r="35" spans="1:7" ht="13.5" customHeight="1">
      <c r="A35" s="779" t="s">
        <v>351</v>
      </c>
      <c r="B35" s="215" t="s">
        <v>1527</v>
      </c>
      <c r="C35" s="220" t="e">
        <f ca="1">ROUND(C34*F35,0)</f>
        <v>#N/A</v>
      </c>
      <c r="D35" s="220"/>
      <c r="E35" s="220"/>
      <c r="F35" s="259">
        <f>'数据-取费表'!B33</f>
        <v>0.03</v>
      </c>
      <c r="G35" s="219" t="s">
        <v>1528</v>
      </c>
    </row>
    <row r="36" spans="1:7" ht="24">
      <c r="A36" s="779" t="s">
        <v>352</v>
      </c>
      <c r="B36" s="215" t="s">
        <v>1529</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1530</v>
      </c>
    </row>
    <row r="37" spans="1:7" s="258" customFormat="1" ht="13.5" customHeight="1">
      <c r="A37" s="779" t="s">
        <v>353</v>
      </c>
      <c r="B37" s="215" t="s">
        <v>1531</v>
      </c>
      <c r="C37" s="249" t="e">
        <f ca="1">ROUND(E37*D37*F34/10000,0)</f>
        <v>#N/A</v>
      </c>
      <c r="D37" s="217" t="e">
        <f ca="1">D19</f>
        <v>#N/A</v>
      </c>
      <c r="E37" s="249">
        <f>'数据-取费表'!B35</f>
        <v>200</v>
      </c>
      <c r="F37" s="259"/>
      <c r="G37" s="261" t="s">
        <v>1532</v>
      </c>
    </row>
    <row r="38" spans="1:7" ht="13.5" customHeight="1">
      <c r="A38" s="779"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t="e">
        <f ca="1">ROUND(SUM(C42:C43),0)</f>
        <v>#N/A</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t="e">
        <f ca="1">ROUND(IF('数据-取费表'!B22&lt;=1,C33*F22*'数据-取费表'!B21/2,C33*(POWER((1+F22),'数据-取费表'!B21/2)-1)),0)</f>
        <v>#N/A</v>
      </c>
      <c r="D42" s="238"/>
      <c r="E42" s="238"/>
      <c r="F42" s="239"/>
      <c r="G42" s="3767" t="s">
        <v>1544</v>
      </c>
    </row>
    <row r="43" spans="1:7" ht="13.5" customHeight="1">
      <c r="A43" s="779" t="s">
        <v>347</v>
      </c>
      <c r="B43" s="215" t="s">
        <v>1545</v>
      </c>
      <c r="C43" s="238" t="e">
        <f ca="1">ROUND(IF('数据-取费表'!B22&lt;=1,C39*F22*'数据-取费表'!B21/2,C39*(POWER((1+F22),'数据-取费表'!B21/2)-1)),0)</f>
        <v>#N/A</v>
      </c>
      <c r="D43" s="238"/>
      <c r="E43" s="238"/>
      <c r="F43" s="239"/>
      <c r="G43" s="3768"/>
    </row>
    <row r="44" spans="1:7" ht="13.5" customHeight="1">
      <c r="A44" s="779" t="s">
        <v>348</v>
      </c>
      <c r="B44" s="215" t="s">
        <v>1546</v>
      </c>
      <c r="C44" s="238">
        <f ca="1">ROUND(IF('数据-取费表'!B22&lt;=1,C40*F22*'数据-取费表'!B21/2,C40*(POWER((1+F22),'数据-取费表'!B21/2)-1)),4)</f>
        <v>8.0000000000000004E-4</v>
      </c>
      <c r="D44" s="238"/>
      <c r="E44" s="238"/>
      <c r="F44" s="239"/>
      <c r="G44" s="3769"/>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9" t="s">
        <v>346</v>
      </c>
      <c r="B46" s="248" t="s">
        <v>1549</v>
      </c>
      <c r="C46" s="249" t="e">
        <f ca="1">ROUND((C33+C39)*F27,0)</f>
        <v>#N/A</v>
      </c>
      <c r="D46" s="263"/>
      <c r="E46" s="236"/>
      <c r="F46" s="246"/>
      <c r="G46" s="247"/>
    </row>
    <row r="47" spans="1:7" s="214" customFormat="1" ht="13.5" customHeight="1">
      <c r="A47" s="779" t="s">
        <v>347</v>
      </c>
      <c r="B47" s="248" t="s">
        <v>1550</v>
      </c>
      <c r="C47" s="238" t="e">
        <f ca="1">ROUND(C40*F27,4)</f>
        <v>#N/A</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#N/A</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3381</v>
      </c>
      <c r="D1" s="1361" t="s">
        <v>43</v>
      </c>
      <c r="E1" s="1362" t="s">
        <v>678</v>
      </c>
      <c r="F1" s="1061" t="e">
        <f ca="1">J53</f>
        <v>#N/A</v>
      </c>
      <c r="G1" s="1377"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791" t="s">
        <v>694</v>
      </c>
      <c r="C6" s="1073" t="e">
        <f ca="1">ROUND(F6*F8*F7*(1-F9)/10000,0)</f>
        <v>#N/A</v>
      </c>
      <c r="D6" s="155" t="s">
        <v>2108</v>
      </c>
      <c r="E6" s="302" t="s">
        <v>696</v>
      </c>
      <c r="F6" s="303" t="e">
        <f ca="1">INDIRECT("'数据-取费表'!u"&amp;$G$1)</f>
        <v>#N/A</v>
      </c>
      <c r="G6" s="1383"/>
      <c r="H6" s="1068" t="s">
        <v>398</v>
      </c>
      <c r="I6" s="3791" t="s">
        <v>694</v>
      </c>
      <c r="J6" s="301" t="e">
        <f ca="1">ROUND(M6*M8*M7*(1-M9)/10000,0)</f>
        <v>#N/A</v>
      </c>
      <c r="K6" s="155" t="s">
        <v>2107</v>
      </c>
      <c r="L6" s="302" t="s">
        <v>696</v>
      </c>
      <c r="M6" s="303" t="e">
        <f ca="1">INDIRECT("'数据-取费表'!z"&amp;$G$1)</f>
        <v>#N/A</v>
      </c>
    </row>
    <row r="7" spans="1:37" ht="18" customHeight="1">
      <c r="A7" s="1072"/>
      <c r="B7" s="3792"/>
      <c r="C7" s="1074"/>
      <c r="D7" s="307"/>
      <c r="E7" s="3466" t="s">
        <v>697</v>
      </c>
      <c r="F7" s="303" t="e">
        <f ca="1">IF(INDIRECT("'数据-取费表'!ah"&amp;$G$1)="",INDIRECT("'数据-取费表'!k"&amp;$G$1),INDIRECT("'数据-取费表'!ah"&amp;$G$1))</f>
        <v>#N/A</v>
      </c>
      <c r="G7" s="1383"/>
      <c r="H7" s="304"/>
      <c r="I7" s="3792"/>
      <c r="J7" s="306"/>
      <c r="K7" s="307"/>
      <c r="L7" s="302" t="s">
        <v>697</v>
      </c>
      <c r="M7" s="303" t="e">
        <f ca="1">F7</f>
        <v>#N/A</v>
      </c>
    </row>
    <row r="8" spans="1:37" ht="18" customHeight="1">
      <c r="A8" s="304"/>
      <c r="B8" s="3792"/>
      <c r="C8" s="306"/>
      <c r="D8" s="307"/>
      <c r="E8" s="302" t="s">
        <v>698</v>
      </c>
      <c r="F8" s="303" t="e">
        <f ca="1">INDIRECT("'数据-取费表'!ai"&amp;$G$1)</f>
        <v>#N/A</v>
      </c>
      <c r="G8" s="1383"/>
      <c r="H8" s="304"/>
      <c r="I8" s="3792"/>
      <c r="J8" s="306"/>
      <c r="K8" s="307"/>
      <c r="L8" s="302" t="s">
        <v>698</v>
      </c>
      <c r="M8" s="303" t="e">
        <f ca="1">INDIRECT("'数据-取费表'!ai"&amp;$G$1)</f>
        <v>#N/A</v>
      </c>
    </row>
    <row r="9" spans="1:37" ht="18" customHeight="1">
      <c r="A9" s="304"/>
      <c r="B9" s="3793"/>
      <c r="C9" s="306"/>
      <c r="D9" s="307"/>
      <c r="E9" s="302" t="s">
        <v>699</v>
      </c>
      <c r="F9" s="312" t="e">
        <f ca="1">INDIRECT("'数据-取费表'!w"&amp;$G$1)</f>
        <v>#N/A</v>
      </c>
      <c r="G9" s="1383"/>
      <c r="H9" s="304"/>
      <c r="I9" s="3793"/>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2116</v>
      </c>
      <c r="E10" s="313" t="s">
        <v>701</v>
      </c>
      <c r="F10" s="1115" t="s">
        <v>3384</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3445" t="s">
        <v>705</v>
      </c>
      <c r="E13" s="3445"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3455" t="s">
        <v>708</v>
      </c>
      <c r="E14" s="3448"/>
      <c r="F14" s="319"/>
      <c r="G14" s="1383"/>
      <c r="H14" s="981" t="s">
        <v>398</v>
      </c>
      <c r="I14" s="302" t="s">
        <v>709</v>
      </c>
      <c r="J14" s="21" t="e">
        <f ca="1">C29</f>
        <v>#N/A</v>
      </c>
      <c r="K14" s="3464"/>
      <c r="L14" s="806"/>
      <c r="M14" s="807"/>
    </row>
    <row r="15" spans="1:37" s="1396" customFormat="1" ht="18" customHeight="1" thickBot="1">
      <c r="A15" s="981" t="s">
        <v>399</v>
      </c>
      <c r="B15" s="302" t="s">
        <v>710</v>
      </c>
      <c r="C15" s="21" t="e">
        <f ca="1">ROUND(C14*F15,0)</f>
        <v>#N/A</v>
      </c>
      <c r="D15" s="3446" t="s">
        <v>711</v>
      </c>
      <c r="E15" s="3446"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3458"/>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3455" t="s">
        <v>720</v>
      </c>
      <c r="L17" s="345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1.4999999999999999E-2</v>
      </c>
      <c r="G18" s="1395"/>
      <c r="H18" s="981" t="s">
        <v>397</v>
      </c>
      <c r="I18" s="302" t="s">
        <v>723</v>
      </c>
      <c r="J18" s="21" t="e">
        <f ca="1">ROUND(J6*M18/(1+'数据-取费表'!C42),2)</f>
        <v>#N/A</v>
      </c>
      <c r="K18" s="345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3468"/>
      <c r="F19" s="23"/>
      <c r="G19" s="1383"/>
      <c r="H19" s="981" t="s">
        <v>399</v>
      </c>
      <c r="I19" s="302" t="s">
        <v>727</v>
      </c>
      <c r="J19" s="21" t="e">
        <f ca="1">IF(K19="按租金收入计税",ROUND(J6*M19/(1+'数据-取费表'!C42),2),ROUND(C29*M19*0.7,2))</f>
        <v>#N/A</v>
      </c>
      <c r="K19" s="1369" t="s">
        <v>3343</v>
      </c>
      <c r="L19" s="302" t="s">
        <v>712</v>
      </c>
      <c r="M19" s="322">
        <f>IF(K19="按租金收入计税",'数据-取费表'!B51,'数据-取费表'!B50)</f>
        <v>0.12</v>
      </c>
    </row>
    <row r="20" spans="1:37" s="1396" customFormat="1" ht="18" customHeight="1">
      <c r="A20" s="981" t="s">
        <v>402</v>
      </c>
      <c r="B20" s="302" t="s">
        <v>728</v>
      </c>
      <c r="C20" s="21" t="e">
        <f ca="1">ROUND(C19*F20,0)</f>
        <v>#N/A</v>
      </c>
      <c r="D20" s="2427" t="s">
        <v>729</v>
      </c>
      <c r="E20" s="302" t="s">
        <v>712</v>
      </c>
      <c r="F20" s="322">
        <f>'数据-取费表'!B37</f>
        <v>0.02</v>
      </c>
      <c r="G20" s="1395"/>
      <c r="H20" s="981" t="s">
        <v>680</v>
      </c>
      <c r="I20" s="155" t="s">
        <v>730</v>
      </c>
      <c r="J20" s="22" t="e">
        <f ca="1">ROUND(M20*M21/10000,2)</f>
        <v>#N/A</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2427"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8"/>
      <c r="F22" s="23"/>
      <c r="G22" s="1383"/>
      <c r="H22" s="981" t="s">
        <v>402</v>
      </c>
      <c r="I22" s="302" t="s">
        <v>738</v>
      </c>
      <c r="J22" s="21" t="e">
        <f ca="1">ROUND(J14*M22,2)</f>
        <v>#N/A</v>
      </c>
      <c r="K22" s="345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345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68"/>
      <c r="F25" s="23"/>
      <c r="G25" s="1383"/>
      <c r="H25" s="1078" t="s">
        <v>394</v>
      </c>
      <c r="I25" s="1093" t="s">
        <v>752</v>
      </c>
      <c r="J25" s="310" t="e">
        <f ca="1">J5-J16</f>
        <v>#N/A</v>
      </c>
      <c r="K25" s="1094" t="s">
        <v>753</v>
      </c>
      <c r="L25" s="1095"/>
      <c r="M25" s="1096"/>
    </row>
    <row r="26" spans="1:37">
      <c r="A26" s="981" t="s">
        <v>397</v>
      </c>
      <c r="B26" s="302" t="s">
        <v>754</v>
      </c>
      <c r="C26" s="21" t="e">
        <f ca="1">ROUND((C19+C20)*F26,0)</f>
        <v>#N/A</v>
      </c>
      <c r="D26" s="2427"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7" t="s">
        <v>761</v>
      </c>
      <c r="E27" s="3446"/>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3458"/>
      <c r="F30" s="1071"/>
      <c r="G30" s="1383"/>
      <c r="H30" s="2694"/>
      <c r="I30" s="1397"/>
      <c r="J30" s="1398"/>
      <c r="K30" s="2474"/>
      <c r="L30" s="2695"/>
      <c r="M30" s="2696"/>
    </row>
    <row r="31" spans="1:37" ht="18" customHeight="1">
      <c r="A31" s="981" t="s">
        <v>398</v>
      </c>
      <c r="B31" s="302" t="s">
        <v>719</v>
      </c>
      <c r="C31" s="2315" t="e">
        <f ca="1">ROUND(IF(AND(项目基本情况!B11="自然人",项目基本情况!B10="北京市"),C6*F31/(1+'数据-取费表'!C42),C32+C33+C34),2)</f>
        <v>#N/A</v>
      </c>
      <c r="D31" s="3455" t="s">
        <v>720</v>
      </c>
      <c r="E31" s="3453" t="s">
        <v>770</v>
      </c>
      <c r="F31" s="2314" t="str">
        <f>IF(项目基本情况!B11="企业","——",IF(M47="住宅",IF(F6*F7*F8/12/(1+'数据-取费表'!F30)&gt;100000,4%,2.5%),IF(F6*F7*F8/12/(1+'数据-取费表'!F30)&gt;100000,12%,7%)))</f>
        <v>——</v>
      </c>
      <c r="G31" s="1383"/>
      <c r="H31" s="2805" t="s">
        <v>2309</v>
      </c>
      <c r="I31" s="1397"/>
      <c r="J31" s="1398"/>
      <c r="K31" s="2474"/>
      <c r="L31" s="2695"/>
      <c r="M31" s="2696"/>
    </row>
    <row r="32" spans="1:37" ht="18" customHeight="1">
      <c r="A32" s="981" t="s">
        <v>397</v>
      </c>
      <c r="B32" s="302" t="s">
        <v>723</v>
      </c>
      <c r="C32" s="21" t="e">
        <f ca="1">IF(项目基本情况!B11="自然人","——",ROUND(C6*F32/(1+'数据-取费表'!C42),2))</f>
        <v>#N/A</v>
      </c>
      <c r="D32" s="3453" t="s">
        <v>724</v>
      </c>
      <c r="E32" s="302" t="s">
        <v>712</v>
      </c>
      <c r="F32" s="331">
        <f>'数据-取费表'!B41</f>
        <v>5.6000000000000001E-2</v>
      </c>
      <c r="G32" s="1383"/>
      <c r="H32" s="2694"/>
      <c r="I32" s="1397"/>
      <c r="J32" s="1398"/>
      <c r="K32" s="2474"/>
      <c r="L32" s="2695"/>
      <c r="M32" s="2696"/>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9" t="s">
        <v>3343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t="e">
        <f ca="1">IF(项目基本情况!B11="自然人","——",ROUND(F34*F35/10000,2))</f>
        <v>#N/A</v>
      </c>
      <c r="D34" s="324" t="s">
        <v>731</v>
      </c>
      <c r="E34" s="302" t="s">
        <v>732</v>
      </c>
      <c r="F34" s="325">
        <f>'数据-取费表'!B52</f>
        <v>18</v>
      </c>
      <c r="G34" s="1383"/>
      <c r="H34" s="2694"/>
      <c r="I34" s="1397"/>
      <c r="J34" s="1398"/>
      <c r="K34" s="2699"/>
      <c r="L34" s="2700"/>
      <c r="M34" s="2700"/>
    </row>
    <row r="35" spans="1:18" ht="18" customHeight="1">
      <c r="A35" s="1102"/>
      <c r="B35" s="1100"/>
      <c r="C35" s="26"/>
      <c r="D35" s="327"/>
      <c r="E35" s="302" t="s">
        <v>736</v>
      </c>
      <c r="F35" s="303" t="e">
        <f ca="1">INDIRECT("'数据-取费表'!r"&amp;$G$1)</f>
        <v>#N/A</v>
      </c>
      <c r="G35" s="1383"/>
      <c r="H35" s="2694"/>
      <c r="I35" s="1397"/>
      <c r="J35" s="1398"/>
      <c r="K35" s="2698"/>
      <c r="L35" s="2697"/>
      <c r="M35" s="2697"/>
    </row>
    <row r="36" spans="1:18" ht="18" customHeight="1">
      <c r="A36" s="1101" t="s">
        <v>402</v>
      </c>
      <c r="B36" s="302" t="s">
        <v>738</v>
      </c>
      <c r="C36" s="21" t="e">
        <f ca="1">ROUND(C29*F36,2)</f>
        <v>#N/A</v>
      </c>
      <c r="D36" s="3453" t="s">
        <v>771</v>
      </c>
      <c r="E36" s="302" t="s">
        <v>712</v>
      </c>
      <c r="F36" s="328" t="e">
        <f ca="1">INDIRECT("'数据-取费表'!Ak"&amp;$G$1)</f>
        <v>#N/A</v>
      </c>
      <c r="G36" s="1383"/>
      <c r="H36" s="2697"/>
      <c r="I36" s="1397"/>
      <c r="J36" s="1398"/>
      <c r="K36" s="2541"/>
      <c r="L36" s="2697"/>
      <c r="M36" s="2697"/>
    </row>
    <row r="37" spans="1:18" ht="18" customHeight="1">
      <c r="A37" s="981" t="s">
        <v>437</v>
      </c>
      <c r="B37" s="302" t="s">
        <v>742</v>
      </c>
      <c r="C37" s="21" t="e">
        <f ca="1">ROUND(C13*F37,2)</f>
        <v>#N/A</v>
      </c>
      <c r="D37" s="3453" t="s">
        <v>743</v>
      </c>
      <c r="E37" s="302" t="s">
        <v>744</v>
      </c>
      <c r="F37" s="330" t="e">
        <f ca="1">INDIRECT("'数据-取费表'!Al"&amp;$G$1)</f>
        <v>#N/A</v>
      </c>
      <c r="G37" s="1383"/>
      <c r="H37" s="2697"/>
      <c r="I37" s="1397"/>
      <c r="J37" s="1398"/>
      <c r="K37" s="2541"/>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3"/>
      <c r="H38" s="2697"/>
      <c r="I38" s="1397"/>
      <c r="J38" s="1398"/>
      <c r="K38" s="2701"/>
      <c r="L38" s="2697"/>
      <c r="M38" s="2697"/>
    </row>
    <row r="39" spans="1:18" ht="24.6" customHeight="1" thickTop="1">
      <c r="A39" s="1078" t="s">
        <v>394</v>
      </c>
      <c r="B39" s="1093" t="s">
        <v>772</v>
      </c>
      <c r="C39" s="310" t="e">
        <f ca="1">C5-C30</f>
        <v>#N/A</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1"/>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1"/>
      <c r="L41" s="1190"/>
      <c r="M41" s="1190"/>
    </row>
    <row r="42" spans="1:18" ht="18" customHeight="1">
      <c r="A42" s="308"/>
      <c r="B42" s="309"/>
      <c r="C42" s="310"/>
      <c r="D42" s="327"/>
      <c r="E42" s="302" t="s">
        <v>766</v>
      </c>
      <c r="F42" s="312" t="e">
        <f ca="1">INDIRECT("'数据-取费表'!v"&amp;$G$1)</f>
        <v>#N/A</v>
      </c>
      <c r="G42" s="1383"/>
      <c r="H42" s="1190"/>
      <c r="I42" s="1397"/>
      <c r="J42" s="1398"/>
      <c r="K42" s="2541"/>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3385</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3467" t="e">
        <f ca="1">C49+C53+C55</f>
        <v>#N/A</v>
      </c>
      <c r="D48" s="1111"/>
      <c r="E48" s="1112"/>
      <c r="F48" s="961"/>
      <c r="G48" s="721"/>
      <c r="H48" s="722"/>
      <c r="I48" s="1420" t="s">
        <v>819</v>
      </c>
      <c r="J48" s="1421" t="s">
        <v>3386</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2109</v>
      </c>
      <c r="E49" s="1371" t="s">
        <v>780</v>
      </c>
      <c r="F49" s="1059"/>
      <c r="G49" s="1424"/>
      <c r="H49" s="722"/>
      <c r="I49" s="1420" t="s">
        <v>823</v>
      </c>
      <c r="J49" s="1425">
        <v>2009</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46</v>
      </c>
      <c r="K51" s="1433" t="s">
        <v>830</v>
      </c>
      <c r="L51" s="1434" t="e">
        <f ca="1">ROUND(-PV(INDIRECT("'数据-取费表'!h"&amp;$G$1),J51,(C39-C13*C76),0),0)</f>
        <v>#N/A</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t="e">
        <f ca="1">IF(M47="住宅",IF(D1="——",MAX(J51,L48),MAX(J51,L48-'数据-取费表'!B24)),IF(D1="——",MIN(J51,L48),MIN(J51,L48-'数据-取费表'!B24)))</f>
        <v>#N/A</v>
      </c>
      <c r="K53" s="3789" t="s">
        <v>837</v>
      </c>
      <c r="L53" s="3790"/>
      <c r="O53" s="1417" t="s">
        <v>409</v>
      </c>
      <c r="P53" s="1418" t="s">
        <v>838</v>
      </c>
      <c r="Q53" s="1419" t="e">
        <f ca="1">Q47+Q48</f>
        <v>#N/A</v>
      </c>
      <c r="R53" s="1419" t="s">
        <v>410</v>
      </c>
    </row>
    <row r="54" spans="1:18" s="1383" customFormat="1" ht="13.5" thickBot="1">
      <c r="A54" s="1152"/>
      <c r="B54" s="1366" t="s">
        <v>679</v>
      </c>
      <c r="C54" s="958"/>
      <c r="D54" s="1365"/>
      <c r="E54" s="3460"/>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3460"/>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3377</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IF(项目基本情况!B11="自然人","——",ROUND(C48*F60/(1+'数据-取费表'!C42),2))</f>
        <v>#N/A</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IF(项目基本情况!B11="自然人","——",IF(D61="按租金收入计税",ROUND(C49*F61/(1+'数据-取费表'!C42),2),IF(D61="按房产原值计税",ROUND(C57*F61*0.7,2),INDIRECT("'数据-取费表'!Aj"&amp;$G$1))))</f>
        <v>#N/A</v>
      </c>
      <c r="D61" s="1369" t="s">
        <v>3343</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IF(项目基本情况!B11="自然人","——",ROUND(F62*F63/10000,2))</f>
        <v>#N/A</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7"/>
      <c r="C2" s="3537"/>
      <c r="D2" s="3537"/>
      <c r="E2" s="3537"/>
    </row>
    <row r="3" spans="1:5" ht="18">
      <c r="A3" s="3538" t="str">
        <f>IF(项目基本情况!B9="房地产市场价值","估价结果一览表（市场价值不需“结果表-1”）","估价结果一览表")</f>
        <v>估价结果一览表</v>
      </c>
      <c r="B3" s="3538"/>
      <c r="C3" s="3538"/>
      <c r="D3" s="3538"/>
      <c r="E3" s="3538"/>
    </row>
    <row r="4" spans="1:5" ht="19.5" thickBot="1">
      <c r="A4" s="1492"/>
      <c r="B4" s="3536" t="s">
        <v>917</v>
      </c>
      <c r="C4" s="3536"/>
      <c r="D4" s="3536"/>
      <c r="E4" s="1492"/>
    </row>
    <row r="5" spans="1:5" ht="16.5" thickTop="1">
      <c r="A5" s="1490"/>
      <c r="B5" s="3534" t="s">
        <v>909</v>
      </c>
      <c r="C5" s="1493" t="s">
        <v>910</v>
      </c>
      <c r="D5" s="849">
        <f ca="1">结果表!H101</f>
        <v>53236</v>
      </c>
      <c r="E5" s="1490"/>
    </row>
    <row r="6" spans="1:5" ht="15.75">
      <c r="A6" s="1490"/>
      <c r="B6" s="3534"/>
      <c r="C6" s="1493" t="s">
        <v>911</v>
      </c>
      <c r="D6" s="849" t="str">
        <f ca="1">NUMBERSTRING(INT(D5*10000),2)&amp;"元整"</f>
        <v>伍亿叁仟贰佰叁拾陆万元整</v>
      </c>
      <c r="E6" s="1490"/>
    </row>
    <row r="7" spans="1:5" ht="15.75">
      <c r="A7" s="1490"/>
      <c r="B7" s="3539"/>
      <c r="C7" s="1494" t="s">
        <v>912</v>
      </c>
      <c r="D7" s="850">
        <f ca="1">结果表!H102</f>
        <v>27424</v>
      </c>
      <c r="E7" s="1490"/>
    </row>
    <row r="8" spans="1:5" ht="15.75">
      <c r="A8" s="1490"/>
      <c r="B8" s="3540" t="str">
        <f>结果表!E103</f>
        <v>2.估价师知悉的法定优先受偿款</v>
      </c>
      <c r="C8" s="1495" t="s">
        <v>913</v>
      </c>
      <c r="D8" s="850">
        <f>结果表!H103</f>
        <v>0</v>
      </c>
      <c r="E8" s="1490"/>
    </row>
    <row r="9" spans="1:5" ht="15.75">
      <c r="A9" s="1490"/>
      <c r="B9" s="354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33" t="str">
        <f>结果表!E107</f>
        <v>3.房地产抵押价值</v>
      </c>
      <c r="C13" s="1498" t="s">
        <v>910</v>
      </c>
      <c r="D13" s="852">
        <f ca="1">结果表!H107</f>
        <v>53236</v>
      </c>
      <c r="E13" s="1490"/>
    </row>
    <row r="14" spans="1:5" ht="15.75">
      <c r="A14" s="1490"/>
      <c r="B14" s="3534"/>
      <c r="C14" s="1493" t="s">
        <v>911</v>
      </c>
      <c r="D14" s="849" t="str">
        <f ca="1">NUMBERSTRING(INT(D13*10000),2)&amp;"元整"</f>
        <v>伍亿叁仟贰佰叁拾陆万元整</v>
      </c>
      <c r="E14" s="1490"/>
    </row>
    <row r="15" spans="1:5" ht="15">
      <c r="A15" s="1490"/>
      <c r="B15" s="3539"/>
      <c r="C15" s="1494" t="s">
        <v>921</v>
      </c>
      <c r="D15" s="858">
        <f ca="1">结果表!H108</f>
        <v>27424</v>
      </c>
      <c r="E15" s="1490"/>
    </row>
    <row r="16" spans="1:5" ht="15">
      <c r="A16" s="1490"/>
      <c r="B16" s="3540" t="str">
        <f>结果表!E109</f>
        <v>——</v>
      </c>
      <c r="C16" s="1498" t="s">
        <v>922</v>
      </c>
      <c r="D16" s="1499" t="str">
        <f>结果表!H109</f>
        <v>——</v>
      </c>
      <c r="E16" s="1490"/>
    </row>
    <row r="17" spans="1:5" ht="15.75">
      <c r="A17" s="1490"/>
      <c r="B17" s="3541"/>
      <c r="C17" s="1493" t="s">
        <v>923</v>
      </c>
      <c r="D17" s="849" t="e">
        <f>NUMBERSTRING(INT(D16*10000),2)&amp;"元整"</f>
        <v>#VALUE!</v>
      </c>
      <c r="E17" s="1490"/>
    </row>
    <row r="18" spans="1:5" ht="15">
      <c r="A18" s="1490"/>
      <c r="B18" s="3542"/>
      <c r="C18" s="1494" t="s">
        <v>912</v>
      </c>
      <c r="D18" s="858" t="str">
        <f>结果表!H110</f>
        <v>——</v>
      </c>
      <c r="E18" s="1490"/>
    </row>
    <row r="19" spans="1:5" ht="15.75">
      <c r="A19" s="1490"/>
      <c r="B19" s="3533" t="str">
        <f>结果表!E111</f>
        <v>4.抵押净值</v>
      </c>
      <c r="C19" s="1498" t="s">
        <v>910</v>
      </c>
      <c r="D19" s="850">
        <f ca="1">结果表!H111</f>
        <v>48009</v>
      </c>
      <c r="E19" s="1490"/>
    </row>
    <row r="20" spans="1:5" ht="15.75">
      <c r="A20" s="1490"/>
      <c r="B20" s="3534"/>
      <c r="C20" s="1493" t="s">
        <v>923</v>
      </c>
      <c r="D20" s="849" t="str">
        <f ca="1">NUMBERSTRING(INT(D19*10000),2)&amp;"元整"</f>
        <v>肆亿捌仟零玖万元整</v>
      </c>
      <c r="E20" s="1490"/>
    </row>
    <row r="21" spans="1:5" ht="15.75" thickBot="1">
      <c r="A21" s="1490"/>
      <c r="B21" s="3535"/>
      <c r="C21" s="1500" t="s">
        <v>921</v>
      </c>
      <c r="D21" s="859">
        <f ca="1">结果表!H112</f>
        <v>24732</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860" t="s">
        <v>2609</v>
      </c>
      <c r="B20" s="3855" t="s">
        <v>2630</v>
      </c>
      <c r="C20" s="3100" t="s">
        <v>2441</v>
      </c>
      <c r="D20" s="3101"/>
      <c r="E20" s="3102">
        <v>1</v>
      </c>
      <c r="F20" s="3103" t="s">
        <v>2442</v>
      </c>
      <c r="G20" s="3103"/>
    </row>
    <row r="21" spans="1:13" ht="19.5" customHeight="1">
      <c r="A21" s="3861"/>
      <c r="B21" s="3854"/>
      <c r="C21" s="3104" t="s">
        <v>2443</v>
      </c>
      <c r="D21" s="3105"/>
      <c r="E21" s="3106">
        <v>1</v>
      </c>
      <c r="F21" s="3103" t="s">
        <v>2444</v>
      </c>
      <c r="G21" s="3103"/>
    </row>
    <row r="22" spans="1:13" ht="19.5" customHeight="1">
      <c r="A22" s="3861"/>
      <c r="B22" s="3854"/>
      <c r="C22" s="3104" t="s">
        <v>2445</v>
      </c>
      <c r="D22" s="3105"/>
      <c r="E22" s="3106">
        <v>0.9</v>
      </c>
      <c r="F22" s="3103" t="s">
        <v>2446</v>
      </c>
      <c r="G22" s="3103"/>
    </row>
    <row r="23" spans="1:13" ht="19.5" customHeight="1">
      <c r="A23" s="3861"/>
      <c r="B23" s="3854"/>
      <c r="C23" s="3104" t="s">
        <v>2447</v>
      </c>
      <c r="D23" s="3105"/>
      <c r="E23" s="3106">
        <v>0.9</v>
      </c>
      <c r="F23" s="3103" t="s">
        <v>2448</v>
      </c>
      <c r="G23" s="3103"/>
    </row>
    <row r="24" spans="1:13" ht="19.5" customHeight="1">
      <c r="A24" s="3861"/>
      <c r="B24" s="3854"/>
      <c r="C24" s="3104" t="s">
        <v>2449</v>
      </c>
      <c r="D24" s="3105"/>
      <c r="E24" s="3106">
        <v>0.8</v>
      </c>
      <c r="F24" s="3103" t="s">
        <v>2450</v>
      </c>
      <c r="G24" s="3103"/>
    </row>
    <row r="25" spans="1:13" ht="19.5" customHeight="1" thickBot="1">
      <c r="A25" s="3862"/>
      <c r="B25" s="3856"/>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857" t="s">
        <v>2633</v>
      </c>
      <c r="B27" s="3855" t="s">
        <v>2614</v>
      </c>
      <c r="C27" s="3100" t="s">
        <v>2454</v>
      </c>
      <c r="D27" s="3101"/>
      <c r="E27" s="3102">
        <v>1</v>
      </c>
      <c r="F27" s="3103" t="s">
        <v>2455</v>
      </c>
      <c r="G27" s="3103"/>
    </row>
    <row r="28" spans="1:13" ht="19.5" customHeight="1">
      <c r="A28" s="3858"/>
      <c r="B28" s="3854"/>
      <c r="C28" s="3104" t="s">
        <v>2456</v>
      </c>
      <c r="D28" s="3105"/>
      <c r="E28" s="3106">
        <v>1</v>
      </c>
      <c r="F28" s="3103" t="s">
        <v>2457</v>
      </c>
      <c r="G28" s="3103"/>
    </row>
    <row r="29" spans="1:13" ht="19.5" customHeight="1">
      <c r="A29" s="3858"/>
      <c r="B29" s="3854"/>
      <c r="C29" s="3104" t="s">
        <v>2458</v>
      </c>
      <c r="D29" s="3105"/>
      <c r="E29" s="3106">
        <v>0.8</v>
      </c>
      <c r="F29" s="3103" t="s">
        <v>2459</v>
      </c>
      <c r="G29" s="3103"/>
    </row>
    <row r="30" spans="1:13" ht="19.5" customHeight="1">
      <c r="A30" s="3858"/>
      <c r="B30" s="3854"/>
      <c r="C30" s="3104" t="s">
        <v>2460</v>
      </c>
      <c r="D30" s="3105"/>
      <c r="E30" s="3106">
        <v>0.8</v>
      </c>
      <c r="F30" s="3103" t="s">
        <v>2461</v>
      </c>
      <c r="G30" s="3103"/>
    </row>
    <row r="31" spans="1:13" ht="19.5" customHeight="1">
      <c r="A31" s="3858"/>
      <c r="B31" s="3854"/>
      <c r="C31" s="3104" t="s">
        <v>2462</v>
      </c>
      <c r="D31" s="3105"/>
      <c r="E31" s="3106">
        <v>0.8</v>
      </c>
      <c r="F31" s="3103" t="s">
        <v>2463</v>
      </c>
      <c r="G31" s="3103"/>
    </row>
    <row r="32" spans="1:13" ht="19.5" customHeight="1">
      <c r="A32" s="3858"/>
      <c r="B32" s="3854"/>
      <c r="C32" s="3104" t="s">
        <v>2464</v>
      </c>
      <c r="D32" s="3105"/>
      <c r="E32" s="3106">
        <v>0.7</v>
      </c>
      <c r="F32" s="3103" t="s">
        <v>2465</v>
      </c>
      <c r="G32" s="3103"/>
    </row>
    <row r="33" spans="1:7" ht="19.5" customHeight="1">
      <c r="A33" s="3858"/>
      <c r="B33" s="3854"/>
      <c r="C33" s="3104" t="s">
        <v>2466</v>
      </c>
      <c r="D33" s="3105"/>
      <c r="E33" s="3106">
        <v>0.8</v>
      </c>
      <c r="F33" s="3103" t="s">
        <v>2467</v>
      </c>
      <c r="G33" s="3103"/>
    </row>
    <row r="34" spans="1:7" ht="19.5" customHeight="1">
      <c r="A34" s="3858"/>
      <c r="B34" s="3854"/>
      <c r="C34" s="3104" t="s">
        <v>2468</v>
      </c>
      <c r="D34" s="3105"/>
      <c r="E34" s="3106">
        <v>0.6</v>
      </c>
      <c r="F34" s="3103" t="s">
        <v>2469</v>
      </c>
      <c r="G34" s="3103"/>
    </row>
    <row r="35" spans="1:7" ht="19.5" customHeight="1">
      <c r="A35" s="3858"/>
      <c r="B35" s="3854"/>
      <c r="C35" s="3104" t="s">
        <v>2470</v>
      </c>
      <c r="D35" s="3105"/>
      <c r="E35" s="3106">
        <v>0.2</v>
      </c>
      <c r="F35" s="3103" t="s">
        <v>2471</v>
      </c>
      <c r="G35" s="3103"/>
    </row>
    <row r="36" spans="1:7" ht="19.5" customHeight="1">
      <c r="A36" s="3858"/>
      <c r="B36" s="3854"/>
      <c r="C36" s="3104" t="s">
        <v>2472</v>
      </c>
      <c r="D36" s="3105"/>
      <c r="E36" s="3106">
        <v>0.2</v>
      </c>
      <c r="F36" s="3103" t="s">
        <v>2473</v>
      </c>
      <c r="G36" s="3103"/>
    </row>
    <row r="37" spans="1:7" ht="19.5" customHeight="1">
      <c r="A37" s="3858"/>
      <c r="B37" s="3852" t="s">
        <v>2634</v>
      </c>
      <c r="C37" s="3104" t="s">
        <v>2474</v>
      </c>
      <c r="D37" s="3105"/>
      <c r="E37" s="3106">
        <v>0.6</v>
      </c>
      <c r="F37" s="3103" t="s">
        <v>2475</v>
      </c>
      <c r="G37" s="3103"/>
    </row>
    <row r="38" spans="1:7" ht="19.5" customHeight="1">
      <c r="A38" s="3858"/>
      <c r="B38" s="3854"/>
      <c r="C38" s="3104" t="s">
        <v>2476</v>
      </c>
      <c r="D38" s="3105"/>
      <c r="E38" s="3106">
        <v>0.6</v>
      </c>
      <c r="F38" s="3103" t="s">
        <v>2477</v>
      </c>
      <c r="G38" s="3103"/>
    </row>
    <row r="39" spans="1:7" ht="19.5" customHeight="1" thickBot="1">
      <c r="A39" s="3859"/>
      <c r="B39" s="3856"/>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860" t="s">
        <v>2612</v>
      </c>
      <c r="B41" s="3855" t="s">
        <v>2636</v>
      </c>
      <c r="C41" s="3100" t="s">
        <v>2481</v>
      </c>
      <c r="D41" s="3101"/>
      <c r="E41" s="3102">
        <v>1</v>
      </c>
      <c r="F41" s="3103" t="s">
        <v>2482</v>
      </c>
      <c r="G41" s="3103"/>
    </row>
    <row r="42" spans="1:7" ht="19.5" customHeight="1">
      <c r="A42" s="3861"/>
      <c r="B42" s="3854"/>
      <c r="C42" s="3104" t="s">
        <v>2483</v>
      </c>
      <c r="D42" s="3105"/>
      <c r="E42" s="3106">
        <v>1</v>
      </c>
      <c r="F42" s="3103" t="s">
        <v>2484</v>
      </c>
      <c r="G42" s="3103"/>
    </row>
    <row r="43" spans="1:7" ht="19.5" customHeight="1">
      <c r="A43" s="3861"/>
      <c r="B43" s="3853"/>
      <c r="C43" s="3104" t="s">
        <v>2485</v>
      </c>
      <c r="D43" s="3105"/>
      <c r="E43" s="3106">
        <v>1.5</v>
      </c>
      <c r="F43" s="3103" t="s">
        <v>2486</v>
      </c>
      <c r="G43" s="3103"/>
    </row>
    <row r="44" spans="1:7" ht="19.5" customHeight="1">
      <c r="A44" s="3861"/>
      <c r="B44" s="3115" t="s">
        <v>2637</v>
      </c>
      <c r="C44" s="3104" t="s">
        <v>2638</v>
      </c>
      <c r="D44" s="3105"/>
      <c r="E44" s="3106">
        <v>2</v>
      </c>
      <c r="F44" s="3103" t="s">
        <v>2487</v>
      </c>
      <c r="G44" s="3103"/>
    </row>
    <row r="45" spans="1:7" ht="19.5" customHeight="1">
      <c r="A45" s="3861"/>
      <c r="B45" s="3852" t="s">
        <v>2639</v>
      </c>
      <c r="C45" s="3104" t="s">
        <v>2488</v>
      </c>
      <c r="D45" s="3105"/>
      <c r="E45" s="3106">
        <v>1</v>
      </c>
      <c r="F45" s="3103" t="s">
        <v>2489</v>
      </c>
      <c r="G45" s="3103"/>
    </row>
    <row r="46" spans="1:7" ht="19.5" customHeight="1">
      <c r="A46" s="3861"/>
      <c r="B46" s="3854"/>
      <c r="C46" s="3104" t="s">
        <v>2490</v>
      </c>
      <c r="D46" s="3105"/>
      <c r="E46" s="3106">
        <v>1</v>
      </c>
      <c r="F46" s="3103" t="s">
        <v>2491</v>
      </c>
      <c r="G46" s="3103"/>
    </row>
    <row r="47" spans="1:7" ht="19.5" customHeight="1">
      <c r="A47" s="3861"/>
      <c r="B47" s="3854"/>
      <c r="C47" s="3104" t="s">
        <v>2492</v>
      </c>
      <c r="D47" s="3105"/>
      <c r="E47" s="3106">
        <v>1</v>
      </c>
      <c r="F47" s="3103" t="s">
        <v>2493</v>
      </c>
      <c r="G47" s="3103"/>
    </row>
    <row r="48" spans="1:7" ht="19.5" customHeight="1">
      <c r="A48" s="3861"/>
      <c r="B48" s="3854"/>
      <c r="C48" s="3104" t="s">
        <v>2494</v>
      </c>
      <c r="D48" s="3105"/>
      <c r="E48" s="3106">
        <v>1</v>
      </c>
      <c r="F48" s="3103" t="s">
        <v>2495</v>
      </c>
      <c r="G48" s="3103"/>
    </row>
    <row r="49" spans="1:7" ht="19.5" customHeight="1">
      <c r="A49" s="3861"/>
      <c r="B49" s="3854"/>
      <c r="C49" s="3104" t="s">
        <v>2496</v>
      </c>
      <c r="D49" s="3105"/>
      <c r="E49" s="3106">
        <v>1</v>
      </c>
      <c r="F49" s="3103" t="s">
        <v>2497</v>
      </c>
      <c r="G49" s="3103"/>
    </row>
    <row r="50" spans="1:7" ht="19.5" customHeight="1">
      <c r="A50" s="3861"/>
      <c r="B50" s="3854"/>
      <c r="C50" s="3104" t="s">
        <v>2498</v>
      </c>
      <c r="D50" s="3105"/>
      <c r="E50" s="3106">
        <v>1</v>
      </c>
      <c r="F50" s="3103" t="s">
        <v>2499</v>
      </c>
      <c r="G50" s="3103"/>
    </row>
    <row r="51" spans="1:7" ht="19.5" customHeight="1" thickBot="1">
      <c r="A51" s="3862"/>
      <c r="B51" s="3856"/>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852" t="s">
        <v>2653</v>
      </c>
      <c r="C73" s="3089" t="s">
        <v>2654</v>
      </c>
      <c r="D73" s="3089" t="s">
        <v>2655</v>
      </c>
      <c r="E73" s="3115">
        <v>0.2</v>
      </c>
      <c r="F73" s="3115">
        <v>25</v>
      </c>
    </row>
    <row r="74" spans="1:7" ht="24">
      <c r="A74" s="3115">
        <v>2</v>
      </c>
      <c r="B74" s="3854"/>
      <c r="C74" s="3089" t="s">
        <v>2656</v>
      </c>
      <c r="D74" s="3089" t="s">
        <v>2657</v>
      </c>
      <c r="E74" s="3115">
        <v>0.2</v>
      </c>
      <c r="F74" s="3115">
        <v>25</v>
      </c>
    </row>
    <row r="75" spans="1:7" ht="24">
      <c r="A75" s="3115">
        <v>3</v>
      </c>
      <c r="B75" s="3854"/>
      <c r="C75" s="3089" t="s">
        <v>2658</v>
      </c>
      <c r="D75" s="3089" t="s">
        <v>2659</v>
      </c>
      <c r="E75" s="3115">
        <v>0.2</v>
      </c>
      <c r="F75" s="3115">
        <v>25</v>
      </c>
    </row>
    <row r="76" spans="1:7" ht="13.5">
      <c r="A76" s="3115">
        <v>4</v>
      </c>
      <c r="B76" s="3854"/>
      <c r="C76" s="3089" t="s">
        <v>2660</v>
      </c>
      <c r="D76" s="3089" t="s">
        <v>2661</v>
      </c>
      <c r="E76" s="3115">
        <v>0.15</v>
      </c>
      <c r="F76" s="3115">
        <v>20</v>
      </c>
    </row>
    <row r="77" spans="1:7" ht="24">
      <c r="A77" s="3115">
        <v>5</v>
      </c>
      <c r="B77" s="3854"/>
      <c r="C77" s="3089" t="s">
        <v>2662</v>
      </c>
      <c r="D77" s="3089" t="s">
        <v>2663</v>
      </c>
      <c r="E77" s="3115">
        <v>0.15</v>
      </c>
      <c r="F77" s="3115">
        <v>20</v>
      </c>
    </row>
    <row r="78" spans="1:7" ht="24">
      <c r="A78" s="3115">
        <v>6</v>
      </c>
      <c r="B78" s="3854"/>
      <c r="C78" s="3089" t="s">
        <v>2664</v>
      </c>
      <c r="D78" s="3089" t="s">
        <v>2665</v>
      </c>
      <c r="E78" s="3115">
        <v>0.15</v>
      </c>
      <c r="F78" s="3115">
        <v>20</v>
      </c>
    </row>
    <row r="79" spans="1:7" ht="24">
      <c r="A79" s="3115">
        <v>7</v>
      </c>
      <c r="B79" s="3854"/>
      <c r="C79" s="3089" t="s">
        <v>2666</v>
      </c>
      <c r="D79" s="3089" t="s">
        <v>2667</v>
      </c>
      <c r="E79" s="3115">
        <v>0.15</v>
      </c>
      <c r="F79" s="3115">
        <v>20</v>
      </c>
    </row>
    <row r="80" spans="1:7" ht="24">
      <c r="A80" s="3115">
        <v>8</v>
      </c>
      <c r="B80" s="3854"/>
      <c r="C80" s="3089" t="s">
        <v>2668</v>
      </c>
      <c r="D80" s="3089" t="s">
        <v>2669</v>
      </c>
      <c r="E80" s="3115">
        <v>0.1</v>
      </c>
      <c r="F80" s="3115">
        <v>15</v>
      </c>
    </row>
    <row r="81" spans="1:6" ht="24">
      <c r="A81" s="3115">
        <v>9</v>
      </c>
      <c r="B81" s="3854"/>
      <c r="C81" s="3089" t="s">
        <v>2670</v>
      </c>
      <c r="D81" s="3089" t="s">
        <v>2671</v>
      </c>
      <c r="E81" s="3115">
        <v>0.1</v>
      </c>
      <c r="F81" s="3115">
        <v>15</v>
      </c>
    </row>
    <row r="82" spans="1:6" ht="24">
      <c r="A82" s="3115">
        <v>10</v>
      </c>
      <c r="B82" s="3854"/>
      <c r="C82" s="3089" t="s">
        <v>2672</v>
      </c>
      <c r="D82" s="3089" t="s">
        <v>2673</v>
      </c>
      <c r="E82" s="3115">
        <v>0.1</v>
      </c>
      <c r="F82" s="3115">
        <v>15</v>
      </c>
    </row>
    <row r="83" spans="1:6" ht="24">
      <c r="A83" s="3115">
        <v>11</v>
      </c>
      <c r="B83" s="3854"/>
      <c r="C83" s="3089" t="s">
        <v>2674</v>
      </c>
      <c r="D83" s="3089" t="s">
        <v>2675</v>
      </c>
      <c r="E83" s="3115">
        <v>0.1</v>
      </c>
      <c r="F83" s="3115">
        <v>15</v>
      </c>
    </row>
    <row r="84" spans="1:6" ht="24">
      <c r="A84" s="3115">
        <v>12</v>
      </c>
      <c r="B84" s="3854"/>
      <c r="C84" s="3089" t="s">
        <v>2676</v>
      </c>
      <c r="D84" s="3089" t="s">
        <v>2677</v>
      </c>
      <c r="E84" s="3115">
        <v>0.1</v>
      </c>
      <c r="F84" s="3115">
        <v>15</v>
      </c>
    </row>
    <row r="85" spans="1:6" ht="13.5">
      <c r="A85" s="3115">
        <v>13</v>
      </c>
      <c r="B85" s="3854"/>
      <c r="C85" s="3089" t="s">
        <v>2678</v>
      </c>
      <c r="D85" s="3089" t="s">
        <v>2679</v>
      </c>
      <c r="E85" s="3115">
        <v>0.1</v>
      </c>
      <c r="F85" s="3115">
        <v>15</v>
      </c>
    </row>
    <row r="86" spans="1:6" ht="13.5">
      <c r="A86" s="3115">
        <v>14</v>
      </c>
      <c r="B86" s="3854"/>
      <c r="C86" s="3089" t="s">
        <v>2680</v>
      </c>
      <c r="D86" s="3089" t="s">
        <v>2681</v>
      </c>
      <c r="E86" s="3115">
        <v>0.1</v>
      </c>
      <c r="F86" s="3115">
        <v>15</v>
      </c>
    </row>
    <row r="87" spans="1:6" ht="13.5">
      <c r="A87" s="3115">
        <v>15</v>
      </c>
      <c r="B87" s="3854"/>
      <c r="C87" s="3089" t="s">
        <v>2682</v>
      </c>
      <c r="D87" s="3089" t="s">
        <v>2683</v>
      </c>
      <c r="E87" s="3115">
        <v>0.1</v>
      </c>
      <c r="F87" s="3115">
        <v>15</v>
      </c>
    </row>
    <row r="88" spans="1:6" ht="24">
      <c r="A88" s="3115">
        <v>16</v>
      </c>
      <c r="B88" s="3854"/>
      <c r="C88" s="3089" t="s">
        <v>2684</v>
      </c>
      <c r="D88" s="3089" t="s">
        <v>2685</v>
      </c>
      <c r="E88" s="3115">
        <v>0.1</v>
      </c>
      <c r="F88" s="3115">
        <v>15</v>
      </c>
    </row>
    <row r="89" spans="1:6" ht="24">
      <c r="A89" s="3115">
        <v>17</v>
      </c>
      <c r="B89" s="3853"/>
      <c r="C89" s="3089" t="s">
        <v>2686</v>
      </c>
      <c r="D89" s="3089" t="s">
        <v>2687</v>
      </c>
      <c r="E89" s="3115">
        <v>0.1</v>
      </c>
      <c r="F89" s="3115">
        <v>15</v>
      </c>
    </row>
    <row r="90" spans="1:6" ht="13.5">
      <c r="A90" s="3115">
        <v>18</v>
      </c>
      <c r="B90" s="3852" t="s">
        <v>2688</v>
      </c>
      <c r="C90" s="3089" t="s">
        <v>2689</v>
      </c>
      <c r="D90" s="3089" t="s">
        <v>2690</v>
      </c>
      <c r="E90" s="3115">
        <v>0.2</v>
      </c>
      <c r="F90" s="3115">
        <v>25</v>
      </c>
    </row>
    <row r="91" spans="1:6" ht="24">
      <c r="A91" s="3115">
        <v>19</v>
      </c>
      <c r="B91" s="3854"/>
      <c r="C91" s="3089" t="s">
        <v>2691</v>
      </c>
      <c r="D91" s="3089" t="s">
        <v>2692</v>
      </c>
      <c r="E91" s="3115">
        <v>0.2</v>
      </c>
      <c r="F91" s="3115">
        <v>25</v>
      </c>
    </row>
    <row r="92" spans="1:6" ht="13.5">
      <c r="A92" s="3115">
        <v>20</v>
      </c>
      <c r="B92" s="3854"/>
      <c r="C92" s="3089" t="s">
        <v>2693</v>
      </c>
      <c r="D92" s="3089" t="s">
        <v>2694</v>
      </c>
      <c r="E92" s="3115">
        <v>0.15</v>
      </c>
      <c r="F92" s="3115">
        <v>20</v>
      </c>
    </row>
    <row r="93" spans="1:6" ht="13.5">
      <c r="A93" s="3115">
        <v>21</v>
      </c>
      <c r="B93" s="3854"/>
      <c r="C93" s="3089" t="s">
        <v>2695</v>
      </c>
      <c r="D93" s="3089" t="s">
        <v>2696</v>
      </c>
      <c r="E93" s="3115">
        <v>0.15</v>
      </c>
      <c r="F93" s="3115">
        <v>20</v>
      </c>
    </row>
    <row r="94" spans="1:6" ht="13.5">
      <c r="A94" s="3115">
        <v>22</v>
      </c>
      <c r="B94" s="3854"/>
      <c r="C94" s="3089" t="s">
        <v>2697</v>
      </c>
      <c r="D94" s="3089" t="s">
        <v>2698</v>
      </c>
      <c r="E94" s="3115">
        <v>0.15</v>
      </c>
      <c r="F94" s="3115">
        <v>20</v>
      </c>
    </row>
    <row r="95" spans="1:6" ht="36">
      <c r="A95" s="3115">
        <v>23</v>
      </c>
      <c r="B95" s="3854"/>
      <c r="C95" s="3089" t="s">
        <v>2699</v>
      </c>
      <c r="D95" s="3089" t="s">
        <v>2700</v>
      </c>
      <c r="E95" s="3115">
        <v>0.15</v>
      </c>
      <c r="F95" s="3115">
        <v>20</v>
      </c>
    </row>
    <row r="96" spans="1:6" ht="13.5">
      <c r="A96" s="3115">
        <v>24</v>
      </c>
      <c r="B96" s="3854"/>
      <c r="C96" s="3089" t="s">
        <v>2701</v>
      </c>
      <c r="D96" s="3089" t="s">
        <v>2702</v>
      </c>
      <c r="E96" s="3115">
        <v>0.1</v>
      </c>
      <c r="F96" s="3115">
        <v>15</v>
      </c>
    </row>
    <row r="97" spans="1:6" ht="13.5">
      <c r="A97" s="3115">
        <v>25</v>
      </c>
      <c r="B97" s="3854"/>
      <c r="C97" s="3089" t="s">
        <v>2703</v>
      </c>
      <c r="D97" s="3089" t="s">
        <v>2704</v>
      </c>
      <c r="E97" s="3115">
        <v>0.1</v>
      </c>
      <c r="F97" s="3115">
        <v>15</v>
      </c>
    </row>
    <row r="98" spans="1:6" ht="24">
      <c r="A98" s="3115">
        <v>26</v>
      </c>
      <c r="B98" s="3854"/>
      <c r="C98" s="3089" t="s">
        <v>2705</v>
      </c>
      <c r="D98" s="3089" t="s">
        <v>2706</v>
      </c>
      <c r="E98" s="3115">
        <v>0.1</v>
      </c>
      <c r="F98" s="3115">
        <v>15</v>
      </c>
    </row>
    <row r="99" spans="1:6" ht="24">
      <c r="A99" s="3115">
        <v>27</v>
      </c>
      <c r="B99" s="3854"/>
      <c r="C99" s="3089" t="s">
        <v>2707</v>
      </c>
      <c r="D99" s="3089" t="s">
        <v>2708</v>
      </c>
      <c r="E99" s="3115">
        <v>0.1</v>
      </c>
      <c r="F99" s="3115">
        <v>15</v>
      </c>
    </row>
    <row r="100" spans="1:6" ht="13.5">
      <c r="A100" s="3115">
        <v>28</v>
      </c>
      <c r="B100" s="3854"/>
      <c r="C100" s="3089" t="s">
        <v>2709</v>
      </c>
      <c r="D100" s="3089" t="s">
        <v>2710</v>
      </c>
      <c r="E100" s="3115">
        <v>0.1</v>
      </c>
      <c r="F100" s="3115">
        <v>15</v>
      </c>
    </row>
    <row r="101" spans="1:6" ht="13.5">
      <c r="A101" s="3115">
        <v>29</v>
      </c>
      <c r="B101" s="3854"/>
      <c r="C101" s="3089" t="s">
        <v>2711</v>
      </c>
      <c r="D101" s="3089" t="s">
        <v>2712</v>
      </c>
      <c r="E101" s="3115">
        <v>0.1</v>
      </c>
      <c r="F101" s="3115">
        <v>15</v>
      </c>
    </row>
    <row r="102" spans="1:6" ht="13.5">
      <c r="A102" s="3115">
        <v>30</v>
      </c>
      <c r="B102" s="3854"/>
      <c r="C102" s="3089" t="s">
        <v>2713</v>
      </c>
      <c r="D102" s="3089" t="s">
        <v>2714</v>
      </c>
      <c r="E102" s="3115">
        <v>0.1</v>
      </c>
      <c r="F102" s="3115">
        <v>15</v>
      </c>
    </row>
    <row r="103" spans="1:6" ht="24">
      <c r="A103" s="3115">
        <v>31</v>
      </c>
      <c r="B103" s="3854"/>
      <c r="C103" s="3089" t="s">
        <v>2715</v>
      </c>
      <c r="D103" s="3089" t="s">
        <v>2716</v>
      </c>
      <c r="E103" s="3115">
        <v>0.1</v>
      </c>
      <c r="F103" s="3115">
        <v>15</v>
      </c>
    </row>
    <row r="104" spans="1:6" ht="24">
      <c r="A104" s="3115">
        <v>32</v>
      </c>
      <c r="B104" s="3854"/>
      <c r="C104" s="3089" t="s">
        <v>2717</v>
      </c>
      <c r="D104" s="3089" t="s">
        <v>2718</v>
      </c>
      <c r="E104" s="3115">
        <v>0.1</v>
      </c>
      <c r="F104" s="3115">
        <v>15</v>
      </c>
    </row>
    <row r="105" spans="1:6" ht="24">
      <c r="A105" s="3115">
        <v>33</v>
      </c>
      <c r="B105" s="3854"/>
      <c r="C105" s="3089" t="s">
        <v>2719</v>
      </c>
      <c r="D105" s="3089" t="s">
        <v>2720</v>
      </c>
      <c r="E105" s="3115">
        <v>0.1</v>
      </c>
      <c r="F105" s="3115">
        <v>15</v>
      </c>
    </row>
    <row r="106" spans="1:6" ht="24">
      <c r="A106" s="3115">
        <v>34</v>
      </c>
      <c r="B106" s="3853"/>
      <c r="C106" s="3089" t="s">
        <v>2721</v>
      </c>
      <c r="D106" s="3089" t="s">
        <v>2722</v>
      </c>
      <c r="E106" s="3115">
        <v>0.1</v>
      </c>
      <c r="F106" s="3115">
        <v>15</v>
      </c>
    </row>
    <row r="107" spans="1:6" ht="24">
      <c r="A107" s="3115">
        <v>35</v>
      </c>
      <c r="B107" s="3852" t="s">
        <v>2723</v>
      </c>
      <c r="C107" s="3115" t="s">
        <v>2724</v>
      </c>
      <c r="D107" s="3089" t="s">
        <v>2725</v>
      </c>
      <c r="E107" s="3115">
        <v>0.15</v>
      </c>
      <c r="F107" s="3115">
        <v>20</v>
      </c>
    </row>
    <row r="108" spans="1:6" ht="13.5">
      <c r="A108" s="3115">
        <v>36</v>
      </c>
      <c r="B108" s="3854"/>
      <c r="C108" s="3115" t="s">
        <v>2726</v>
      </c>
      <c r="D108" s="3089" t="s">
        <v>2727</v>
      </c>
      <c r="E108" s="3115">
        <v>0.15</v>
      </c>
      <c r="F108" s="3115">
        <v>20</v>
      </c>
    </row>
    <row r="109" spans="1:6" ht="13.5">
      <c r="A109" s="3115">
        <v>37</v>
      </c>
      <c r="B109" s="3854"/>
      <c r="C109" s="3115" t="s">
        <v>2728</v>
      </c>
      <c r="D109" s="3089" t="s">
        <v>2729</v>
      </c>
      <c r="E109" s="3115">
        <v>0.15</v>
      </c>
      <c r="F109" s="3115">
        <v>20</v>
      </c>
    </row>
    <row r="110" spans="1:6" ht="13.5">
      <c r="A110" s="3115">
        <v>38</v>
      </c>
      <c r="B110" s="3854"/>
      <c r="C110" s="3115" t="s">
        <v>2730</v>
      </c>
      <c r="D110" s="3089" t="s">
        <v>2731</v>
      </c>
      <c r="E110" s="3115">
        <v>0.1</v>
      </c>
      <c r="F110" s="3115">
        <v>15</v>
      </c>
    </row>
    <row r="111" spans="1:6" ht="24">
      <c r="A111" s="3115">
        <v>39</v>
      </c>
      <c r="B111" s="3854"/>
      <c r="C111" s="3115" t="s">
        <v>2732</v>
      </c>
      <c r="D111" s="3089" t="s">
        <v>2733</v>
      </c>
      <c r="E111" s="3115">
        <v>0.1</v>
      </c>
      <c r="F111" s="3115">
        <v>15</v>
      </c>
    </row>
    <row r="112" spans="1:6" ht="24">
      <c r="A112" s="3115">
        <v>40</v>
      </c>
      <c r="B112" s="3853"/>
      <c r="C112" s="3115" t="s">
        <v>2734</v>
      </c>
      <c r="D112" s="3089" t="s">
        <v>2735</v>
      </c>
      <c r="E112" s="3115">
        <v>0.1</v>
      </c>
      <c r="F112" s="3115">
        <v>15</v>
      </c>
    </row>
    <row r="113" spans="1:6" ht="13.5">
      <c r="A113" s="3115">
        <v>41</v>
      </c>
      <c r="B113" s="3851" t="s">
        <v>2736</v>
      </c>
      <c r="C113" s="3115" t="s">
        <v>2737</v>
      </c>
      <c r="D113" s="3089" t="s">
        <v>2738</v>
      </c>
      <c r="E113" s="3115">
        <v>0.1</v>
      </c>
      <c r="F113" s="3115">
        <v>15</v>
      </c>
    </row>
    <row r="114" spans="1:6" ht="13.5">
      <c r="A114" s="3115">
        <v>42</v>
      </c>
      <c r="B114" s="3851"/>
      <c r="C114" s="3115" t="s">
        <v>2739</v>
      </c>
      <c r="D114" s="3089" t="s">
        <v>2740</v>
      </c>
      <c r="E114" s="3115">
        <v>0.1</v>
      </c>
      <c r="F114" s="3115">
        <v>15</v>
      </c>
    </row>
    <row r="115" spans="1:6" ht="24">
      <c r="A115" s="3115">
        <v>43</v>
      </c>
      <c r="B115" s="3851"/>
      <c r="C115" s="3115" t="s">
        <v>2741</v>
      </c>
      <c r="D115" s="3089" t="s">
        <v>2742</v>
      </c>
      <c r="E115" s="3115">
        <v>0.1</v>
      </c>
      <c r="F115" s="3115">
        <v>15</v>
      </c>
    </row>
    <row r="116" spans="1:6" ht="13.5">
      <c r="A116" s="3115">
        <v>44</v>
      </c>
      <c r="B116" s="3852" t="s">
        <v>2743</v>
      </c>
      <c r="C116" s="3115" t="s">
        <v>2744</v>
      </c>
      <c r="D116" s="3089" t="s">
        <v>2745</v>
      </c>
      <c r="E116" s="3115">
        <v>0.1</v>
      </c>
      <c r="F116" s="3115">
        <v>15</v>
      </c>
    </row>
    <row r="117" spans="1:6" ht="24">
      <c r="A117" s="3115">
        <v>45</v>
      </c>
      <c r="B117" s="3853"/>
      <c r="C117" s="3089" t="s">
        <v>2746</v>
      </c>
      <c r="D117" s="3089" t="s">
        <v>2747</v>
      </c>
      <c r="E117" s="3115">
        <v>0.1</v>
      </c>
      <c r="F117" s="3115">
        <v>15</v>
      </c>
    </row>
    <row r="118" spans="1:6" ht="24">
      <c r="A118" s="3115">
        <v>46</v>
      </c>
      <c r="B118" s="3852" t="s">
        <v>2748</v>
      </c>
      <c r="C118" s="3115" t="s">
        <v>2749</v>
      </c>
      <c r="D118" s="3089" t="s">
        <v>2750</v>
      </c>
      <c r="E118" s="3115">
        <v>0.1</v>
      </c>
      <c r="F118" s="3115">
        <v>15</v>
      </c>
    </row>
    <row r="119" spans="1:6" ht="24">
      <c r="A119" s="3115">
        <v>47</v>
      </c>
      <c r="B119" s="3853"/>
      <c r="C119" s="3115" t="s">
        <v>2751</v>
      </c>
      <c r="D119" s="3089" t="s">
        <v>2752</v>
      </c>
      <c r="E119" s="3115">
        <v>0.1</v>
      </c>
      <c r="F119" s="3115">
        <v>15</v>
      </c>
    </row>
    <row r="120" spans="1:6" ht="13.5">
      <c r="A120" s="3115">
        <v>48</v>
      </c>
      <c r="B120" s="3852" t="s">
        <v>2753</v>
      </c>
      <c r="C120" s="3115" t="s">
        <v>2754</v>
      </c>
      <c r="D120" s="3089" t="s">
        <v>2755</v>
      </c>
      <c r="E120" s="3115">
        <v>0.1</v>
      </c>
      <c r="F120" s="3115">
        <v>15</v>
      </c>
    </row>
    <row r="121" spans="1:6" ht="13.5">
      <c r="A121" s="3115">
        <v>49</v>
      </c>
      <c r="B121" s="3853"/>
      <c r="C121" s="3115" t="s">
        <v>2756</v>
      </c>
      <c r="D121" s="3089" t="s">
        <v>2757</v>
      </c>
      <c r="E121" s="3115">
        <v>0.1</v>
      </c>
      <c r="F121" s="3115">
        <v>15</v>
      </c>
    </row>
    <row r="122" spans="1:6" ht="24">
      <c r="A122" s="3115">
        <v>50</v>
      </c>
      <c r="B122" s="3851" t="s">
        <v>2758</v>
      </c>
      <c r="C122" s="3115" t="s">
        <v>2759</v>
      </c>
      <c r="D122" s="3089" t="s">
        <v>2760</v>
      </c>
      <c r="E122" s="3115">
        <v>0.1</v>
      </c>
      <c r="F122" s="3115">
        <v>15</v>
      </c>
    </row>
    <row r="123" spans="1:6" ht="24">
      <c r="A123" s="3115">
        <v>51</v>
      </c>
      <c r="B123" s="3851"/>
      <c r="C123" s="3115" t="s">
        <v>2761</v>
      </c>
      <c r="D123" s="3089" t="s">
        <v>2762</v>
      </c>
      <c r="E123" s="3115">
        <v>0.1</v>
      </c>
      <c r="F123" s="3115">
        <v>15</v>
      </c>
    </row>
    <row r="124" spans="1:6" ht="24">
      <c r="A124" s="3115">
        <v>52</v>
      </c>
      <c r="B124" s="3851" t="s">
        <v>2763</v>
      </c>
      <c r="C124" s="3115" t="s">
        <v>2764</v>
      </c>
      <c r="D124" s="3089" t="s">
        <v>2765</v>
      </c>
      <c r="E124" s="3115">
        <v>0.1</v>
      </c>
      <c r="F124" s="3115">
        <v>15</v>
      </c>
    </row>
    <row r="125" spans="1:6" ht="24">
      <c r="A125" s="3115">
        <v>53</v>
      </c>
      <c r="B125" s="3851"/>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851" t="s">
        <v>2771</v>
      </c>
      <c r="C127" s="3115" t="s">
        <v>2772</v>
      </c>
      <c r="D127" s="3089" t="s">
        <v>2773</v>
      </c>
      <c r="E127" s="3115">
        <v>0.1</v>
      </c>
      <c r="F127" s="3115">
        <v>15</v>
      </c>
    </row>
    <row r="128" spans="1:6" ht="13.5">
      <c r="A128" s="3115">
        <v>56</v>
      </c>
      <c r="B128" s="3851"/>
      <c r="C128" s="3115" t="s">
        <v>2774</v>
      </c>
      <c r="D128" s="3089" t="s">
        <v>2775</v>
      </c>
      <c r="E128" s="3115">
        <v>0.1</v>
      </c>
      <c r="F128" s="3115">
        <v>15</v>
      </c>
    </row>
    <row r="129" spans="1:6" ht="24">
      <c r="A129" s="3115">
        <v>57</v>
      </c>
      <c r="B129" s="3851"/>
      <c r="C129" s="3115" t="s">
        <v>2776</v>
      </c>
      <c r="D129" s="3089" t="s">
        <v>2777</v>
      </c>
      <c r="E129" s="3115">
        <v>0.1</v>
      </c>
      <c r="F129" s="3115">
        <v>15</v>
      </c>
    </row>
    <row r="130" spans="1:6" ht="24">
      <c r="A130" s="3115">
        <v>58</v>
      </c>
      <c r="B130" s="3851" t="s">
        <v>2778</v>
      </c>
      <c r="C130" s="3115" t="s">
        <v>2779</v>
      </c>
      <c r="D130" s="3089" t="s">
        <v>2780</v>
      </c>
      <c r="E130" s="3115">
        <v>0.1</v>
      </c>
      <c r="F130" s="3115">
        <v>15</v>
      </c>
    </row>
    <row r="131" spans="1:6" ht="13.5">
      <c r="A131" s="3115">
        <v>59</v>
      </c>
      <c r="B131" s="3851"/>
      <c r="C131" s="3115" t="s">
        <v>2781</v>
      </c>
      <c r="D131" s="3089" t="s">
        <v>2782</v>
      </c>
      <c r="E131" s="3115">
        <v>0.1</v>
      </c>
      <c r="F131" s="3115">
        <v>15</v>
      </c>
    </row>
    <row r="132" spans="1:6" ht="13.5">
      <c r="A132" s="3115">
        <v>60</v>
      </c>
      <c r="B132" s="3852" t="s">
        <v>2783</v>
      </c>
      <c r="C132" s="3115" t="s">
        <v>2784</v>
      </c>
      <c r="D132" s="3089" t="s">
        <v>2785</v>
      </c>
      <c r="E132" s="3115">
        <v>0.1</v>
      </c>
      <c r="F132" s="3115">
        <v>15</v>
      </c>
    </row>
    <row r="133" spans="1:6" ht="13.5">
      <c r="A133" s="3115">
        <v>61</v>
      </c>
      <c r="B133" s="3853"/>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851" t="s">
        <v>2791</v>
      </c>
      <c r="C135" s="3115" t="s">
        <v>2792</v>
      </c>
      <c r="D135" s="3089" t="s">
        <v>2793</v>
      </c>
      <c r="E135" s="3115">
        <v>0.1</v>
      </c>
      <c r="F135" s="3115">
        <v>15</v>
      </c>
    </row>
    <row r="136" spans="1:6" ht="13.5">
      <c r="A136" s="3115">
        <v>64</v>
      </c>
      <c r="B136" s="3851"/>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2800</v>
      </c>
      <c r="B1" s="3124"/>
      <c r="C1" s="3124"/>
      <c r="D1" s="3124"/>
      <c r="E1" s="3124"/>
      <c r="F1" s="3124"/>
      <c r="G1" s="3124"/>
      <c r="H1" s="3124"/>
      <c r="I1" s="3124"/>
      <c r="J1" s="3124"/>
      <c r="K1" s="3124"/>
      <c r="L1" s="3124"/>
      <c r="M1" s="3124"/>
      <c r="N1" s="748"/>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9">
        <f>SUMPRODUCT((A95:A184=ROUNDDOWN(基准地价修正!G3,1))*(B94:M94=基准地价修正!G2)*(B95:M184))</f>
        <v>1</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9">
        <f>SUMPRODUCT((A371:A460=ROUNDDOWN(基准地价修正!G3,1))*(B370:M370=基准地价修正!G2)*(B371:M460))</f>
        <v>0.95120000000000005</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36328</v>
      </c>
      <c r="C2" s="2" t="s">
        <v>106</v>
      </c>
      <c r="D2" s="199"/>
      <c r="E2" s="199"/>
      <c r="F2" s="199"/>
      <c r="G2" s="199"/>
    </row>
    <row r="3" spans="1:7" s="200" customFormat="1" ht="18" customHeight="1" thickBot="1">
      <c r="A3" s="203" t="s">
        <v>58</v>
      </c>
      <c r="B3" s="204">
        <f ca="1">ROUND(B2*10000/'数据-汇总表'!E3,0)</f>
        <v>18714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388</v>
      </c>
      <c r="D10" s="844">
        <f>'数据-汇总表'!E6</f>
        <v>19411.939999999999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388</v>
      </c>
      <c r="D19" s="848">
        <f>'数据-汇总表'!E3</f>
        <v>19411.939999999999</v>
      </c>
      <c r="E19" s="211">
        <f>'数据-取费表'!B31</f>
        <v>200</v>
      </c>
      <c r="F19" s="231"/>
      <c r="G19" s="1" t="s">
        <v>436</v>
      </c>
    </row>
    <row r="20" spans="1:7" s="214" customFormat="1" ht="13.5" customHeight="1">
      <c r="A20" s="776" t="s">
        <v>419</v>
      </c>
      <c r="B20" s="210" t="s">
        <v>77</v>
      </c>
      <c r="C20" s="232">
        <f>ROUND((C5+C19)*F20,0)</f>
        <v>420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1796</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33</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3213</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3213</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7488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6794</v>
      </c>
      <c r="D34" s="217"/>
      <c r="E34" s="220"/>
      <c r="F34" s="257">
        <f>IF('数据-取费表'!B24=0,1,'数据-取费表'!N16)</f>
        <v>1</v>
      </c>
      <c r="G34" s="219" t="s">
        <v>89</v>
      </c>
    </row>
    <row r="35" spans="1:7" ht="13.5" customHeight="1">
      <c r="A35" s="779" t="s">
        <v>351</v>
      </c>
      <c r="B35" s="215" t="s">
        <v>33</v>
      </c>
      <c r="C35" s="220">
        <f>ROUND(C34*F35,0)</f>
        <v>204</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388</v>
      </c>
      <c r="D37" s="217">
        <f>'数据-汇总表'!E3</f>
        <v>19411.939999999999</v>
      </c>
      <c r="E37" s="249">
        <f>'数据-取费表'!B35</f>
        <v>200</v>
      </c>
      <c r="F37" s="259"/>
      <c r="G37" s="261" t="s">
        <v>92</v>
      </c>
    </row>
    <row r="38" spans="1:7" ht="13.5" customHeight="1">
      <c r="A38" s="779" t="s">
        <v>354</v>
      </c>
      <c r="B38" s="215" t="s">
        <v>36</v>
      </c>
      <c r="C38" s="220">
        <f>ROUND(C34*F38,0)</f>
        <v>102</v>
      </c>
      <c r="D38" s="220"/>
      <c r="E38" s="220"/>
      <c r="F38" s="259">
        <f>'数据-取费表'!B36</f>
        <v>1.4999999999999999E-2</v>
      </c>
      <c r="G38" s="219" t="s">
        <v>90</v>
      </c>
    </row>
    <row r="39" spans="1:7" s="214" customFormat="1" ht="13.5" customHeight="1">
      <c r="A39" s="776" t="s">
        <v>338</v>
      </c>
      <c r="B39" s="210" t="s">
        <v>77</v>
      </c>
      <c r="C39" s="232">
        <f>ROUND(C33*F20,0)</f>
        <v>150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317</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311</v>
      </c>
      <c r="D42" s="238"/>
      <c r="E42" s="238"/>
      <c r="F42" s="239"/>
      <c r="G42" s="3767" t="s">
        <v>94</v>
      </c>
    </row>
    <row r="43" spans="1:7" ht="13.5" customHeight="1">
      <c r="A43" s="779" t="s">
        <v>347</v>
      </c>
      <c r="B43" s="215" t="s">
        <v>426</v>
      </c>
      <c r="C43" s="238">
        <f ca="1">ROUND(IF('数据-取费表'!B22&lt;=1,C39*F22*'数据-取费表'!B21/2,C39*(POWER((1+F22),'数据-取费表'!B21/2)-1)),0)</f>
        <v>6</v>
      </c>
      <c r="D43" s="238"/>
      <c r="E43" s="238"/>
      <c r="F43" s="239"/>
      <c r="G43" s="3768"/>
    </row>
    <row r="44" spans="1:7" ht="13.5" customHeight="1">
      <c r="A44" s="779" t="s">
        <v>348</v>
      </c>
      <c r="B44" s="215" t="s">
        <v>428</v>
      </c>
      <c r="C44" s="238">
        <f ca="1">ROUND(IF('数据-取费表'!B22&lt;=1,C40*F22*'数据-取费表'!B21/2,C40*(POWER((1+F22),'数据-取费表'!B21/2)-1)),4)</f>
        <v>8.0000000000000004E-4</v>
      </c>
      <c r="D44" s="238"/>
      <c r="E44" s="238"/>
      <c r="F44" s="239"/>
      <c r="G44" s="3769"/>
    </row>
    <row r="45" spans="1:7" s="214" customFormat="1" ht="13.5" customHeight="1">
      <c r="A45" s="776" t="s">
        <v>341</v>
      </c>
      <c r="B45" s="244" t="s">
        <v>85</v>
      </c>
      <c r="C45" s="245">
        <f>C46</f>
        <v>1146</v>
      </c>
      <c r="D45" s="235">
        <f>C47</f>
        <v>3.0000000000000001E-3</v>
      </c>
      <c r="E45" s="236" t="s">
        <v>102</v>
      </c>
      <c r="F45" s="246"/>
      <c r="G45" s="247" t="s">
        <v>434</v>
      </c>
    </row>
    <row r="46" spans="1:7" s="214" customFormat="1" ht="13.5" customHeight="1">
      <c r="A46" s="779" t="s">
        <v>349</v>
      </c>
      <c r="B46" s="248" t="s">
        <v>427</v>
      </c>
      <c r="C46" s="249">
        <f>ROUND((C33+C39)*F27,0)</f>
        <v>1146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9862</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 ca="1">ROUND(C49*F50,0)</f>
        <v>7692</v>
      </c>
      <c r="D51" s="232"/>
      <c r="E51" s="232"/>
      <c r="F51" s="264"/>
      <c r="G51" s="234" t="s">
        <v>37</v>
      </c>
    </row>
    <row r="52" spans="1:7" s="208" customFormat="1" ht="16.5" thickBot="1">
      <c r="A52" s="265" t="s">
        <v>38</v>
      </c>
      <c r="B52" s="266"/>
      <c r="C52" s="267">
        <f ca="1">C31+C51</f>
        <v>36328</v>
      </c>
      <c r="D52" s="266"/>
      <c r="E52" s="266"/>
      <c r="F52" s="266"/>
      <c r="G52" s="268"/>
    </row>
    <row r="55" spans="1:7" ht="15">
      <c r="B55" s="270" t="s">
        <v>39</v>
      </c>
      <c r="C55" s="271"/>
    </row>
    <row r="56" spans="1:7">
      <c r="B56" s="273" t="s">
        <v>40</v>
      </c>
      <c r="C56" s="274">
        <f ca="1">ROUND(C51/C52,3)</f>
        <v>0.21199999999999999</v>
      </c>
    </row>
    <row r="57" spans="1:7">
      <c r="B57" s="273" t="s">
        <v>41</v>
      </c>
      <c r="C57" s="275">
        <f ca="1">1-C56</f>
        <v>0.78800000000000003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65" t="s">
        <v>2847</v>
      </c>
      <c r="B1" s="3865"/>
      <c r="C1" s="3865"/>
      <c r="D1" s="3865"/>
      <c r="E1" s="3865"/>
      <c r="F1" s="3865"/>
      <c r="G1" s="3866"/>
      <c r="I1" s="3221" t="s">
        <v>2848</v>
      </c>
      <c r="J1" s="3222" t="s">
        <v>2849</v>
      </c>
      <c r="K1" s="3222" t="s">
        <v>2850</v>
      </c>
      <c r="L1" s="3222" t="s">
        <v>2851</v>
      </c>
      <c r="M1" s="3222" t="s">
        <v>2852</v>
      </c>
      <c r="N1" s="3222" t="s">
        <v>2853</v>
      </c>
      <c r="O1" s="3222" t="s">
        <v>2854</v>
      </c>
      <c r="P1" s="3222" t="s">
        <v>2855</v>
      </c>
      <c r="Q1" s="3222" t="s">
        <v>2856</v>
      </c>
      <c r="R1" s="3222" t="s">
        <v>2857</v>
      </c>
      <c r="S1" s="3222" t="s">
        <v>2858</v>
      </c>
      <c r="T1" s="3223" t="s">
        <v>2859</v>
      </c>
    </row>
    <row r="2" spans="1:20" ht="12" thickBot="1">
      <c r="A2" s="3225" t="s">
        <v>2860</v>
      </c>
      <c r="B2" s="3225"/>
      <c r="C2" s="3225"/>
      <c r="D2" s="3225"/>
      <c r="E2" s="3225"/>
      <c r="F2" s="3225"/>
      <c r="G2" s="3226" t="s">
        <v>2861</v>
      </c>
      <c r="I2" s="3227" t="s">
        <v>2862</v>
      </c>
      <c r="J2" s="3227" t="s">
        <v>2863</v>
      </c>
      <c r="K2" s="3227" t="s">
        <v>2864</v>
      </c>
      <c r="L2" s="3227" t="s">
        <v>2865</v>
      </c>
      <c r="M2" s="3227" t="s">
        <v>2866</v>
      </c>
      <c r="N2" s="3227" t="s">
        <v>2867</v>
      </c>
      <c r="O2" s="3227" t="s">
        <v>2868</v>
      </c>
      <c r="P2" s="3227" t="s">
        <v>2869</v>
      </c>
      <c r="Q2" s="3227" t="s">
        <v>2870</v>
      </c>
      <c r="R2" s="3227" t="s">
        <v>2871</v>
      </c>
      <c r="S2" s="3227" t="s">
        <v>2872</v>
      </c>
      <c r="T2" s="3227" t="s">
        <v>2873</v>
      </c>
    </row>
    <row r="3" spans="1:20" s="3233" customFormat="1">
      <c r="A3" s="3863" t="s">
        <v>2874</v>
      </c>
      <c r="B3" s="3228"/>
      <c r="C3" s="3229" t="s">
        <v>2813</v>
      </c>
      <c r="D3" s="3229" t="s">
        <v>2875</v>
      </c>
      <c r="E3" s="3229" t="s">
        <v>2815</v>
      </c>
      <c r="F3" s="3229" t="s">
        <v>2876</v>
      </c>
      <c r="G3" s="3229" t="s">
        <v>2633</v>
      </c>
      <c r="H3" s="3230"/>
      <c r="I3" s="3231" t="s">
        <v>2877</v>
      </c>
      <c r="J3" s="3232" t="s">
        <v>128</v>
      </c>
      <c r="K3" s="3232" t="s">
        <v>129</v>
      </c>
      <c r="L3" s="3231" t="s">
        <v>130</v>
      </c>
      <c r="M3" s="3231" t="s">
        <v>131</v>
      </c>
      <c r="N3" s="3231" t="s">
        <v>132</v>
      </c>
      <c r="O3" s="3231" t="s">
        <v>133</v>
      </c>
      <c r="P3" s="3231" t="s">
        <v>134</v>
      </c>
      <c r="Q3" s="3231" t="s">
        <v>135</v>
      </c>
      <c r="R3" s="3231" t="s">
        <v>136</v>
      </c>
      <c r="S3" s="3231" t="s">
        <v>2878</v>
      </c>
      <c r="T3" s="3231" t="s">
        <v>2879</v>
      </c>
    </row>
    <row r="4" spans="1:20" s="3233" customFormat="1" ht="12" thickBot="1">
      <c r="A4" s="3864"/>
      <c r="B4" s="3234" t="s">
        <v>2880</v>
      </c>
      <c r="C4" s="3234" t="s">
        <v>2881</v>
      </c>
      <c r="D4" s="3234" t="s">
        <v>2881</v>
      </c>
      <c r="E4" s="3234" t="s">
        <v>2881</v>
      </c>
      <c r="F4" s="3235" t="s">
        <v>2881</v>
      </c>
      <c r="G4" s="3235" t="s">
        <v>2881</v>
      </c>
      <c r="H4" s="3230"/>
      <c r="I4" s="3232" t="s">
        <v>137</v>
      </c>
      <c r="J4" s="3232" t="s">
        <v>111</v>
      </c>
      <c r="K4" s="3232" t="s">
        <v>138</v>
      </c>
      <c r="L4" s="3231" t="s">
        <v>139</v>
      </c>
      <c r="M4" s="3231" t="s">
        <v>140</v>
      </c>
      <c r="N4" s="3231" t="s">
        <v>141</v>
      </c>
      <c r="O4" s="3231" t="s">
        <v>142</v>
      </c>
      <c r="P4" s="3231" t="s">
        <v>143</v>
      </c>
      <c r="Q4" s="3231" t="s">
        <v>2882</v>
      </c>
      <c r="R4" s="3231" t="s">
        <v>2883</v>
      </c>
      <c r="S4" s="3231" t="s">
        <v>2884</v>
      </c>
      <c r="T4" s="3231" t="s">
        <v>2885</v>
      </c>
    </row>
    <row r="5" spans="1:20">
      <c r="A5" s="3236" t="s">
        <v>2848</v>
      </c>
      <c r="B5" s="3227" t="s">
        <v>2862</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2886</v>
      </c>
      <c r="R5" s="3231" t="s">
        <v>2887</v>
      </c>
      <c r="S5" s="3231" t="s">
        <v>153</v>
      </c>
      <c r="T5" s="3231" t="s">
        <v>2888</v>
      </c>
    </row>
    <row r="6" spans="1:20" ht="12" thickBot="1">
      <c r="A6" s="3231" t="s">
        <v>144</v>
      </c>
      <c r="B6" s="3231" t="s">
        <v>2877</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2889</v>
      </c>
      <c r="Q6" s="3231" t="s">
        <v>2890</v>
      </c>
      <c r="R6" s="3231" t="s">
        <v>161</v>
      </c>
      <c r="S6" s="3231" t="s">
        <v>2891</v>
      </c>
      <c r="T6" s="3231" t="s">
        <v>2892</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2893</v>
      </c>
      <c r="Q7" s="3231" t="s">
        <v>2894</v>
      </c>
      <c r="R7" s="3231" t="s">
        <v>2895</v>
      </c>
      <c r="S7" s="3231" t="s">
        <v>2896</v>
      </c>
      <c r="T7" s="3231" t="s">
        <v>2897</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2898</v>
      </c>
      <c r="Q8" s="3231" t="s">
        <v>174</v>
      </c>
      <c r="R8" s="3231" t="s">
        <v>2899</v>
      </c>
      <c r="S8" s="3231" t="s">
        <v>2900</v>
      </c>
      <c r="T8" s="3238" t="s">
        <v>2901</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2902</v>
      </c>
      <c r="Q9" s="3231" t="s">
        <v>182</v>
      </c>
      <c r="R9" s="3231" t="s">
        <v>183</v>
      </c>
      <c r="S9" s="3231" t="s">
        <v>200</v>
      </c>
    </row>
    <row r="10" spans="1:20">
      <c r="A10" s="3236" t="s">
        <v>184</v>
      </c>
      <c r="B10" s="3227" t="s">
        <v>2863</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2903</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2904</v>
      </c>
      <c r="P11" s="3231" t="s">
        <v>191</v>
      </c>
      <c r="Q11" s="3231" t="s">
        <v>199</v>
      </c>
      <c r="R11" s="3231" t="s">
        <v>2905</v>
      </c>
      <c r="S11" s="3231" t="s">
        <v>2906</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2907</v>
      </c>
      <c r="P12" s="3231" t="s">
        <v>2908</v>
      </c>
      <c r="Q12" s="3231" t="s">
        <v>2909</v>
      </c>
      <c r="R12" s="3231" t="s">
        <v>2910</v>
      </c>
      <c r="S12" s="3231" t="s">
        <v>2911</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2912</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2913</v>
      </c>
      <c r="K14" s="3232" t="s">
        <v>215</v>
      </c>
      <c r="L14" s="3231" t="s">
        <v>216</v>
      </c>
      <c r="M14" s="3231" t="s">
        <v>217</v>
      </c>
      <c r="N14" s="3231" t="s">
        <v>218</v>
      </c>
      <c r="O14" s="3231" t="s">
        <v>240</v>
      </c>
      <c r="P14" s="3231" t="s">
        <v>213</v>
      </c>
      <c r="Q14" s="3231" t="s">
        <v>2914</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2915</v>
      </c>
      <c r="P15" s="3231" t="s">
        <v>2916</v>
      </c>
      <c r="Q15" s="3231" t="s">
        <v>242</v>
      </c>
      <c r="R15" s="3231" t="s">
        <v>2917</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2918</v>
      </c>
      <c r="P16" s="3231" t="s">
        <v>227</v>
      </c>
      <c r="Q16" s="3231" t="s">
        <v>250</v>
      </c>
      <c r="R16" s="3231" t="s">
        <v>207</v>
      </c>
      <c r="S16" s="3231" t="s">
        <v>2919</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2920</v>
      </c>
      <c r="P17" s="3231" t="s">
        <v>2921</v>
      </c>
      <c r="Q17" s="3231" t="s">
        <v>256</v>
      </c>
      <c r="R17" s="3231" t="s">
        <v>2922</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2923</v>
      </c>
      <c r="P18" s="3231" t="s">
        <v>241</v>
      </c>
      <c r="Q18" s="3231" t="s">
        <v>2924</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2925</v>
      </c>
      <c r="P19" s="3231" t="s">
        <v>249</v>
      </c>
      <c r="Q19" s="3231" t="s">
        <v>2926</v>
      </c>
      <c r="R19" s="3231" t="s">
        <v>265</v>
      </c>
      <c r="S19" s="3231" t="s">
        <v>2927</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2928</v>
      </c>
      <c r="P20" s="3231" t="s">
        <v>2929</v>
      </c>
      <c r="Q20" s="3231" t="s">
        <v>290</v>
      </c>
      <c r="R20" s="3231" t="s">
        <v>2930</v>
      </c>
      <c r="S20" s="3231" t="s">
        <v>277</v>
      </c>
    </row>
    <row r="21" spans="1:19" ht="14.25" customHeight="1" thickBot="1">
      <c r="A21" s="3231" t="s">
        <v>184</v>
      </c>
      <c r="B21" s="3232" t="s">
        <v>208</v>
      </c>
      <c r="C21" s="3231">
        <v>32370</v>
      </c>
      <c r="D21" s="3231">
        <v>26730</v>
      </c>
      <c r="E21" s="3231">
        <v>26640</v>
      </c>
      <c r="F21" s="3231"/>
      <c r="G21" s="3231">
        <v>19440</v>
      </c>
      <c r="J21" s="3238" t="s">
        <v>2931</v>
      </c>
      <c r="K21" s="3232" t="s">
        <v>267</v>
      </c>
      <c r="L21" s="3231" t="s">
        <v>268</v>
      </c>
      <c r="M21" s="3231" t="s">
        <v>269</v>
      </c>
      <c r="N21" s="3231" t="s">
        <v>270</v>
      </c>
      <c r="O21" s="3231" t="s">
        <v>264</v>
      </c>
      <c r="P21" s="3231" t="s">
        <v>283</v>
      </c>
      <c r="Q21" s="3231" t="s">
        <v>293</v>
      </c>
      <c r="R21" s="3231" t="s">
        <v>2932</v>
      </c>
      <c r="S21" s="3238" t="s">
        <v>2933</v>
      </c>
    </row>
    <row r="22" spans="1:19" ht="14.25" customHeight="1">
      <c r="A22" s="3231" t="s">
        <v>184</v>
      </c>
      <c r="B22" s="3232" t="s">
        <v>2913</v>
      </c>
      <c r="C22" s="3231">
        <v>29830</v>
      </c>
      <c r="D22" s="3231">
        <v>27600</v>
      </c>
      <c r="E22" s="3231">
        <v>28150</v>
      </c>
      <c r="F22" s="3231"/>
      <c r="G22" s="3231">
        <v>20080</v>
      </c>
      <c r="K22" s="3232" t="s">
        <v>2934</v>
      </c>
      <c r="L22" s="3231" t="s">
        <v>272</v>
      </c>
      <c r="M22" s="3231" t="s">
        <v>273</v>
      </c>
      <c r="N22" s="3231" t="s">
        <v>274</v>
      </c>
      <c r="O22" s="3231" t="s">
        <v>2935</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2936</v>
      </c>
      <c r="L23" s="3231" t="s">
        <v>278</v>
      </c>
      <c r="M23" s="3231" t="s">
        <v>279</v>
      </c>
      <c r="N23" s="3231" t="s">
        <v>2937</v>
      </c>
      <c r="O23" s="3231" t="s">
        <v>2938</v>
      </c>
      <c r="P23" s="3231" t="s">
        <v>289</v>
      </c>
      <c r="Q23" s="3231" t="s">
        <v>298</v>
      </c>
      <c r="R23" s="3231" t="s">
        <v>2939</v>
      </c>
    </row>
    <row r="24" spans="1:19" ht="14.25" customHeight="1">
      <c r="A24" s="3231" t="s">
        <v>184</v>
      </c>
      <c r="B24" s="3232" t="s">
        <v>230</v>
      </c>
      <c r="C24" s="3231">
        <v>27930</v>
      </c>
      <c r="D24" s="3231">
        <v>32260</v>
      </c>
      <c r="E24" s="3231">
        <v>32120</v>
      </c>
      <c r="F24" s="3231"/>
      <c r="G24" s="3231">
        <v>23470</v>
      </c>
      <c r="K24" s="3232" t="s">
        <v>2940</v>
      </c>
      <c r="L24" s="3231" t="s">
        <v>281</v>
      </c>
      <c r="M24" s="3231" t="s">
        <v>282</v>
      </c>
      <c r="N24" s="3231" t="s">
        <v>2941</v>
      </c>
      <c r="O24" s="3231" t="s">
        <v>285</v>
      </c>
      <c r="P24" s="3231" t="s">
        <v>2942</v>
      </c>
      <c r="Q24" s="3240" t="s">
        <v>2943</v>
      </c>
      <c r="R24" s="3231" t="s">
        <v>2944</v>
      </c>
    </row>
    <row r="25" spans="1:19" ht="14.25" customHeight="1">
      <c r="A25" s="3231" t="s">
        <v>184</v>
      </c>
      <c r="B25" s="3232" t="s">
        <v>235</v>
      </c>
      <c r="C25" s="3231">
        <v>32230</v>
      </c>
      <c r="D25" s="3231">
        <v>29640</v>
      </c>
      <c r="E25" s="3231">
        <v>29510</v>
      </c>
      <c r="F25" s="3231"/>
      <c r="G25" s="3231">
        <v>21560</v>
      </c>
      <c r="K25" s="3232" t="s">
        <v>2945</v>
      </c>
      <c r="L25" s="3231" t="s">
        <v>2946</v>
      </c>
      <c r="M25" s="3231" t="s">
        <v>284</v>
      </c>
      <c r="N25" s="3231" t="s">
        <v>292</v>
      </c>
      <c r="O25" s="3231" t="s">
        <v>288</v>
      </c>
      <c r="P25" s="3231" t="s">
        <v>275</v>
      </c>
      <c r="Q25" s="3240" t="s">
        <v>271</v>
      </c>
      <c r="R25" s="3231" t="s">
        <v>2947</v>
      </c>
    </row>
    <row r="26" spans="1:19" ht="14.25" customHeight="1" thickBot="1">
      <c r="A26" s="3231" t="s">
        <v>184</v>
      </c>
      <c r="B26" s="3232" t="s">
        <v>244</v>
      </c>
      <c r="C26" s="3231">
        <v>31690</v>
      </c>
      <c r="D26" s="3231">
        <v>27650</v>
      </c>
      <c r="E26" s="3231">
        <v>28200</v>
      </c>
      <c r="F26" s="3231"/>
      <c r="G26" s="3231">
        <v>20110</v>
      </c>
      <c r="K26" s="3237" t="s">
        <v>2948</v>
      </c>
      <c r="L26" s="3231" t="s">
        <v>2949</v>
      </c>
      <c r="M26" s="3231" t="s">
        <v>287</v>
      </c>
      <c r="N26" s="3231" t="s">
        <v>294</v>
      </c>
      <c r="O26" s="3231" t="s">
        <v>2950</v>
      </c>
      <c r="P26" s="3231" t="s">
        <v>2951</v>
      </c>
      <c r="Q26" s="3240" t="s">
        <v>276</v>
      </c>
      <c r="R26" s="3231" t="s">
        <v>2952</v>
      </c>
    </row>
    <row r="27" spans="1:19" ht="14.25" customHeight="1">
      <c r="A27" s="3231" t="s">
        <v>184</v>
      </c>
      <c r="B27" s="3232" t="s">
        <v>251</v>
      </c>
      <c r="C27" s="3231">
        <v>29610</v>
      </c>
      <c r="D27" s="3231">
        <v>27770</v>
      </c>
      <c r="E27" s="3231">
        <v>28300</v>
      </c>
      <c r="F27" s="3231"/>
      <c r="G27" s="3231">
        <v>20210</v>
      </c>
      <c r="L27" s="3231" t="s">
        <v>2953</v>
      </c>
      <c r="M27" s="3231" t="s">
        <v>291</v>
      </c>
      <c r="N27" s="3231" t="s">
        <v>297</v>
      </c>
      <c r="O27" s="3231" t="s">
        <v>2954</v>
      </c>
      <c r="P27" s="3231" t="s">
        <v>2955</v>
      </c>
      <c r="Q27" s="3231" t="s">
        <v>2956</v>
      </c>
      <c r="R27" s="3231" t="s">
        <v>2957</v>
      </c>
    </row>
    <row r="28" spans="1:19" ht="14.25" customHeight="1">
      <c r="A28" s="3231" t="s">
        <v>184</v>
      </c>
      <c r="B28" s="3232" t="s">
        <v>259</v>
      </c>
      <c r="C28" s="3231"/>
      <c r="D28" s="3231">
        <v>31520</v>
      </c>
      <c r="E28" s="3231">
        <v>31410</v>
      </c>
      <c r="F28" s="3231"/>
      <c r="G28" s="3231">
        <v>22940</v>
      </c>
      <c r="L28" s="3231" t="s">
        <v>2958</v>
      </c>
      <c r="M28" s="3231" t="s">
        <v>2959</v>
      </c>
      <c r="N28" s="3231" t="s">
        <v>2960</v>
      </c>
      <c r="O28" s="3231" t="s">
        <v>2961</v>
      </c>
      <c r="P28" s="3231" t="s">
        <v>2962</v>
      </c>
      <c r="Q28" s="3231" t="s">
        <v>2963</v>
      </c>
      <c r="R28" s="3231" t="s">
        <v>2964</v>
      </c>
    </row>
    <row r="29" spans="1:19" ht="14.25" customHeight="1" thickBot="1">
      <c r="A29" s="3239" t="s">
        <v>184</v>
      </c>
      <c r="B29" s="3241" t="s">
        <v>2931</v>
      </c>
      <c r="C29" s="3242"/>
      <c r="D29" s="3242">
        <v>29460</v>
      </c>
      <c r="E29" s="3242">
        <v>28640</v>
      </c>
      <c r="F29" s="3242"/>
      <c r="G29" s="3242">
        <v>21430</v>
      </c>
      <c r="L29" s="3231" t="s">
        <v>2965</v>
      </c>
      <c r="M29" s="3231" t="s">
        <v>2966</v>
      </c>
      <c r="N29" s="3231" t="s">
        <v>2967</v>
      </c>
      <c r="O29" s="3231" t="s">
        <v>2968</v>
      </c>
      <c r="P29" s="3231" t="s">
        <v>2969</v>
      </c>
      <c r="Q29" s="3231" t="s">
        <v>2970</v>
      </c>
      <c r="R29" s="3231" t="s">
        <v>280</v>
      </c>
    </row>
    <row r="30" spans="1:19" ht="14.25" customHeight="1">
      <c r="A30" s="3236" t="s">
        <v>296</v>
      </c>
      <c r="B30" s="3227" t="s">
        <v>2864</v>
      </c>
      <c r="C30" s="3227">
        <v>26890</v>
      </c>
      <c r="D30" s="3227">
        <v>26770</v>
      </c>
      <c r="E30" s="3227">
        <v>25700</v>
      </c>
      <c r="F30" s="3227">
        <v>8180</v>
      </c>
      <c r="G30" s="3243">
        <v>18740</v>
      </c>
      <c r="L30" s="3231" t="s">
        <v>2971</v>
      </c>
      <c r="M30" s="3231" t="s">
        <v>2972</v>
      </c>
      <c r="N30" s="3231" t="s">
        <v>2973</v>
      </c>
      <c r="O30" s="3231" t="s">
        <v>2974</v>
      </c>
      <c r="P30" s="3231" t="s">
        <v>2975</v>
      </c>
      <c r="Q30" s="3231" t="s">
        <v>2976</v>
      </c>
      <c r="R30" s="3231" t="s">
        <v>2977</v>
      </c>
    </row>
    <row r="31" spans="1:19" ht="14.25" customHeight="1">
      <c r="A31" s="3231" t="s">
        <v>296</v>
      </c>
      <c r="B31" s="3232" t="s">
        <v>129</v>
      </c>
      <c r="C31" s="3231">
        <v>24550</v>
      </c>
      <c r="D31" s="3231">
        <v>23990</v>
      </c>
      <c r="E31" s="3231">
        <v>22930</v>
      </c>
      <c r="F31" s="3231">
        <v>7470</v>
      </c>
      <c r="G31" s="3244">
        <v>16790</v>
      </c>
      <c r="L31" s="3231" t="s">
        <v>2978</v>
      </c>
      <c r="M31" s="3231" t="s">
        <v>2979</v>
      </c>
      <c r="N31" s="3231" t="s">
        <v>2980</v>
      </c>
      <c r="O31" s="3231" t="s">
        <v>2981</v>
      </c>
      <c r="P31" s="3231" t="s">
        <v>2982</v>
      </c>
      <c r="Q31" s="3231" t="s">
        <v>2983</v>
      </c>
      <c r="R31" s="3231" t="s">
        <v>2984</v>
      </c>
    </row>
    <row r="32" spans="1:19" ht="14.25" customHeight="1" thickBot="1">
      <c r="A32" s="3231" t="s">
        <v>296</v>
      </c>
      <c r="B32" s="3232" t="s">
        <v>138</v>
      </c>
      <c r="C32" s="3231">
        <v>27210</v>
      </c>
      <c r="D32" s="3231">
        <v>23240</v>
      </c>
      <c r="E32" s="3231">
        <v>23260</v>
      </c>
      <c r="F32" s="3231">
        <v>7130</v>
      </c>
      <c r="G32" s="3244">
        <v>16270</v>
      </c>
      <c r="L32" s="3231" t="s">
        <v>2985</v>
      </c>
      <c r="M32" s="3231" t="s">
        <v>2986</v>
      </c>
      <c r="N32" s="3231" t="s">
        <v>300</v>
      </c>
      <c r="O32" s="3231" t="s">
        <v>2987</v>
      </c>
      <c r="P32" s="3231" t="s">
        <v>299</v>
      </c>
      <c r="Q32" s="3231" t="s">
        <v>2988</v>
      </c>
      <c r="R32" s="3238" t="s">
        <v>2989</v>
      </c>
    </row>
    <row r="33" spans="1:17" ht="14.25" customHeight="1" thickBot="1">
      <c r="A33" s="3231" t="s">
        <v>296</v>
      </c>
      <c r="B33" s="3232" t="s">
        <v>147</v>
      </c>
      <c r="C33" s="3231">
        <v>27300</v>
      </c>
      <c r="D33" s="3231">
        <v>22980</v>
      </c>
      <c r="E33" s="3231">
        <v>24260</v>
      </c>
      <c r="F33" s="3231">
        <v>5860</v>
      </c>
      <c r="G33" s="3244">
        <v>16090</v>
      </c>
      <c r="L33" s="3238" t="s">
        <v>2990</v>
      </c>
      <c r="M33" s="3231" t="s">
        <v>2991</v>
      </c>
      <c r="N33" s="3231" t="s">
        <v>301</v>
      </c>
      <c r="O33" s="3231" t="s">
        <v>2992</v>
      </c>
      <c r="P33" s="3231" t="s">
        <v>2993</v>
      </c>
      <c r="Q33" s="3231" t="s">
        <v>2994</v>
      </c>
    </row>
    <row r="34" spans="1:17" ht="14.25" customHeight="1">
      <c r="A34" s="3231" t="s">
        <v>296</v>
      </c>
      <c r="B34" s="3232" t="s">
        <v>156</v>
      </c>
      <c r="C34" s="3231">
        <v>23090</v>
      </c>
      <c r="D34" s="3231">
        <v>23390</v>
      </c>
      <c r="E34" s="3231">
        <v>23510</v>
      </c>
      <c r="F34" s="3231">
        <v>6700</v>
      </c>
      <c r="G34" s="3244">
        <v>16370</v>
      </c>
      <c r="M34" s="3231" t="s">
        <v>2995</v>
      </c>
      <c r="N34" s="3231" t="s">
        <v>302</v>
      </c>
      <c r="O34" s="3231" t="s">
        <v>2996</v>
      </c>
      <c r="P34" s="3231" t="s">
        <v>2997</v>
      </c>
      <c r="Q34" s="3231" t="s">
        <v>2998</v>
      </c>
    </row>
    <row r="35" spans="1:17" ht="14.25" customHeight="1">
      <c r="A35" s="3231" t="s">
        <v>296</v>
      </c>
      <c r="B35" s="3232" t="s">
        <v>163</v>
      </c>
      <c r="C35" s="3231">
        <v>27270</v>
      </c>
      <c r="D35" s="3231">
        <v>24270</v>
      </c>
      <c r="E35" s="3231">
        <v>24950</v>
      </c>
      <c r="F35" s="3231">
        <v>6600</v>
      </c>
      <c r="G35" s="3244">
        <v>16990</v>
      </c>
      <c r="M35" s="3231" t="s">
        <v>2999</v>
      </c>
      <c r="N35" s="3231" t="s">
        <v>3000</v>
      </c>
      <c r="O35" s="3231" t="s">
        <v>3001</v>
      </c>
      <c r="P35" s="3231" t="s">
        <v>3002</v>
      </c>
      <c r="Q35" s="3231" t="s">
        <v>3003</v>
      </c>
    </row>
    <row r="36" spans="1:17" ht="14.25" customHeight="1">
      <c r="A36" s="3231" t="s">
        <v>296</v>
      </c>
      <c r="B36" s="3232" t="s">
        <v>169</v>
      </c>
      <c r="C36" s="3231">
        <v>23490</v>
      </c>
      <c r="D36" s="3231">
        <v>23020</v>
      </c>
      <c r="E36" s="3231">
        <v>25230</v>
      </c>
      <c r="F36" s="3231">
        <v>6780</v>
      </c>
      <c r="G36" s="3244">
        <v>16120</v>
      </c>
      <c r="M36" s="3231" t="s">
        <v>3004</v>
      </c>
      <c r="N36" s="3231" t="s">
        <v>3005</v>
      </c>
      <c r="O36" s="3231" t="s">
        <v>3006</v>
      </c>
      <c r="P36" s="3231" t="s">
        <v>3007</v>
      </c>
      <c r="Q36" s="3231" t="s">
        <v>3008</v>
      </c>
    </row>
    <row r="37" spans="1:17" ht="14.25" customHeight="1">
      <c r="A37" s="3231" t="s">
        <v>296</v>
      </c>
      <c r="B37" s="3232" t="s">
        <v>176</v>
      </c>
      <c r="C37" s="3231">
        <v>24380</v>
      </c>
      <c r="D37" s="3231">
        <v>22240</v>
      </c>
      <c r="E37" s="3231">
        <v>25980</v>
      </c>
      <c r="F37" s="3231">
        <v>8160</v>
      </c>
      <c r="G37" s="3244">
        <v>15570</v>
      </c>
      <c r="M37" s="3231" t="s">
        <v>3009</v>
      </c>
      <c r="N37" s="3231" t="s">
        <v>3010</v>
      </c>
      <c r="O37" s="3231" t="s">
        <v>3011</v>
      </c>
      <c r="P37" s="3231" t="s">
        <v>3012</v>
      </c>
      <c r="Q37" s="3231" t="s">
        <v>3013</v>
      </c>
    </row>
    <row r="38" spans="1:17" ht="14.25" customHeight="1">
      <c r="A38" s="3231" t="s">
        <v>296</v>
      </c>
      <c r="B38" s="3232" t="s">
        <v>186</v>
      </c>
      <c r="C38" s="3231">
        <v>23120</v>
      </c>
      <c r="D38" s="3231">
        <v>24630</v>
      </c>
      <c r="E38" s="3231">
        <v>25030</v>
      </c>
      <c r="F38" s="3231">
        <v>7710</v>
      </c>
      <c r="G38" s="3244">
        <v>17240</v>
      </c>
      <c r="M38" s="3231" t="s">
        <v>3014</v>
      </c>
      <c r="N38" s="3231" t="s">
        <v>3015</v>
      </c>
      <c r="O38" s="3231" t="s">
        <v>3016</v>
      </c>
      <c r="P38" s="3231" t="s">
        <v>3017</v>
      </c>
      <c r="Q38" s="3231" t="s">
        <v>3018</v>
      </c>
    </row>
    <row r="39" spans="1:17" ht="14.25" customHeight="1">
      <c r="A39" s="3231" t="s">
        <v>296</v>
      </c>
      <c r="B39" s="3232" t="s">
        <v>195</v>
      </c>
      <c r="C39" s="3231">
        <v>22330</v>
      </c>
      <c r="D39" s="3231">
        <v>21140</v>
      </c>
      <c r="E39" s="3231">
        <v>23970</v>
      </c>
      <c r="F39" s="3231">
        <v>7940</v>
      </c>
      <c r="G39" s="3244">
        <v>14790</v>
      </c>
      <c r="M39" s="3231" t="s">
        <v>3019</v>
      </c>
      <c r="N39" s="3231" t="s">
        <v>3020</v>
      </c>
      <c r="O39" s="3231" t="s">
        <v>3021</v>
      </c>
      <c r="P39" s="3231" t="s">
        <v>3022</v>
      </c>
      <c r="Q39" s="3231" t="s">
        <v>3023</v>
      </c>
    </row>
    <row r="40" spans="1:17" ht="14.25" customHeight="1">
      <c r="A40" s="3231" t="s">
        <v>296</v>
      </c>
      <c r="B40" s="3232" t="s">
        <v>202</v>
      </c>
      <c r="C40" s="3231">
        <v>24740</v>
      </c>
      <c r="D40" s="3231">
        <v>24690</v>
      </c>
      <c r="E40" s="3231">
        <v>22610</v>
      </c>
      <c r="F40" s="3231"/>
      <c r="G40" s="3244">
        <v>17280</v>
      </c>
      <c r="M40" s="3231" t="s">
        <v>3024</v>
      </c>
      <c r="N40" s="3231" t="s">
        <v>3025</v>
      </c>
      <c r="O40" s="3231" t="s">
        <v>3026</v>
      </c>
      <c r="P40" s="3231" t="s">
        <v>3027</v>
      </c>
      <c r="Q40" s="3231" t="s">
        <v>3028</v>
      </c>
    </row>
    <row r="41" spans="1:17" ht="14.25" customHeight="1" thickBot="1">
      <c r="A41" s="3231" t="s">
        <v>296</v>
      </c>
      <c r="B41" s="3232" t="s">
        <v>209</v>
      </c>
      <c r="C41" s="3231">
        <v>21220</v>
      </c>
      <c r="D41" s="3231">
        <v>21120</v>
      </c>
      <c r="E41" s="3231">
        <v>22590</v>
      </c>
      <c r="F41" s="3231"/>
      <c r="G41" s="3244">
        <v>14780</v>
      </c>
      <c r="M41" s="3238" t="s">
        <v>3029</v>
      </c>
      <c r="N41" s="3231" t="s">
        <v>3030</v>
      </c>
      <c r="O41" s="3231" t="s">
        <v>3031</v>
      </c>
      <c r="P41" s="3231" t="s">
        <v>3032</v>
      </c>
      <c r="Q41" s="3231" t="s">
        <v>3033</v>
      </c>
    </row>
    <row r="42" spans="1:17" ht="14.25" customHeight="1">
      <c r="A42" s="3231" t="s">
        <v>296</v>
      </c>
      <c r="B42" s="3232" t="s">
        <v>215</v>
      </c>
      <c r="C42" s="3231">
        <v>24800</v>
      </c>
      <c r="D42" s="3231">
        <v>22280</v>
      </c>
      <c r="E42" s="3231">
        <v>24350</v>
      </c>
      <c r="F42" s="3231"/>
      <c r="G42" s="3244">
        <v>15590</v>
      </c>
      <c r="N42" s="3231" t="s">
        <v>3034</v>
      </c>
      <c r="O42" s="3231" t="s">
        <v>3035</v>
      </c>
      <c r="P42" s="3231" t="s">
        <v>3036</v>
      </c>
      <c r="Q42" s="3231" t="s">
        <v>3037</v>
      </c>
    </row>
    <row r="43" spans="1:17" ht="14.25" customHeight="1">
      <c r="A43" s="3231" t="s">
        <v>3038</v>
      </c>
      <c r="B43" s="3232" t="s">
        <v>223</v>
      </c>
      <c r="C43" s="3231">
        <v>21210</v>
      </c>
      <c r="D43" s="3231">
        <v>21160</v>
      </c>
      <c r="E43" s="3231">
        <v>22650</v>
      </c>
      <c r="F43" s="3231"/>
      <c r="G43" s="3244">
        <v>14800</v>
      </c>
      <c r="N43" s="3231" t="s">
        <v>3039</v>
      </c>
      <c r="O43" s="3231" t="s">
        <v>3040</v>
      </c>
      <c r="P43" s="3231" t="s">
        <v>3041</v>
      </c>
      <c r="Q43" s="3231" t="s">
        <v>3042</v>
      </c>
    </row>
    <row r="44" spans="1:17" ht="14.25" customHeight="1" thickBot="1">
      <c r="A44" s="3231" t="s">
        <v>296</v>
      </c>
      <c r="B44" s="3232" t="s">
        <v>231</v>
      </c>
      <c r="C44" s="3231">
        <v>22370</v>
      </c>
      <c r="D44" s="3231">
        <v>23140</v>
      </c>
      <c r="E44" s="3231">
        <v>25090</v>
      </c>
      <c r="F44" s="3231"/>
      <c r="G44" s="3244">
        <v>16190</v>
      </c>
      <c r="N44" s="3231" t="s">
        <v>3043</v>
      </c>
      <c r="O44" s="3231" t="s">
        <v>3044</v>
      </c>
      <c r="P44" s="3238" t="s">
        <v>3045</v>
      </c>
      <c r="Q44" s="3231" t="s">
        <v>3046</v>
      </c>
    </row>
    <row r="45" spans="1:17" ht="14.25" customHeight="1" thickBot="1">
      <c r="A45" s="3231" t="s">
        <v>296</v>
      </c>
      <c r="B45" s="3232" t="s">
        <v>236</v>
      </c>
      <c r="C45" s="3231">
        <v>21240</v>
      </c>
      <c r="D45" s="3231">
        <v>27050</v>
      </c>
      <c r="E45" s="3231">
        <v>28000</v>
      </c>
      <c r="F45" s="3231"/>
      <c r="G45" s="3244">
        <v>18940</v>
      </c>
      <c r="N45" s="3231" t="s">
        <v>3047</v>
      </c>
      <c r="O45" s="3238" t="s">
        <v>3048</v>
      </c>
      <c r="Q45" s="3231" t="s">
        <v>3049</v>
      </c>
    </row>
    <row r="46" spans="1:17" ht="14.25" customHeight="1">
      <c r="A46" s="3231" t="s">
        <v>296</v>
      </c>
      <c r="B46" s="3232" t="s">
        <v>245</v>
      </c>
      <c r="C46" s="3231">
        <v>23240</v>
      </c>
      <c r="D46" s="3231">
        <v>23000</v>
      </c>
      <c r="E46" s="3231">
        <v>24980</v>
      </c>
      <c r="F46" s="3231"/>
      <c r="G46" s="3244">
        <v>16100</v>
      </c>
      <c r="N46" s="3231" t="s">
        <v>3050</v>
      </c>
      <c r="Q46" s="3231" t="s">
        <v>3051</v>
      </c>
    </row>
    <row r="47" spans="1:17" ht="14.25" customHeight="1">
      <c r="A47" s="3231" t="s">
        <v>296</v>
      </c>
      <c r="B47" s="3232" t="s">
        <v>252</v>
      </c>
      <c r="C47" s="3231">
        <v>27150</v>
      </c>
      <c r="D47" s="3231">
        <v>23310</v>
      </c>
      <c r="E47" s="3231">
        <v>25150</v>
      </c>
      <c r="F47" s="3231"/>
      <c r="G47" s="3244">
        <v>16310</v>
      </c>
      <c r="N47" s="3231" t="s">
        <v>3052</v>
      </c>
      <c r="Q47" s="3231" t="s">
        <v>3053</v>
      </c>
    </row>
    <row r="48" spans="1:17" ht="14.25" customHeight="1">
      <c r="A48" s="3231" t="s">
        <v>296</v>
      </c>
      <c r="B48" s="3232" t="s">
        <v>260</v>
      </c>
      <c r="C48" s="3231">
        <v>23100</v>
      </c>
      <c r="D48" s="3231">
        <v>21110</v>
      </c>
      <c r="E48" s="3231">
        <v>23080</v>
      </c>
      <c r="F48" s="3231"/>
      <c r="G48" s="3244">
        <v>14780</v>
      </c>
      <c r="N48" s="3231" t="s">
        <v>3054</v>
      </c>
      <c r="Q48" s="3231" t="s">
        <v>3055</v>
      </c>
    </row>
    <row r="49" spans="1:17" ht="14.25" customHeight="1">
      <c r="A49" s="3231" t="s">
        <v>296</v>
      </c>
      <c r="B49" s="3232" t="s">
        <v>267</v>
      </c>
      <c r="C49" s="3231">
        <v>23400</v>
      </c>
      <c r="D49" s="3231">
        <v>22920</v>
      </c>
      <c r="E49" s="3231">
        <v>24900</v>
      </c>
      <c r="F49" s="3231"/>
      <c r="G49" s="3244">
        <v>16040</v>
      </c>
      <c r="N49" s="3231" t="s">
        <v>3056</v>
      </c>
      <c r="Q49" s="3231" t="s">
        <v>3057</v>
      </c>
    </row>
    <row r="50" spans="1:17" ht="14.25" customHeight="1">
      <c r="A50" s="3231" t="s">
        <v>296</v>
      </c>
      <c r="B50" s="3232" t="s">
        <v>2934</v>
      </c>
      <c r="C50" s="3231">
        <v>21200</v>
      </c>
      <c r="D50" s="3231">
        <v>26540</v>
      </c>
      <c r="E50" s="3231">
        <v>23200</v>
      </c>
      <c r="F50" s="3231"/>
      <c r="G50" s="3244">
        <v>18580</v>
      </c>
      <c r="N50" s="3231" t="s">
        <v>3058</v>
      </c>
      <c r="Q50" s="3232" t="s">
        <v>3059</v>
      </c>
    </row>
    <row r="51" spans="1:17" ht="14.25" customHeight="1" thickBot="1">
      <c r="A51" s="3231" t="s">
        <v>296</v>
      </c>
      <c r="B51" s="3232" t="s">
        <v>2936</v>
      </c>
      <c r="C51" s="3231">
        <v>23000</v>
      </c>
      <c r="D51" s="3231">
        <v>23460</v>
      </c>
      <c r="E51" s="3231">
        <v>25290</v>
      </c>
      <c r="F51" s="3231"/>
      <c r="G51" s="3244">
        <v>16420</v>
      </c>
      <c r="N51" s="3231" t="s">
        <v>3060</v>
      </c>
      <c r="Q51" s="3238" t="s">
        <v>3061</v>
      </c>
    </row>
    <row r="52" spans="1:17" ht="14.25" customHeight="1">
      <c r="A52" s="3231" t="s">
        <v>296</v>
      </c>
      <c r="B52" s="3232" t="s">
        <v>2940</v>
      </c>
      <c r="C52" s="3231">
        <v>26660</v>
      </c>
      <c r="D52" s="3231">
        <v>22350</v>
      </c>
      <c r="E52" s="3231">
        <v>22920</v>
      </c>
      <c r="F52" s="3231"/>
      <c r="G52" s="3244">
        <v>15640</v>
      </c>
      <c r="N52" s="3231" t="s">
        <v>3062</v>
      </c>
    </row>
    <row r="53" spans="1:17" ht="14.25" customHeight="1">
      <c r="A53" s="3231" t="s">
        <v>296</v>
      </c>
      <c r="B53" s="3232" t="s">
        <v>2945</v>
      </c>
      <c r="C53" s="3231">
        <v>23580</v>
      </c>
      <c r="D53" s="3231"/>
      <c r="E53" s="3231">
        <v>24280</v>
      </c>
      <c r="F53" s="3231"/>
      <c r="G53" s="3244"/>
      <c r="N53" s="3231" t="s">
        <v>3063</v>
      </c>
    </row>
    <row r="54" spans="1:17" ht="14.25" customHeight="1" thickBot="1">
      <c r="A54" s="3245" t="s">
        <v>296</v>
      </c>
      <c r="B54" s="3237" t="s">
        <v>2948</v>
      </c>
      <c r="C54" s="3238">
        <v>22460</v>
      </c>
      <c r="D54" s="3238"/>
      <c r="E54" s="3238"/>
      <c r="F54" s="3238"/>
      <c r="G54" s="3246"/>
      <c r="N54" s="3231" t="s">
        <v>3064</v>
      </c>
    </row>
    <row r="55" spans="1:17" ht="14.25" customHeight="1">
      <c r="A55" s="3236" t="s">
        <v>110</v>
      </c>
      <c r="B55" s="3227" t="s">
        <v>3065</v>
      </c>
      <c r="C55" s="3231">
        <v>21970</v>
      </c>
      <c r="D55" s="3231">
        <v>20370</v>
      </c>
      <c r="E55" s="3231">
        <v>20180</v>
      </c>
      <c r="F55" s="3231">
        <v>5730</v>
      </c>
      <c r="G55" s="3231">
        <v>13820</v>
      </c>
      <c r="N55" s="3231" t="s">
        <v>3066</v>
      </c>
    </row>
    <row r="56" spans="1:17" ht="14.25" customHeight="1">
      <c r="A56" s="3231" t="s">
        <v>110</v>
      </c>
      <c r="B56" s="3231" t="s">
        <v>130</v>
      </c>
      <c r="C56" s="3231">
        <v>20470</v>
      </c>
      <c r="D56" s="3231">
        <v>20700</v>
      </c>
      <c r="E56" s="3231">
        <v>20380</v>
      </c>
      <c r="F56" s="3231">
        <v>4760</v>
      </c>
      <c r="G56" s="3231">
        <v>14050</v>
      </c>
      <c r="N56" s="3231" t="s">
        <v>3067</v>
      </c>
    </row>
    <row r="57" spans="1:17" ht="14.25" customHeight="1">
      <c r="A57" s="3231" t="s">
        <v>110</v>
      </c>
      <c r="B57" s="3231" t="s">
        <v>139</v>
      </c>
      <c r="C57" s="3231">
        <v>20790</v>
      </c>
      <c r="D57" s="3231">
        <v>21370</v>
      </c>
      <c r="E57" s="3231">
        <v>20890</v>
      </c>
      <c r="F57" s="3231">
        <v>4910</v>
      </c>
      <c r="G57" s="3231">
        <v>14510</v>
      </c>
      <c r="N57" s="3231" t="s">
        <v>3068</v>
      </c>
    </row>
    <row r="58" spans="1:17" ht="14.25" customHeight="1">
      <c r="A58" s="3231" t="s">
        <v>110</v>
      </c>
      <c r="B58" s="3231" t="s">
        <v>148</v>
      </c>
      <c r="C58" s="3231">
        <v>21460</v>
      </c>
      <c r="D58" s="3231">
        <v>20920</v>
      </c>
      <c r="E58" s="3231">
        <v>23410</v>
      </c>
      <c r="F58" s="3231">
        <v>5100</v>
      </c>
      <c r="G58" s="3231">
        <v>14200</v>
      </c>
      <c r="N58" s="3231" t="s">
        <v>3069</v>
      </c>
    </row>
    <row r="59" spans="1:17" ht="14.25" customHeight="1">
      <c r="A59" s="3231" t="s">
        <v>110</v>
      </c>
      <c r="B59" s="3231" t="s">
        <v>157</v>
      </c>
      <c r="C59" s="3231">
        <v>21000</v>
      </c>
      <c r="D59" s="3231">
        <v>21550</v>
      </c>
      <c r="E59" s="3231">
        <v>21150</v>
      </c>
      <c r="F59" s="3231">
        <v>5250</v>
      </c>
      <c r="G59" s="3231">
        <v>14630</v>
      </c>
      <c r="N59" s="3231" t="s">
        <v>3070</v>
      </c>
    </row>
    <row r="60" spans="1:17" ht="14.25" customHeight="1">
      <c r="A60" s="3231" t="s">
        <v>110</v>
      </c>
      <c r="B60" s="3231" t="s">
        <v>164</v>
      </c>
      <c r="C60" s="3231">
        <v>21640</v>
      </c>
      <c r="D60" s="3231">
        <v>21260</v>
      </c>
      <c r="E60" s="3231">
        <v>24040</v>
      </c>
      <c r="F60" s="3231">
        <v>4470</v>
      </c>
      <c r="G60" s="3231">
        <v>14430</v>
      </c>
      <c r="N60" s="3231" t="s">
        <v>3071</v>
      </c>
    </row>
    <row r="61" spans="1:17" ht="14.25" customHeight="1">
      <c r="A61" s="3231" t="s">
        <v>110</v>
      </c>
      <c r="B61" s="3231" t="s">
        <v>170</v>
      </c>
      <c r="C61" s="3231">
        <v>21330</v>
      </c>
      <c r="D61" s="3231">
        <v>18640</v>
      </c>
      <c r="E61" s="3231">
        <v>21190</v>
      </c>
      <c r="F61" s="3231">
        <v>4180</v>
      </c>
      <c r="G61" s="3231">
        <v>12650</v>
      </c>
      <c r="N61" s="3231" t="s">
        <v>3072</v>
      </c>
    </row>
    <row r="62" spans="1:17" ht="14.25" customHeight="1">
      <c r="A62" s="3231" t="s">
        <v>110</v>
      </c>
      <c r="B62" s="3231" t="s">
        <v>177</v>
      </c>
      <c r="C62" s="3231">
        <v>18710</v>
      </c>
      <c r="D62" s="3231">
        <v>19400</v>
      </c>
      <c r="E62" s="3231">
        <v>23750</v>
      </c>
      <c r="F62" s="3231">
        <v>4860</v>
      </c>
      <c r="G62" s="3231">
        <v>13170</v>
      </c>
      <c r="N62" s="3231" t="s">
        <v>3073</v>
      </c>
    </row>
    <row r="63" spans="1:17" ht="14.25" customHeight="1">
      <c r="A63" s="3231" t="s">
        <v>110</v>
      </c>
      <c r="B63" s="3231" t="s">
        <v>187</v>
      </c>
      <c r="C63" s="3231">
        <v>19480</v>
      </c>
      <c r="D63" s="3231">
        <v>16830</v>
      </c>
      <c r="E63" s="3231">
        <v>21590</v>
      </c>
      <c r="F63" s="3231">
        <v>4560</v>
      </c>
      <c r="G63" s="3231">
        <v>11420</v>
      </c>
      <c r="N63" s="3231" t="s">
        <v>3074</v>
      </c>
    </row>
    <row r="64" spans="1:17" ht="14.25" customHeight="1" thickBot="1">
      <c r="A64" s="3231" t="s">
        <v>110</v>
      </c>
      <c r="B64" s="3231" t="s">
        <v>196</v>
      </c>
      <c r="C64" s="3231">
        <v>16920</v>
      </c>
      <c r="D64" s="3231">
        <v>19190</v>
      </c>
      <c r="E64" s="3231">
        <v>22200</v>
      </c>
      <c r="F64" s="3231">
        <v>4390</v>
      </c>
      <c r="G64" s="3231">
        <v>13030</v>
      </c>
      <c r="N64" s="3238" t="s">
        <v>3075</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2946</v>
      </c>
      <c r="C78" s="3231">
        <v>19820</v>
      </c>
      <c r="D78" s="3231">
        <v>19780</v>
      </c>
      <c r="E78" s="3231">
        <v>18560</v>
      </c>
      <c r="F78" s="3231"/>
      <c r="G78" s="3231">
        <v>13430</v>
      </c>
    </row>
    <row r="79" spans="1:7" s="3220" customFormat="1" ht="14.25" customHeight="1">
      <c r="A79" s="3231" t="s">
        <v>110</v>
      </c>
      <c r="B79" s="3231" t="s">
        <v>2949</v>
      </c>
      <c r="C79" s="3231">
        <v>21660</v>
      </c>
      <c r="D79" s="3231">
        <v>18000</v>
      </c>
      <c r="E79" s="3231">
        <v>22570</v>
      </c>
      <c r="F79" s="3231"/>
      <c r="G79" s="3231">
        <v>12220</v>
      </c>
    </row>
    <row r="80" spans="1:7" s="3220" customFormat="1" ht="14.25" customHeight="1">
      <c r="A80" s="3231" t="s">
        <v>110</v>
      </c>
      <c r="B80" s="3231" t="s">
        <v>2953</v>
      </c>
      <c r="C80" s="3231">
        <v>19850</v>
      </c>
      <c r="D80" s="3231"/>
      <c r="E80" s="3231">
        <v>21700</v>
      </c>
      <c r="F80" s="3231"/>
      <c r="G80" s="3231"/>
    </row>
    <row r="81" spans="1:7" s="3220" customFormat="1" ht="14.25" customHeight="1">
      <c r="A81" s="3231" t="s">
        <v>110</v>
      </c>
      <c r="B81" s="3231" t="s">
        <v>2958</v>
      </c>
      <c r="C81" s="3231">
        <v>18080</v>
      </c>
      <c r="D81" s="3231"/>
      <c r="E81" s="3231">
        <v>20900</v>
      </c>
      <c r="F81" s="3231"/>
      <c r="G81" s="3231"/>
    </row>
    <row r="82" spans="1:7" s="3220" customFormat="1" ht="14.25" customHeight="1">
      <c r="A82" s="3231" t="s">
        <v>110</v>
      </c>
      <c r="B82" s="3231" t="s">
        <v>2965</v>
      </c>
      <c r="C82" s="3231"/>
      <c r="D82" s="3231"/>
      <c r="E82" s="3231">
        <v>20840</v>
      </c>
      <c r="F82" s="3231"/>
      <c r="G82" s="3231"/>
    </row>
    <row r="83" spans="1:7" s="3220" customFormat="1" ht="14.25" customHeight="1">
      <c r="A83" s="3231" t="s">
        <v>110</v>
      </c>
      <c r="B83" s="3231" t="s">
        <v>3076</v>
      </c>
      <c r="C83" s="3231"/>
      <c r="D83" s="3231"/>
      <c r="E83" s="3231"/>
      <c r="F83" s="3231">
        <v>4770</v>
      </c>
      <c r="G83" s="3231"/>
    </row>
    <row r="84" spans="1:7" s="3220" customFormat="1" ht="14.25" customHeight="1">
      <c r="A84" s="3231" t="s">
        <v>110</v>
      </c>
      <c r="B84" s="3231" t="s">
        <v>3077</v>
      </c>
      <c r="C84" s="3231"/>
      <c r="D84" s="3231"/>
      <c r="E84" s="3231"/>
      <c r="F84" s="3231">
        <v>4600</v>
      </c>
      <c r="G84" s="3231"/>
    </row>
    <row r="85" spans="1:7" s="3220" customFormat="1" ht="14.25" customHeight="1">
      <c r="A85" s="3231" t="s">
        <v>110</v>
      </c>
      <c r="B85" s="3231" t="s">
        <v>3078</v>
      </c>
      <c r="C85" s="3231"/>
      <c r="D85" s="3231"/>
      <c r="E85" s="3231"/>
      <c r="F85" s="3231">
        <v>4680</v>
      </c>
      <c r="G85" s="3231"/>
    </row>
    <row r="86" spans="1:7" s="3220" customFormat="1" ht="14.25" customHeight="1" thickBot="1">
      <c r="A86" s="3239" t="s">
        <v>110</v>
      </c>
      <c r="B86" s="3241" t="s">
        <v>3079</v>
      </c>
      <c r="C86" s="3242">
        <v>16610</v>
      </c>
      <c r="D86" s="3242">
        <v>16540</v>
      </c>
      <c r="E86" s="3242">
        <v>18850</v>
      </c>
      <c r="F86" s="3242"/>
      <c r="G86" s="3242">
        <v>11220</v>
      </c>
    </row>
    <row r="87" spans="1:7" s="3220" customFormat="1" ht="14.25" customHeight="1">
      <c r="A87" s="3236" t="s">
        <v>303</v>
      </c>
      <c r="B87" s="3227" t="s">
        <v>3080</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2959</v>
      </c>
      <c r="C113" s="3231">
        <v>15520</v>
      </c>
      <c r="D113" s="3231">
        <v>15450</v>
      </c>
      <c r="E113" s="3231"/>
      <c r="F113" s="3231"/>
      <c r="G113" s="3244">
        <v>10210</v>
      </c>
    </row>
    <row r="114" spans="1:7" s="3220" customFormat="1" ht="14.25" customHeight="1">
      <c r="A114" s="3231" t="s">
        <v>303</v>
      </c>
      <c r="B114" s="3231" t="s">
        <v>2966</v>
      </c>
      <c r="C114" s="3231">
        <v>13110</v>
      </c>
      <c r="D114" s="3231">
        <v>13050</v>
      </c>
      <c r="E114" s="3231"/>
      <c r="F114" s="3231"/>
      <c r="G114" s="3244">
        <v>8620</v>
      </c>
    </row>
    <row r="115" spans="1:7" s="3220" customFormat="1" ht="14.25" customHeight="1">
      <c r="A115" s="3231" t="s">
        <v>303</v>
      </c>
      <c r="B115" s="3231" t="s">
        <v>2972</v>
      </c>
      <c r="C115" s="3231">
        <v>12460</v>
      </c>
      <c r="D115" s="3231">
        <v>12390</v>
      </c>
      <c r="E115" s="3231"/>
      <c r="F115" s="3231"/>
      <c r="G115" s="3244">
        <v>8190</v>
      </c>
    </row>
    <row r="116" spans="1:7" s="3220" customFormat="1" ht="14.25" customHeight="1">
      <c r="A116" s="3231" t="s">
        <v>303</v>
      </c>
      <c r="B116" s="3231" t="s">
        <v>2979</v>
      </c>
      <c r="C116" s="3231">
        <v>13580</v>
      </c>
      <c r="D116" s="3231">
        <v>13520</v>
      </c>
      <c r="E116" s="3231"/>
      <c r="F116" s="3231"/>
      <c r="G116" s="3244">
        <v>8930</v>
      </c>
    </row>
    <row r="117" spans="1:7" s="3220" customFormat="1" ht="14.25" customHeight="1">
      <c r="A117" s="3231" t="s">
        <v>303</v>
      </c>
      <c r="B117" s="3231" t="s">
        <v>2986</v>
      </c>
      <c r="C117" s="3231">
        <v>17120</v>
      </c>
      <c r="D117" s="3231">
        <v>17040</v>
      </c>
      <c r="E117" s="3231"/>
      <c r="F117" s="3231"/>
      <c r="G117" s="3244">
        <v>11260</v>
      </c>
    </row>
    <row r="118" spans="1:7" s="3220" customFormat="1" ht="14.25" customHeight="1">
      <c r="A118" s="3231" t="s">
        <v>303</v>
      </c>
      <c r="B118" s="3231" t="s">
        <v>2991</v>
      </c>
      <c r="C118" s="3231">
        <v>14860</v>
      </c>
      <c r="D118" s="3231">
        <v>14790</v>
      </c>
      <c r="E118" s="3231"/>
      <c r="F118" s="3231"/>
      <c r="G118" s="3244">
        <v>9780</v>
      </c>
    </row>
    <row r="119" spans="1:7" s="3220" customFormat="1" ht="14.25" customHeight="1">
      <c r="A119" s="3231" t="s">
        <v>303</v>
      </c>
      <c r="B119" s="3231" t="s">
        <v>2995</v>
      </c>
      <c r="C119" s="3231">
        <v>16470</v>
      </c>
      <c r="D119" s="3231">
        <v>16400</v>
      </c>
      <c r="E119" s="3231"/>
      <c r="F119" s="3231"/>
      <c r="G119" s="3244">
        <v>10840</v>
      </c>
    </row>
    <row r="120" spans="1:7" s="3220" customFormat="1" ht="14.25" customHeight="1">
      <c r="A120" s="3231" t="s">
        <v>303</v>
      </c>
      <c r="B120" s="3231" t="s">
        <v>3081</v>
      </c>
      <c r="C120" s="3231"/>
      <c r="D120" s="3231"/>
      <c r="E120" s="3231"/>
      <c r="F120" s="3231">
        <v>4160</v>
      </c>
      <c r="G120" s="3244"/>
    </row>
    <row r="121" spans="1:7" s="3220" customFormat="1" ht="14.25" customHeight="1">
      <c r="A121" s="3231" t="s">
        <v>303</v>
      </c>
      <c r="B121" s="3231" t="s">
        <v>3082</v>
      </c>
      <c r="C121" s="3231"/>
      <c r="D121" s="3231"/>
      <c r="E121" s="3231"/>
      <c r="F121" s="3231">
        <v>3880</v>
      </c>
      <c r="G121" s="3244"/>
    </row>
    <row r="122" spans="1:7" s="3220" customFormat="1" ht="14.25" customHeight="1">
      <c r="A122" s="3231" t="s">
        <v>303</v>
      </c>
      <c r="B122" s="3231" t="s">
        <v>3083</v>
      </c>
      <c r="C122" s="3231">
        <v>13750</v>
      </c>
      <c r="D122" s="3231">
        <v>13680</v>
      </c>
      <c r="E122" s="3231">
        <v>16460</v>
      </c>
      <c r="F122" s="3231">
        <v>2880</v>
      </c>
      <c r="G122" s="3244">
        <v>9040</v>
      </c>
    </row>
    <row r="123" spans="1:7" s="3220" customFormat="1" ht="14.25" customHeight="1">
      <c r="A123" s="3231" t="s">
        <v>303</v>
      </c>
      <c r="B123" s="3231" t="s">
        <v>3014</v>
      </c>
      <c r="C123" s="3231">
        <v>13590</v>
      </c>
      <c r="D123" s="3231">
        <v>13520</v>
      </c>
      <c r="E123" s="3231">
        <v>16290</v>
      </c>
      <c r="F123" s="3231">
        <v>2790</v>
      </c>
      <c r="G123" s="3244">
        <v>8930</v>
      </c>
    </row>
    <row r="124" spans="1:7" s="3220" customFormat="1" ht="14.25" customHeight="1">
      <c r="A124" s="3231" t="s">
        <v>303</v>
      </c>
      <c r="B124" s="3231" t="s">
        <v>3019</v>
      </c>
      <c r="C124" s="3231">
        <v>13400</v>
      </c>
      <c r="D124" s="3231">
        <v>13320</v>
      </c>
      <c r="E124" s="3231">
        <v>16100</v>
      </c>
      <c r="F124" s="3231">
        <v>2320</v>
      </c>
      <c r="G124" s="3244">
        <v>8800</v>
      </c>
    </row>
    <row r="125" spans="1:7" s="3220" customFormat="1" ht="14.25" customHeight="1">
      <c r="A125" s="3231" t="s">
        <v>303</v>
      </c>
      <c r="B125" s="3231" t="s">
        <v>3024</v>
      </c>
      <c r="C125" s="3231">
        <v>12860</v>
      </c>
      <c r="D125" s="3231">
        <v>12790</v>
      </c>
      <c r="E125" s="3231">
        <v>15370</v>
      </c>
      <c r="F125" s="3231">
        <v>2280</v>
      </c>
      <c r="G125" s="3244">
        <v>8450</v>
      </c>
    </row>
    <row r="126" spans="1:7" s="3220" customFormat="1" ht="14.25" customHeight="1" thickBot="1">
      <c r="A126" s="3245" t="s">
        <v>303</v>
      </c>
      <c r="B126" s="3238" t="s">
        <v>3029</v>
      </c>
      <c r="C126" s="3238">
        <v>12960</v>
      </c>
      <c r="D126" s="3238">
        <v>12890</v>
      </c>
      <c r="E126" s="3238">
        <v>15530</v>
      </c>
      <c r="F126" s="3238">
        <v>2910</v>
      </c>
      <c r="G126" s="3246">
        <v>8520</v>
      </c>
    </row>
    <row r="127" spans="1:7" s="3220" customFormat="1" ht="14.25" customHeight="1">
      <c r="A127" s="3236" t="s">
        <v>29</v>
      </c>
      <c r="B127" s="3227" t="s">
        <v>3084</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3085</v>
      </c>
      <c r="C148" s="3231">
        <v>10370</v>
      </c>
      <c r="D148" s="3231">
        <v>10310</v>
      </c>
      <c r="E148" s="3231">
        <v>12970</v>
      </c>
      <c r="F148" s="3231"/>
      <c r="G148" s="3231">
        <v>6630</v>
      </c>
    </row>
    <row r="149" spans="1:7" s="3220" customFormat="1" ht="14.25" customHeight="1">
      <c r="A149" s="3231" t="s">
        <v>29</v>
      </c>
      <c r="B149" s="3231" t="s">
        <v>3086</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2960</v>
      </c>
      <c r="C153" s="3231">
        <v>10880</v>
      </c>
      <c r="D153" s="3231">
        <v>10820</v>
      </c>
      <c r="E153" s="3231">
        <v>13660</v>
      </c>
      <c r="F153" s="3231">
        <v>2260</v>
      </c>
      <c r="G153" s="3231">
        <v>6970</v>
      </c>
    </row>
    <row r="154" spans="1:7" s="3220" customFormat="1" ht="14.25" customHeight="1">
      <c r="A154" s="3231" t="s">
        <v>29</v>
      </c>
      <c r="B154" s="3231" t="s">
        <v>3087</v>
      </c>
      <c r="C154" s="3231">
        <v>11220</v>
      </c>
      <c r="D154" s="3231">
        <v>11160</v>
      </c>
      <c r="E154" s="3231">
        <v>14130</v>
      </c>
      <c r="F154" s="3231">
        <v>2230</v>
      </c>
      <c r="G154" s="3231">
        <v>7180</v>
      </c>
    </row>
    <row r="155" spans="1:7" s="3220" customFormat="1" ht="14.25" customHeight="1">
      <c r="A155" s="3231" t="s">
        <v>29</v>
      </c>
      <c r="B155" s="3231" t="s">
        <v>2973</v>
      </c>
      <c r="C155" s="3231">
        <v>10430</v>
      </c>
      <c r="D155" s="3231">
        <v>10380</v>
      </c>
      <c r="E155" s="3231">
        <v>13140</v>
      </c>
      <c r="F155" s="3231">
        <v>2080</v>
      </c>
      <c r="G155" s="3231">
        <v>6650</v>
      </c>
    </row>
    <row r="156" spans="1:7" s="3220" customFormat="1" ht="14.25" customHeight="1">
      <c r="A156" s="3231" t="s">
        <v>29</v>
      </c>
      <c r="B156" s="3231" t="s">
        <v>3088</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3089</v>
      </c>
      <c r="C160" s="3231">
        <v>11180</v>
      </c>
      <c r="D160" s="3231">
        <v>11140</v>
      </c>
      <c r="E160" s="3231">
        <v>14050</v>
      </c>
      <c r="F160" s="3231">
        <v>2270</v>
      </c>
      <c r="G160" s="3231">
        <v>7170</v>
      </c>
    </row>
    <row r="161" spans="1:7" s="3220" customFormat="1" ht="14.25" customHeight="1">
      <c r="A161" s="3231" t="s">
        <v>29</v>
      </c>
      <c r="B161" s="3231" t="s">
        <v>3005</v>
      </c>
      <c r="C161" s="3231">
        <v>11160</v>
      </c>
      <c r="D161" s="3231">
        <v>11120</v>
      </c>
      <c r="E161" s="3231">
        <v>14020</v>
      </c>
      <c r="F161" s="3231">
        <v>2150</v>
      </c>
      <c r="G161" s="3231">
        <v>7160</v>
      </c>
    </row>
    <row r="162" spans="1:7" s="3220" customFormat="1" ht="14.25" customHeight="1">
      <c r="A162" s="3231" t="s">
        <v>29</v>
      </c>
      <c r="B162" s="3231" t="s">
        <v>3010</v>
      </c>
      <c r="C162" s="3231">
        <v>9620</v>
      </c>
      <c r="D162" s="3231">
        <v>9570</v>
      </c>
      <c r="E162" s="3231">
        <v>12320</v>
      </c>
      <c r="F162" s="3231">
        <v>2010</v>
      </c>
      <c r="G162" s="3231">
        <v>6160</v>
      </c>
    </row>
    <row r="163" spans="1:7" s="3220" customFormat="1" ht="14.25" customHeight="1">
      <c r="A163" s="3231" t="s">
        <v>29</v>
      </c>
      <c r="B163" s="3231" t="s">
        <v>3015</v>
      </c>
      <c r="C163" s="3231">
        <v>9320</v>
      </c>
      <c r="D163" s="3231">
        <v>9270</v>
      </c>
      <c r="E163" s="3231">
        <v>11790</v>
      </c>
      <c r="F163" s="3231">
        <v>1920</v>
      </c>
      <c r="G163" s="3231">
        <v>5960</v>
      </c>
    </row>
    <row r="164" spans="1:7" s="3220" customFormat="1" ht="14.25" customHeight="1">
      <c r="A164" s="3231" t="s">
        <v>29</v>
      </c>
      <c r="B164" s="3231" t="s">
        <v>3020</v>
      </c>
      <c r="C164" s="3231"/>
      <c r="D164" s="3231"/>
      <c r="E164" s="3231"/>
      <c r="F164" s="3231">
        <v>1980</v>
      </c>
      <c r="G164" s="3231"/>
    </row>
    <row r="165" spans="1:7" s="3220" customFormat="1" ht="14.25" customHeight="1">
      <c r="A165" s="3231" t="s">
        <v>29</v>
      </c>
      <c r="B165" s="3231" t="s">
        <v>3090</v>
      </c>
      <c r="C165" s="3231">
        <v>11060</v>
      </c>
      <c r="D165" s="3231">
        <v>11030</v>
      </c>
      <c r="E165" s="3231">
        <v>13850</v>
      </c>
      <c r="F165" s="3231">
        <v>2170</v>
      </c>
      <c r="G165" s="3231">
        <v>7090</v>
      </c>
    </row>
    <row r="166" spans="1:7" s="3220" customFormat="1" ht="14.25" customHeight="1">
      <c r="A166" s="3231" t="s">
        <v>29</v>
      </c>
      <c r="B166" s="3231" t="s">
        <v>3030</v>
      </c>
      <c r="C166" s="3231">
        <v>11050</v>
      </c>
      <c r="D166" s="3231">
        <v>11010</v>
      </c>
      <c r="E166" s="3231">
        <v>13920</v>
      </c>
      <c r="F166" s="3231">
        <v>2140</v>
      </c>
      <c r="G166" s="3231">
        <v>7080</v>
      </c>
    </row>
    <row r="167" spans="1:7" s="3220" customFormat="1" ht="14.25" customHeight="1">
      <c r="A167" s="3231" t="s">
        <v>29</v>
      </c>
      <c r="B167" s="3231" t="s">
        <v>3034</v>
      </c>
      <c r="C167" s="3231">
        <v>10930</v>
      </c>
      <c r="D167" s="3231">
        <v>10890</v>
      </c>
      <c r="E167" s="3231">
        <v>13790</v>
      </c>
      <c r="F167" s="3231">
        <v>2010</v>
      </c>
      <c r="G167" s="3231">
        <v>7000</v>
      </c>
    </row>
    <row r="168" spans="1:7" s="3220" customFormat="1" ht="14.25" customHeight="1">
      <c r="A168" s="3231" t="s">
        <v>29</v>
      </c>
      <c r="B168" s="3231" t="s">
        <v>3039</v>
      </c>
      <c r="C168" s="3231">
        <v>9420</v>
      </c>
      <c r="D168" s="3231">
        <v>9380</v>
      </c>
      <c r="E168" s="3231">
        <v>11970</v>
      </c>
      <c r="F168" s="3231"/>
      <c r="G168" s="3231">
        <v>6040</v>
      </c>
    </row>
    <row r="169" spans="1:7" s="3220" customFormat="1" ht="14.25" customHeight="1">
      <c r="A169" s="3231" t="s">
        <v>29</v>
      </c>
      <c r="B169" s="3231" t="s">
        <v>3091</v>
      </c>
      <c r="C169" s="3231"/>
      <c r="D169" s="3231"/>
      <c r="E169" s="3231"/>
      <c r="F169" s="3231">
        <v>2880</v>
      </c>
      <c r="G169" s="3231"/>
    </row>
    <row r="170" spans="1:7" s="3220" customFormat="1" ht="14.25" customHeight="1">
      <c r="A170" s="3231" t="s">
        <v>29</v>
      </c>
      <c r="B170" s="3231" t="s">
        <v>3047</v>
      </c>
      <c r="C170" s="3231"/>
      <c r="D170" s="3231"/>
      <c r="E170" s="3231"/>
      <c r="F170" s="3231">
        <v>2880</v>
      </c>
      <c r="G170" s="3231"/>
    </row>
    <row r="171" spans="1:7" s="3220" customFormat="1" ht="14.25" customHeight="1">
      <c r="A171" s="3231" t="s">
        <v>29</v>
      </c>
      <c r="B171" s="3231" t="s">
        <v>3050</v>
      </c>
      <c r="C171" s="3231"/>
      <c r="D171" s="3231"/>
      <c r="E171" s="3231"/>
      <c r="F171" s="3231">
        <v>2880</v>
      </c>
      <c r="G171" s="3231"/>
    </row>
    <row r="172" spans="1:7" s="3220" customFormat="1" ht="14.25" customHeight="1">
      <c r="A172" s="3231" t="s">
        <v>29</v>
      </c>
      <c r="B172" s="3231" t="s">
        <v>3052</v>
      </c>
      <c r="C172" s="3231"/>
      <c r="D172" s="3231"/>
      <c r="E172" s="3231"/>
      <c r="F172" s="3231">
        <v>2880</v>
      </c>
      <c r="G172" s="3231"/>
    </row>
    <row r="173" spans="1:7" s="3220" customFormat="1" ht="14.25" customHeight="1">
      <c r="A173" s="3231" t="s">
        <v>29</v>
      </c>
      <c r="B173" s="3231" t="s">
        <v>3054</v>
      </c>
      <c r="C173" s="3231"/>
      <c r="D173" s="3231"/>
      <c r="E173" s="3231"/>
      <c r="F173" s="3231">
        <v>2150</v>
      </c>
      <c r="G173" s="3231"/>
    </row>
    <row r="174" spans="1:7" s="3220" customFormat="1" ht="14.25" customHeight="1">
      <c r="A174" s="3231" t="s">
        <v>29</v>
      </c>
      <c r="B174" s="3231" t="s">
        <v>3056</v>
      </c>
      <c r="C174" s="3231"/>
      <c r="D174" s="3231"/>
      <c r="E174" s="3231"/>
      <c r="F174" s="3231">
        <v>2030</v>
      </c>
      <c r="G174" s="3231"/>
    </row>
    <row r="175" spans="1:7" s="3220" customFormat="1" ht="14.25" customHeight="1">
      <c r="A175" s="3231" t="s">
        <v>29</v>
      </c>
      <c r="B175" s="3231" t="s">
        <v>3058</v>
      </c>
      <c r="C175" s="3231"/>
      <c r="D175" s="3231"/>
      <c r="E175" s="3231"/>
      <c r="F175" s="3231">
        <v>2780</v>
      </c>
      <c r="G175" s="3231"/>
    </row>
    <row r="176" spans="1:7" s="3220" customFormat="1" ht="14.25" customHeight="1">
      <c r="A176" s="3231" t="s">
        <v>29</v>
      </c>
      <c r="B176" s="3231" t="s">
        <v>3060</v>
      </c>
      <c r="C176" s="3231"/>
      <c r="D176" s="3231"/>
      <c r="E176" s="3231"/>
      <c r="F176" s="3231">
        <v>2780</v>
      </c>
      <c r="G176" s="3231"/>
    </row>
    <row r="177" spans="1:7" s="3220" customFormat="1" ht="14.25" customHeight="1">
      <c r="A177" s="3231" t="s">
        <v>29</v>
      </c>
      <c r="B177" s="3231" t="s">
        <v>3092</v>
      </c>
      <c r="C177" s="3231"/>
      <c r="D177" s="3231"/>
      <c r="E177" s="3231"/>
      <c r="F177" s="3231">
        <v>2780</v>
      </c>
      <c r="G177" s="3231"/>
    </row>
    <row r="178" spans="1:7" s="3220" customFormat="1" ht="14.25" customHeight="1">
      <c r="A178" s="3231" t="s">
        <v>29</v>
      </c>
      <c r="B178" s="3231" t="s">
        <v>3093</v>
      </c>
      <c r="C178" s="3231"/>
      <c r="D178" s="3231"/>
      <c r="E178" s="3231"/>
      <c r="F178" s="3231">
        <v>2060</v>
      </c>
      <c r="G178" s="3231"/>
    </row>
    <row r="179" spans="1:7" s="3220" customFormat="1" ht="14.25" customHeight="1">
      <c r="A179" s="3231" t="s">
        <v>29</v>
      </c>
      <c r="B179" s="3231" t="s">
        <v>3094</v>
      </c>
      <c r="C179" s="3231"/>
      <c r="D179" s="3231"/>
      <c r="E179" s="3231"/>
      <c r="F179" s="3231">
        <v>2120</v>
      </c>
      <c r="G179" s="3231"/>
    </row>
    <row r="180" spans="1:7" s="3220" customFormat="1" ht="14.25" customHeight="1">
      <c r="A180" s="3231" t="s">
        <v>29</v>
      </c>
      <c r="B180" s="3231" t="s">
        <v>3066</v>
      </c>
      <c r="C180" s="3231"/>
      <c r="D180" s="3231"/>
      <c r="E180" s="3231"/>
      <c r="F180" s="3231">
        <v>2340</v>
      </c>
      <c r="G180" s="3231"/>
    </row>
    <row r="181" spans="1:7" s="3220" customFormat="1" ht="14.25" customHeight="1">
      <c r="A181" s="3231" t="s">
        <v>29</v>
      </c>
      <c r="B181" s="3231" t="s">
        <v>3067</v>
      </c>
      <c r="C181" s="3231"/>
      <c r="D181" s="3231"/>
      <c r="E181" s="3231"/>
      <c r="F181" s="3231">
        <v>2340</v>
      </c>
      <c r="G181" s="3231"/>
    </row>
    <row r="182" spans="1:7" s="3220" customFormat="1" ht="14.25" customHeight="1">
      <c r="A182" s="3231" t="s">
        <v>29</v>
      </c>
      <c r="B182" s="3231" t="s">
        <v>3068</v>
      </c>
      <c r="C182" s="3231"/>
      <c r="D182" s="3231"/>
      <c r="E182" s="3231"/>
      <c r="F182" s="3231">
        <v>2340</v>
      </c>
      <c r="G182" s="3231"/>
    </row>
    <row r="183" spans="1:7" s="3220" customFormat="1" ht="14.25" customHeight="1">
      <c r="A183" s="3231" t="s">
        <v>29</v>
      </c>
      <c r="B183" s="3231" t="s">
        <v>3069</v>
      </c>
      <c r="C183" s="3231"/>
      <c r="D183" s="3231"/>
      <c r="E183" s="3231"/>
      <c r="F183" s="3231">
        <v>2340</v>
      </c>
      <c r="G183" s="3231"/>
    </row>
    <row r="184" spans="1:7" s="3220" customFormat="1" ht="14.25" customHeight="1">
      <c r="A184" s="3231" t="s">
        <v>29</v>
      </c>
      <c r="B184" s="3231" t="s">
        <v>3070</v>
      </c>
      <c r="C184" s="3231"/>
      <c r="D184" s="3231"/>
      <c r="E184" s="3231"/>
      <c r="F184" s="3231">
        <v>2340</v>
      </c>
      <c r="G184" s="3231"/>
    </row>
    <row r="185" spans="1:7" s="3220" customFormat="1" ht="14.25" customHeight="1">
      <c r="A185" s="3231" t="s">
        <v>29</v>
      </c>
      <c r="B185" s="3231" t="s">
        <v>3071</v>
      </c>
      <c r="C185" s="3231"/>
      <c r="D185" s="3231"/>
      <c r="E185" s="3231"/>
      <c r="F185" s="3231">
        <v>2530</v>
      </c>
      <c r="G185" s="3231"/>
    </row>
    <row r="186" spans="1:7" s="3220" customFormat="1" ht="14.25" customHeight="1">
      <c r="A186" s="3231" t="s">
        <v>29</v>
      </c>
      <c r="B186" s="3231" t="s">
        <v>3072</v>
      </c>
      <c r="C186" s="3231"/>
      <c r="D186" s="3231"/>
      <c r="E186" s="3231"/>
      <c r="F186" s="3231">
        <v>2550</v>
      </c>
      <c r="G186" s="3231"/>
    </row>
    <row r="187" spans="1:7" s="3220" customFormat="1" ht="14.25" customHeight="1">
      <c r="A187" s="3231" t="s">
        <v>29</v>
      </c>
      <c r="B187" s="3231" t="s">
        <v>3073</v>
      </c>
      <c r="C187" s="3231"/>
      <c r="D187" s="3231"/>
      <c r="E187" s="3231"/>
      <c r="F187" s="3231">
        <v>2070</v>
      </c>
      <c r="G187" s="3231"/>
    </row>
    <row r="188" spans="1:7" s="3220" customFormat="1" ht="14.25" customHeight="1">
      <c r="A188" s="3231" t="s">
        <v>29</v>
      </c>
      <c r="B188" s="3231" t="s">
        <v>3074</v>
      </c>
      <c r="C188" s="3231"/>
      <c r="D188" s="3231"/>
      <c r="E188" s="3231"/>
      <c r="F188" s="3231">
        <v>2340</v>
      </c>
      <c r="G188" s="3231"/>
    </row>
    <row r="189" spans="1:7" s="3220" customFormat="1" ht="14.25" customHeight="1" thickBot="1">
      <c r="A189" s="3239" t="s">
        <v>29</v>
      </c>
      <c r="B189" s="3242" t="s">
        <v>3075</v>
      </c>
      <c r="C189" s="3242"/>
      <c r="D189" s="3242"/>
      <c r="E189" s="3242"/>
      <c r="F189" s="3242">
        <v>2050</v>
      </c>
      <c r="G189" s="3242"/>
    </row>
    <row r="190" spans="1:7" s="3220" customFormat="1" ht="14.25" customHeight="1">
      <c r="A190" s="3236" t="s">
        <v>304</v>
      </c>
      <c r="B190" s="3227" t="s">
        <v>3095</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3096</v>
      </c>
      <c r="C199" s="3231">
        <v>8690</v>
      </c>
      <c r="D199" s="3231">
        <v>8630</v>
      </c>
      <c r="E199" s="3231">
        <v>11350</v>
      </c>
      <c r="F199" s="3231">
        <v>1600</v>
      </c>
      <c r="G199" s="3244">
        <v>5450</v>
      </c>
    </row>
    <row r="200" spans="1:7" s="3220" customFormat="1" ht="14.25" customHeight="1">
      <c r="A200" s="3231" t="s">
        <v>304</v>
      </c>
      <c r="B200" s="3231" t="s">
        <v>2907</v>
      </c>
      <c r="C200" s="3231"/>
      <c r="D200" s="3231"/>
      <c r="E200" s="3231"/>
      <c r="F200" s="3231">
        <v>1510</v>
      </c>
      <c r="G200" s="3244"/>
    </row>
    <row r="201" spans="1:7" s="3220" customFormat="1" ht="14.25" customHeight="1">
      <c r="A201" s="3231" t="s">
        <v>304</v>
      </c>
      <c r="B201" s="3231" t="s">
        <v>3097</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3098</v>
      </c>
      <c r="C203" s="3231">
        <v>8130</v>
      </c>
      <c r="D203" s="3231">
        <v>8070</v>
      </c>
      <c r="E203" s="3231">
        <v>10820</v>
      </c>
      <c r="F203" s="3231">
        <v>1690</v>
      </c>
      <c r="G203" s="3244">
        <v>5100</v>
      </c>
    </row>
    <row r="204" spans="1:7" s="3220" customFormat="1" ht="14.25" customHeight="1">
      <c r="A204" s="3231" t="s">
        <v>304</v>
      </c>
      <c r="B204" s="3231" t="s">
        <v>2918</v>
      </c>
      <c r="C204" s="3231">
        <v>8350</v>
      </c>
      <c r="D204" s="3231">
        <v>8290</v>
      </c>
      <c r="E204" s="3231">
        <v>11080</v>
      </c>
      <c r="F204" s="3231">
        <v>1450</v>
      </c>
      <c r="G204" s="3244">
        <v>5240</v>
      </c>
    </row>
    <row r="205" spans="1:7" s="3220" customFormat="1" ht="14.25" customHeight="1">
      <c r="A205" s="3231" t="s">
        <v>304</v>
      </c>
      <c r="B205" s="3231" t="s">
        <v>2920</v>
      </c>
      <c r="C205" s="3231">
        <v>7190</v>
      </c>
      <c r="D205" s="3231">
        <v>7130</v>
      </c>
      <c r="E205" s="3231">
        <v>9490</v>
      </c>
      <c r="F205" s="3231">
        <v>1470</v>
      </c>
      <c r="G205" s="3244">
        <v>4510</v>
      </c>
    </row>
    <row r="206" spans="1:7" s="3220" customFormat="1" ht="14.25" customHeight="1">
      <c r="A206" s="3231" t="s">
        <v>304</v>
      </c>
      <c r="B206" s="3231" t="s">
        <v>2923</v>
      </c>
      <c r="C206" s="3231">
        <v>7000</v>
      </c>
      <c r="D206" s="3231">
        <v>6950</v>
      </c>
      <c r="E206" s="3231">
        <v>9170</v>
      </c>
      <c r="F206" s="3231">
        <v>1400</v>
      </c>
      <c r="G206" s="3244">
        <v>4380</v>
      </c>
    </row>
    <row r="207" spans="1:7" s="3220" customFormat="1" ht="14.25" customHeight="1">
      <c r="A207" s="3231" t="s">
        <v>304</v>
      </c>
      <c r="B207" s="3231" t="s">
        <v>2925</v>
      </c>
      <c r="C207" s="3231">
        <v>6950</v>
      </c>
      <c r="D207" s="3231">
        <v>6900</v>
      </c>
      <c r="E207" s="3231">
        <v>9110</v>
      </c>
      <c r="F207" s="3231">
        <v>1790</v>
      </c>
      <c r="G207" s="3244">
        <v>4360</v>
      </c>
    </row>
    <row r="208" spans="1:7" s="3220" customFormat="1" ht="14.25" customHeight="1">
      <c r="A208" s="3231" t="s">
        <v>304</v>
      </c>
      <c r="B208" s="3231" t="s">
        <v>3099</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2935</v>
      </c>
      <c r="C210" s="3231">
        <v>8710</v>
      </c>
      <c r="D210" s="3231">
        <v>8660</v>
      </c>
      <c r="E210" s="3231">
        <v>11440</v>
      </c>
      <c r="F210" s="3231">
        <v>1740</v>
      </c>
      <c r="G210" s="3244">
        <v>5470</v>
      </c>
    </row>
    <row r="211" spans="1:7" s="3220" customFormat="1" ht="14.25" customHeight="1">
      <c r="A211" s="3231" t="s">
        <v>304</v>
      </c>
      <c r="B211" s="3231" t="s">
        <v>3100</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3101</v>
      </c>
      <c r="C214" s="3231">
        <v>8090</v>
      </c>
      <c r="D214" s="3231">
        <v>8030</v>
      </c>
      <c r="E214" s="3231">
        <v>10780</v>
      </c>
      <c r="F214" s="3231">
        <v>1570</v>
      </c>
      <c r="G214" s="3244">
        <v>5070</v>
      </c>
    </row>
    <row r="215" spans="1:7" s="3220" customFormat="1" ht="14.25" customHeight="1">
      <c r="A215" s="3231" t="s">
        <v>304</v>
      </c>
      <c r="B215" s="3231" t="s">
        <v>3102</v>
      </c>
      <c r="C215" s="3231">
        <v>7950</v>
      </c>
      <c r="D215" s="3231">
        <v>7900</v>
      </c>
      <c r="E215" s="3231">
        <v>10560</v>
      </c>
      <c r="F215" s="3231">
        <v>1630</v>
      </c>
      <c r="G215" s="3244">
        <v>4990</v>
      </c>
    </row>
    <row r="216" spans="1:7" s="3220" customFormat="1" ht="14.25" customHeight="1">
      <c r="A216" s="3231" t="s">
        <v>304</v>
      </c>
      <c r="B216" s="3231" t="s">
        <v>3103</v>
      </c>
      <c r="C216" s="3231">
        <v>8490</v>
      </c>
      <c r="D216" s="3231">
        <v>8440</v>
      </c>
      <c r="E216" s="3231">
        <v>11260</v>
      </c>
      <c r="F216" s="3231">
        <v>1690</v>
      </c>
      <c r="G216" s="3244">
        <v>5330</v>
      </c>
    </row>
    <row r="217" spans="1:7" s="3220" customFormat="1" ht="14.25" customHeight="1">
      <c r="A217" s="3231" t="s">
        <v>304</v>
      </c>
      <c r="B217" s="3231" t="s">
        <v>2968</v>
      </c>
      <c r="C217" s="3231">
        <v>8200</v>
      </c>
      <c r="D217" s="3231">
        <v>8150</v>
      </c>
      <c r="E217" s="3231">
        <v>10910</v>
      </c>
      <c r="F217" s="3231">
        <v>1670</v>
      </c>
      <c r="G217" s="3244">
        <v>5150</v>
      </c>
    </row>
    <row r="218" spans="1:7" s="3220" customFormat="1" ht="14.25" customHeight="1">
      <c r="A218" s="3231" t="s">
        <v>304</v>
      </c>
      <c r="B218" s="3231" t="s">
        <v>3104</v>
      </c>
      <c r="C218" s="3231"/>
      <c r="D218" s="3231"/>
      <c r="E218" s="3231"/>
      <c r="F218" s="3231">
        <v>2040</v>
      </c>
      <c r="G218" s="3244"/>
    </row>
    <row r="219" spans="1:7" s="3220" customFormat="1" ht="14.25" customHeight="1">
      <c r="A219" s="3231" t="s">
        <v>304</v>
      </c>
      <c r="B219" s="3231" t="s">
        <v>3105</v>
      </c>
      <c r="C219" s="3231"/>
      <c r="D219" s="3231"/>
      <c r="E219" s="3231"/>
      <c r="F219" s="3231">
        <v>2040</v>
      </c>
      <c r="G219" s="3244"/>
    </row>
    <row r="220" spans="1:7" s="3220" customFormat="1" ht="14.25" customHeight="1">
      <c r="A220" s="3231" t="s">
        <v>304</v>
      </c>
      <c r="B220" s="3231" t="s">
        <v>3106</v>
      </c>
      <c r="C220" s="3231"/>
      <c r="D220" s="3231"/>
      <c r="E220" s="3231"/>
      <c r="F220" s="3231">
        <v>2040</v>
      </c>
      <c r="G220" s="3244"/>
    </row>
    <row r="221" spans="1:7" s="3220" customFormat="1" ht="14.25" customHeight="1">
      <c r="A221" s="3231" t="s">
        <v>304</v>
      </c>
      <c r="B221" s="3231" t="s">
        <v>3107</v>
      </c>
      <c r="C221" s="3231"/>
      <c r="D221" s="3231"/>
      <c r="E221" s="3231"/>
      <c r="F221" s="3231">
        <v>2040</v>
      </c>
      <c r="G221" s="3244"/>
    </row>
    <row r="222" spans="1:7" s="3220" customFormat="1" ht="14.25" customHeight="1">
      <c r="A222" s="3231" t="s">
        <v>304</v>
      </c>
      <c r="B222" s="3231" t="s">
        <v>3108</v>
      </c>
      <c r="C222" s="3231"/>
      <c r="D222" s="3231"/>
      <c r="E222" s="3231"/>
      <c r="F222" s="3231">
        <v>2040</v>
      </c>
      <c r="G222" s="3244"/>
    </row>
    <row r="223" spans="1:7" s="3220" customFormat="1" ht="14.25" customHeight="1">
      <c r="A223" s="3231" t="s">
        <v>304</v>
      </c>
      <c r="B223" s="3231" t="s">
        <v>3109</v>
      </c>
      <c r="C223" s="3231"/>
      <c r="D223" s="3231"/>
      <c r="E223" s="3231"/>
      <c r="F223" s="3231">
        <v>1930</v>
      </c>
      <c r="G223" s="3244"/>
    </row>
    <row r="224" spans="1:7" s="3220" customFormat="1" ht="14.25" customHeight="1">
      <c r="A224" s="3231" t="s">
        <v>304</v>
      </c>
      <c r="B224" s="3231" t="s">
        <v>3110</v>
      </c>
      <c r="C224" s="3231"/>
      <c r="D224" s="3231"/>
      <c r="E224" s="3231"/>
      <c r="F224" s="3231">
        <v>1930</v>
      </c>
      <c r="G224" s="3244"/>
    </row>
    <row r="225" spans="1:7" s="3220" customFormat="1" ht="14.25" customHeight="1">
      <c r="A225" s="3231" t="s">
        <v>304</v>
      </c>
      <c r="B225" s="3231" t="s">
        <v>3111</v>
      </c>
      <c r="C225" s="3231"/>
      <c r="D225" s="3231"/>
      <c r="E225" s="3231"/>
      <c r="F225" s="3231">
        <v>1930</v>
      </c>
      <c r="G225" s="3244"/>
    </row>
    <row r="226" spans="1:7" s="3220" customFormat="1" ht="14.25" customHeight="1">
      <c r="A226" s="3231" t="s">
        <v>304</v>
      </c>
      <c r="B226" s="3231" t="s">
        <v>3112</v>
      </c>
      <c r="C226" s="3231"/>
      <c r="D226" s="3231"/>
      <c r="E226" s="3231"/>
      <c r="F226" s="3231">
        <v>1700</v>
      </c>
      <c r="G226" s="3244"/>
    </row>
    <row r="227" spans="1:7" s="3220" customFormat="1" ht="14.25" customHeight="1">
      <c r="A227" s="3231" t="s">
        <v>304</v>
      </c>
      <c r="B227" s="3231" t="s">
        <v>3113</v>
      </c>
      <c r="C227" s="3231"/>
      <c r="D227" s="3231"/>
      <c r="E227" s="3231"/>
      <c r="F227" s="3231">
        <v>1520</v>
      </c>
      <c r="G227" s="3244"/>
    </row>
    <row r="228" spans="1:7" s="3220" customFormat="1" ht="14.25" customHeight="1">
      <c r="A228" s="3231" t="s">
        <v>304</v>
      </c>
      <c r="B228" s="3231" t="s">
        <v>3114</v>
      </c>
      <c r="C228" s="3231"/>
      <c r="D228" s="3231"/>
      <c r="E228" s="3231"/>
      <c r="F228" s="3231">
        <v>1520</v>
      </c>
      <c r="G228" s="3244"/>
    </row>
    <row r="229" spans="1:7" s="3220" customFormat="1" ht="14.25" customHeight="1">
      <c r="A229" s="3231" t="s">
        <v>304</v>
      </c>
      <c r="B229" s="3231" t="s">
        <v>3031</v>
      </c>
      <c r="C229" s="3231"/>
      <c r="D229" s="3231"/>
      <c r="E229" s="3231"/>
      <c r="F229" s="3231">
        <v>1520</v>
      </c>
      <c r="G229" s="3244"/>
    </row>
    <row r="230" spans="1:7" s="3220" customFormat="1" ht="14.25" customHeight="1">
      <c r="A230" s="3231" t="s">
        <v>304</v>
      </c>
      <c r="B230" s="3231" t="s">
        <v>3115</v>
      </c>
      <c r="C230" s="3231"/>
      <c r="D230" s="3231"/>
      <c r="E230" s="3231"/>
      <c r="F230" s="3231">
        <v>1820</v>
      </c>
      <c r="G230" s="3244"/>
    </row>
    <row r="231" spans="1:7" s="3220" customFormat="1" ht="14.25" customHeight="1">
      <c r="A231" s="3231" t="s">
        <v>304</v>
      </c>
      <c r="B231" s="3231" t="s">
        <v>3116</v>
      </c>
      <c r="C231" s="3231"/>
      <c r="D231" s="3231"/>
      <c r="E231" s="3231"/>
      <c r="F231" s="3231">
        <v>1760</v>
      </c>
      <c r="G231" s="3244"/>
    </row>
    <row r="232" spans="1:7" s="3220" customFormat="1" ht="14.25" customHeight="1">
      <c r="A232" s="3231" t="s">
        <v>304</v>
      </c>
      <c r="B232" s="3231" t="s">
        <v>3117</v>
      </c>
      <c r="C232" s="3231"/>
      <c r="D232" s="3231"/>
      <c r="E232" s="3231"/>
      <c r="F232" s="3231">
        <v>1840</v>
      </c>
      <c r="G232" s="3244"/>
    </row>
    <row r="233" spans="1:7" s="3220" customFormat="1" ht="14.25" customHeight="1" thickBot="1">
      <c r="A233" s="3245" t="s">
        <v>304</v>
      </c>
      <c r="B233" s="3238" t="s">
        <v>3048</v>
      </c>
      <c r="C233" s="3238"/>
      <c r="D233" s="3238"/>
      <c r="E233" s="3238"/>
      <c r="F233" s="3238">
        <v>1770</v>
      </c>
      <c r="G233" s="3246"/>
    </row>
    <row r="234" spans="1:7" s="3220" customFormat="1" ht="14.25" customHeight="1">
      <c r="A234" s="3236" t="s">
        <v>305</v>
      </c>
      <c r="B234" s="3227" t="s">
        <v>3118</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2889</v>
      </c>
      <c r="C238" s="3231">
        <v>6920</v>
      </c>
      <c r="D238" s="3231">
        <v>6890</v>
      </c>
      <c r="E238" s="3231">
        <v>8640</v>
      </c>
      <c r="F238" s="3231">
        <v>1310</v>
      </c>
      <c r="G238" s="3231">
        <v>4230</v>
      </c>
    </row>
    <row r="239" spans="1:7" s="3220" customFormat="1" ht="14.25" customHeight="1">
      <c r="A239" s="3231" t="s">
        <v>305</v>
      </c>
      <c r="B239" s="3231" t="s">
        <v>3119</v>
      </c>
      <c r="C239" s="3231">
        <v>6780</v>
      </c>
      <c r="D239" s="3231">
        <v>6750</v>
      </c>
      <c r="E239" s="3231">
        <v>8440</v>
      </c>
      <c r="F239" s="3231">
        <v>1160</v>
      </c>
      <c r="G239" s="3231">
        <v>4140</v>
      </c>
    </row>
    <row r="240" spans="1:7" s="3220" customFormat="1" ht="14.25" customHeight="1">
      <c r="A240" s="3231" t="s">
        <v>305</v>
      </c>
      <c r="B240" s="3231" t="s">
        <v>3120</v>
      </c>
      <c r="C240" s="3231">
        <v>5420</v>
      </c>
      <c r="D240" s="3231">
        <v>5380</v>
      </c>
      <c r="E240" s="3231">
        <v>6640</v>
      </c>
      <c r="F240" s="3231">
        <v>1020</v>
      </c>
      <c r="G240" s="3231">
        <v>3300</v>
      </c>
    </row>
    <row r="241" spans="1:7" s="3220" customFormat="1" ht="14.25" customHeight="1">
      <c r="A241" s="3231" t="s">
        <v>305</v>
      </c>
      <c r="B241" s="3231" t="s">
        <v>3121</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3122</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3123</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3124</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3125</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3126</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2951</v>
      </c>
      <c r="C258" s="3231">
        <v>6190</v>
      </c>
      <c r="D258" s="3231">
        <v>6160</v>
      </c>
      <c r="E258" s="3231">
        <v>7680</v>
      </c>
      <c r="F258" s="3231">
        <v>1170</v>
      </c>
      <c r="G258" s="3231">
        <v>3780</v>
      </c>
    </row>
    <row r="259" spans="1:7" s="3220" customFormat="1" ht="14.25" customHeight="1">
      <c r="A259" s="3231" t="s">
        <v>305</v>
      </c>
      <c r="B259" s="3231" t="s">
        <v>3127</v>
      </c>
      <c r="C259" s="3231">
        <v>7610</v>
      </c>
      <c r="D259" s="3231">
        <v>7570</v>
      </c>
      <c r="E259" s="3231">
        <v>9350</v>
      </c>
      <c r="F259" s="3231">
        <v>1350</v>
      </c>
      <c r="G259" s="3231">
        <v>4650</v>
      </c>
    </row>
    <row r="260" spans="1:7" s="3220" customFormat="1" ht="14.25" customHeight="1">
      <c r="A260" s="3231" t="s">
        <v>305</v>
      </c>
      <c r="B260" s="3231" t="s">
        <v>3128</v>
      </c>
      <c r="C260" s="3231">
        <v>6920</v>
      </c>
      <c r="D260" s="3231">
        <v>6880</v>
      </c>
      <c r="E260" s="3231">
        <v>8380</v>
      </c>
      <c r="F260" s="3231">
        <v>1160</v>
      </c>
      <c r="G260" s="3231">
        <v>4220</v>
      </c>
    </row>
    <row r="261" spans="1:7" s="3220" customFormat="1" ht="14.25" customHeight="1">
      <c r="A261" s="3231" t="s">
        <v>305</v>
      </c>
      <c r="B261" s="3231" t="s">
        <v>3129</v>
      </c>
      <c r="C261" s="3231">
        <v>6850</v>
      </c>
      <c r="D261" s="3231">
        <v>6810</v>
      </c>
      <c r="E261" s="3231">
        <v>8290</v>
      </c>
      <c r="F261" s="3231">
        <v>1130</v>
      </c>
      <c r="G261" s="3231">
        <v>4180</v>
      </c>
    </row>
    <row r="262" spans="1:7" s="3220" customFormat="1" ht="14.25" customHeight="1">
      <c r="A262" s="3231" t="s">
        <v>305</v>
      </c>
      <c r="B262" s="3231" t="s">
        <v>3130</v>
      </c>
      <c r="C262" s="3231">
        <v>5860</v>
      </c>
      <c r="D262" s="3231">
        <v>5820</v>
      </c>
      <c r="E262" s="3231">
        <v>7640</v>
      </c>
      <c r="F262" s="3231">
        <v>1070</v>
      </c>
      <c r="G262" s="3231">
        <v>3570</v>
      </c>
    </row>
    <row r="263" spans="1:7" s="3220" customFormat="1" ht="14.25" customHeight="1">
      <c r="A263" s="3231" t="s">
        <v>305</v>
      </c>
      <c r="B263" s="3231" t="s">
        <v>3131</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3132</v>
      </c>
      <c r="C265" s="3231"/>
      <c r="D265" s="3231"/>
      <c r="E265" s="3231"/>
      <c r="F265" s="3231">
        <v>1500</v>
      </c>
      <c r="G265" s="3231"/>
    </row>
    <row r="266" spans="1:7" s="3220" customFormat="1" ht="14.25" customHeight="1">
      <c r="A266" s="3231" t="s">
        <v>305</v>
      </c>
      <c r="B266" s="3231" t="s">
        <v>3133</v>
      </c>
      <c r="C266" s="3231"/>
      <c r="D266" s="3231"/>
      <c r="E266" s="3231"/>
      <c r="F266" s="3231">
        <v>1500</v>
      </c>
      <c r="G266" s="3231"/>
    </row>
    <row r="267" spans="1:7" s="3220" customFormat="1" ht="14.25" customHeight="1">
      <c r="A267" s="3231" t="s">
        <v>305</v>
      </c>
      <c r="B267" s="3231" t="s">
        <v>3134</v>
      </c>
      <c r="C267" s="3231"/>
      <c r="D267" s="3231"/>
      <c r="E267" s="3231"/>
      <c r="F267" s="3231">
        <v>1500</v>
      </c>
      <c r="G267" s="3231"/>
    </row>
    <row r="268" spans="1:7" s="3220" customFormat="1" ht="14.25" customHeight="1">
      <c r="A268" s="3231" t="s">
        <v>305</v>
      </c>
      <c r="B268" s="3231" t="s">
        <v>3135</v>
      </c>
      <c r="C268" s="3231"/>
      <c r="D268" s="3231"/>
      <c r="E268" s="3231"/>
      <c r="F268" s="3231">
        <v>1290</v>
      </c>
      <c r="G268" s="3231"/>
    </row>
    <row r="269" spans="1:7" s="3220" customFormat="1" ht="14.25" customHeight="1">
      <c r="A269" s="3231" t="s">
        <v>305</v>
      </c>
      <c r="B269" s="3231" t="s">
        <v>3136</v>
      </c>
      <c r="C269" s="3231"/>
      <c r="D269" s="3231"/>
      <c r="E269" s="3231"/>
      <c r="F269" s="3231">
        <v>1150</v>
      </c>
      <c r="G269" s="3231"/>
    </row>
    <row r="270" spans="1:7" s="3220" customFormat="1" ht="14.25" customHeight="1">
      <c r="A270" s="3231" t="s">
        <v>305</v>
      </c>
      <c r="B270" s="3231" t="s">
        <v>3137</v>
      </c>
      <c r="C270" s="3231"/>
      <c r="D270" s="3231"/>
      <c r="E270" s="3231"/>
      <c r="F270" s="3231">
        <v>1380</v>
      </c>
      <c r="G270" s="3231"/>
    </row>
    <row r="271" spans="1:7" s="3220" customFormat="1" ht="14.25" customHeight="1">
      <c r="A271" s="3231" t="s">
        <v>305</v>
      </c>
      <c r="B271" s="3231" t="s">
        <v>3138</v>
      </c>
      <c r="C271" s="3231"/>
      <c r="D271" s="3231"/>
      <c r="E271" s="3231"/>
      <c r="F271" s="3231">
        <v>1460</v>
      </c>
      <c r="G271" s="3231"/>
    </row>
    <row r="272" spans="1:7" s="3220" customFormat="1" ht="14.25" customHeight="1">
      <c r="A272" s="3231" t="s">
        <v>305</v>
      </c>
      <c r="B272" s="3231" t="s">
        <v>3139</v>
      </c>
      <c r="C272" s="3231"/>
      <c r="D272" s="3231"/>
      <c r="E272" s="3231"/>
      <c r="F272" s="3231">
        <v>1460</v>
      </c>
      <c r="G272" s="3231"/>
    </row>
    <row r="273" spans="1:7" s="3220" customFormat="1" ht="14.25" customHeight="1">
      <c r="A273" s="3231" t="s">
        <v>305</v>
      </c>
      <c r="B273" s="3231" t="s">
        <v>3032</v>
      </c>
      <c r="C273" s="3231"/>
      <c r="D273" s="3231"/>
      <c r="E273" s="3231"/>
      <c r="F273" s="3231">
        <v>1490</v>
      </c>
      <c r="G273" s="3231"/>
    </row>
    <row r="274" spans="1:7" s="3220" customFormat="1" ht="14.25" customHeight="1">
      <c r="A274" s="3231" t="s">
        <v>305</v>
      </c>
      <c r="B274" s="3231" t="s">
        <v>3140</v>
      </c>
      <c r="C274" s="3231"/>
      <c r="D274" s="3231"/>
      <c r="E274" s="3231"/>
      <c r="F274" s="3231">
        <v>1490</v>
      </c>
      <c r="G274" s="3231"/>
    </row>
    <row r="275" spans="1:7" s="3220" customFormat="1" ht="14.25" customHeight="1">
      <c r="A275" s="3231" t="s">
        <v>305</v>
      </c>
      <c r="B275" s="3231" t="s">
        <v>3141</v>
      </c>
      <c r="C275" s="3231"/>
      <c r="D275" s="3231"/>
      <c r="E275" s="3231"/>
      <c r="F275" s="3231">
        <v>1220</v>
      </c>
      <c r="G275" s="3231"/>
    </row>
    <row r="276" spans="1:7" s="3220" customFormat="1" ht="14.25" customHeight="1" thickBot="1">
      <c r="A276" s="3239" t="s">
        <v>305</v>
      </c>
      <c r="B276" s="3241" t="s">
        <v>3142</v>
      </c>
      <c r="C276" s="3242"/>
      <c r="D276" s="3242"/>
      <c r="E276" s="3242"/>
      <c r="F276" s="3242">
        <v>1380</v>
      </c>
      <c r="G276" s="3242"/>
    </row>
    <row r="277" spans="1:7" s="3220" customFormat="1" ht="14.25" customHeight="1">
      <c r="A277" s="3236" t="s">
        <v>306</v>
      </c>
      <c r="B277" s="3227" t="s">
        <v>3143</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3144</v>
      </c>
      <c r="C279" s="3231">
        <v>4760</v>
      </c>
      <c r="D279" s="3231">
        <v>4720</v>
      </c>
      <c r="E279" s="3231">
        <v>5540</v>
      </c>
      <c r="F279" s="3231">
        <v>810</v>
      </c>
      <c r="G279" s="3244">
        <v>2850</v>
      </c>
    </row>
    <row r="280" spans="1:7" s="3220" customFormat="1" ht="14.25" customHeight="1">
      <c r="A280" s="3231" t="s">
        <v>306</v>
      </c>
      <c r="B280" s="3231" t="s">
        <v>3145</v>
      </c>
      <c r="C280" s="3231">
        <v>4010</v>
      </c>
      <c r="D280" s="3231">
        <v>3950</v>
      </c>
      <c r="E280" s="3231">
        <v>4710</v>
      </c>
      <c r="F280" s="3231">
        <v>800</v>
      </c>
      <c r="G280" s="3244">
        <v>2390</v>
      </c>
    </row>
    <row r="281" spans="1:7" s="3220" customFormat="1" ht="14.25" customHeight="1">
      <c r="A281" s="3231" t="s">
        <v>306</v>
      </c>
      <c r="B281" s="3231" t="s">
        <v>3146</v>
      </c>
      <c r="C281" s="3231">
        <v>4480</v>
      </c>
      <c r="D281" s="3231">
        <v>4420</v>
      </c>
      <c r="E281" s="3231">
        <v>5230</v>
      </c>
      <c r="F281" s="3231">
        <v>870</v>
      </c>
      <c r="G281" s="3244">
        <v>2660</v>
      </c>
    </row>
    <row r="282" spans="1:7" s="3220" customFormat="1" ht="14.25" customHeight="1">
      <c r="A282" s="3231" t="s">
        <v>306</v>
      </c>
      <c r="B282" s="3231" t="s">
        <v>3147</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3148</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3149</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2924</v>
      </c>
      <c r="C293" s="3231">
        <v>5320</v>
      </c>
      <c r="D293" s="3231">
        <v>5270</v>
      </c>
      <c r="E293" s="3231">
        <v>6160</v>
      </c>
      <c r="F293" s="3231">
        <v>990</v>
      </c>
      <c r="G293" s="3244">
        <v>3170</v>
      </c>
    </row>
    <row r="294" spans="1:7" s="3220" customFormat="1" ht="14.25" customHeight="1">
      <c r="A294" s="3231" t="s">
        <v>306</v>
      </c>
      <c r="B294" s="3231" t="s">
        <v>3150</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2943</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3151</v>
      </c>
      <c r="C302" s="3231">
        <v>5520</v>
      </c>
      <c r="D302" s="3231">
        <v>5470</v>
      </c>
      <c r="E302" s="3231">
        <v>6410</v>
      </c>
      <c r="F302" s="3231">
        <v>950</v>
      </c>
      <c r="G302" s="3244">
        <v>3300</v>
      </c>
    </row>
    <row r="303" spans="1:7" s="3220" customFormat="1" ht="14.25" customHeight="1">
      <c r="A303" s="3231" t="s">
        <v>306</v>
      </c>
      <c r="B303" s="3231" t="s">
        <v>2963</v>
      </c>
      <c r="C303" s="3231">
        <v>5630</v>
      </c>
      <c r="D303" s="3231">
        <v>5590</v>
      </c>
      <c r="E303" s="3231">
        <v>6550</v>
      </c>
      <c r="F303" s="3231">
        <v>1010</v>
      </c>
      <c r="G303" s="3244">
        <v>3370</v>
      </c>
    </row>
    <row r="304" spans="1:7" s="3220" customFormat="1" ht="14.25" customHeight="1">
      <c r="A304" s="3231" t="s">
        <v>306</v>
      </c>
      <c r="B304" s="3231" t="s">
        <v>2970</v>
      </c>
      <c r="C304" s="3231">
        <v>5680</v>
      </c>
      <c r="D304" s="3231">
        <v>5620</v>
      </c>
      <c r="E304" s="3231">
        <v>6620</v>
      </c>
      <c r="F304" s="3231">
        <v>1050</v>
      </c>
      <c r="G304" s="3244">
        <v>3390</v>
      </c>
    </row>
    <row r="305" spans="1:7" s="3220" customFormat="1" ht="14.25" customHeight="1">
      <c r="A305" s="3231" t="s">
        <v>306</v>
      </c>
      <c r="B305" s="3231" t="s">
        <v>2976</v>
      </c>
      <c r="C305" s="3231">
        <v>5590</v>
      </c>
      <c r="D305" s="3231">
        <v>5530</v>
      </c>
      <c r="E305" s="3231">
        <v>6460</v>
      </c>
      <c r="F305" s="3231">
        <v>900</v>
      </c>
      <c r="G305" s="3244">
        <v>3340</v>
      </c>
    </row>
    <row r="306" spans="1:7" s="3220" customFormat="1" ht="14.25" customHeight="1">
      <c r="A306" s="3231" t="s">
        <v>306</v>
      </c>
      <c r="B306" s="3231" t="s">
        <v>3152</v>
      </c>
      <c r="C306" s="3231">
        <v>5560</v>
      </c>
      <c r="D306" s="3231">
        <v>5510</v>
      </c>
      <c r="E306" s="3231">
        <v>6440</v>
      </c>
      <c r="F306" s="3231">
        <v>900</v>
      </c>
      <c r="G306" s="3244">
        <v>3320</v>
      </c>
    </row>
    <row r="307" spans="1:7" s="3220" customFormat="1" ht="14.25" customHeight="1">
      <c r="A307" s="3231" t="s">
        <v>306</v>
      </c>
      <c r="B307" s="3231" t="s">
        <v>2988</v>
      </c>
      <c r="C307" s="3231">
        <v>5650</v>
      </c>
      <c r="D307" s="3231">
        <v>5600</v>
      </c>
      <c r="E307" s="3231">
        <v>6590</v>
      </c>
      <c r="F307" s="3231">
        <v>930</v>
      </c>
      <c r="G307" s="3244">
        <v>3380</v>
      </c>
    </row>
    <row r="308" spans="1:7" s="3220" customFormat="1" ht="14.25" customHeight="1">
      <c r="A308" s="3231" t="s">
        <v>306</v>
      </c>
      <c r="B308" s="3231" t="s">
        <v>3153</v>
      </c>
      <c r="C308" s="3231">
        <v>5620</v>
      </c>
      <c r="D308" s="3231">
        <v>5580</v>
      </c>
      <c r="E308" s="3231">
        <v>6540</v>
      </c>
      <c r="F308" s="3231">
        <v>910</v>
      </c>
      <c r="G308" s="3244">
        <v>3370</v>
      </c>
    </row>
    <row r="309" spans="1:7" s="3220" customFormat="1" ht="14.25" customHeight="1">
      <c r="A309" s="3231" t="s">
        <v>306</v>
      </c>
      <c r="B309" s="3231" t="s">
        <v>3154</v>
      </c>
      <c r="C309" s="3231">
        <v>5060</v>
      </c>
      <c r="D309" s="3231">
        <v>5020</v>
      </c>
      <c r="E309" s="3231">
        <v>6370</v>
      </c>
      <c r="F309" s="3231">
        <v>800</v>
      </c>
      <c r="G309" s="3244">
        <v>3020</v>
      </c>
    </row>
    <row r="310" spans="1:7" s="3220" customFormat="1" ht="14.25" customHeight="1">
      <c r="A310" s="3231" t="s">
        <v>306</v>
      </c>
      <c r="B310" s="3231" t="s">
        <v>3003</v>
      </c>
      <c r="C310" s="3231">
        <v>5150</v>
      </c>
      <c r="D310" s="3231">
        <v>5110</v>
      </c>
      <c r="E310" s="3231">
        <v>6500</v>
      </c>
      <c r="F310" s="3231">
        <v>880</v>
      </c>
      <c r="G310" s="3244">
        <v>3080</v>
      </c>
    </row>
    <row r="311" spans="1:7" s="3220" customFormat="1" ht="14.25" customHeight="1">
      <c r="A311" s="3231" t="s">
        <v>306</v>
      </c>
      <c r="B311" s="3231" t="s">
        <v>3155</v>
      </c>
      <c r="C311" s="3231">
        <v>4750</v>
      </c>
      <c r="D311" s="3231">
        <v>4710</v>
      </c>
      <c r="E311" s="3231">
        <v>5510</v>
      </c>
      <c r="F311" s="3231">
        <v>880</v>
      </c>
      <c r="G311" s="3244">
        <v>2840</v>
      </c>
    </row>
    <row r="312" spans="1:7" s="3220" customFormat="1" ht="14.25" customHeight="1">
      <c r="A312" s="3231" t="s">
        <v>306</v>
      </c>
      <c r="B312" s="3231" t="s">
        <v>3013</v>
      </c>
      <c r="C312" s="3231">
        <v>4690</v>
      </c>
      <c r="D312" s="3231">
        <v>4640</v>
      </c>
      <c r="E312" s="3231">
        <v>5420</v>
      </c>
      <c r="F312" s="3231">
        <v>800</v>
      </c>
      <c r="G312" s="3244">
        <v>2800</v>
      </c>
    </row>
    <row r="313" spans="1:7" s="3220" customFormat="1" ht="14.25" customHeight="1">
      <c r="A313" s="3231" t="s">
        <v>306</v>
      </c>
      <c r="B313" s="3231" t="s">
        <v>3018</v>
      </c>
      <c r="C313" s="3231">
        <v>4810</v>
      </c>
      <c r="D313" s="3231">
        <v>4760</v>
      </c>
      <c r="E313" s="3231">
        <v>5550</v>
      </c>
      <c r="F313" s="3231">
        <v>920</v>
      </c>
      <c r="G313" s="3244">
        <v>2870</v>
      </c>
    </row>
    <row r="314" spans="1:7" s="3220" customFormat="1" ht="14.25" customHeight="1">
      <c r="A314" s="3231" t="s">
        <v>306</v>
      </c>
      <c r="B314" s="3231" t="s">
        <v>3156</v>
      </c>
      <c r="C314" s="3231"/>
      <c r="D314" s="3231"/>
      <c r="E314" s="3231"/>
      <c r="F314" s="3231">
        <v>1020</v>
      </c>
      <c r="G314" s="3244"/>
    </row>
    <row r="315" spans="1:7" s="3220" customFormat="1" ht="14.25" customHeight="1">
      <c r="A315" s="3231" t="s">
        <v>306</v>
      </c>
      <c r="B315" s="3231" t="s">
        <v>3157</v>
      </c>
      <c r="C315" s="3231"/>
      <c r="D315" s="3231"/>
      <c r="E315" s="3231"/>
      <c r="F315" s="3231">
        <v>1050</v>
      </c>
      <c r="G315" s="3244"/>
    </row>
    <row r="316" spans="1:7" s="3220" customFormat="1" ht="14.25" customHeight="1">
      <c r="A316" s="3231" t="s">
        <v>306</v>
      </c>
      <c r="B316" s="3231" t="s">
        <v>3033</v>
      </c>
      <c r="C316" s="3231"/>
      <c r="D316" s="3231"/>
      <c r="E316" s="3231"/>
      <c r="F316" s="3231">
        <v>900</v>
      </c>
      <c r="G316" s="3244"/>
    </row>
    <row r="317" spans="1:7" s="3220" customFormat="1" ht="14.25" customHeight="1">
      <c r="A317" s="3231" t="s">
        <v>306</v>
      </c>
      <c r="B317" s="3231" t="s">
        <v>3158</v>
      </c>
      <c r="C317" s="3231"/>
      <c r="D317" s="3231"/>
      <c r="E317" s="3231"/>
      <c r="F317" s="3231">
        <v>920</v>
      </c>
      <c r="G317" s="3244"/>
    </row>
    <row r="318" spans="1:7" s="3220" customFormat="1" ht="14.25" customHeight="1">
      <c r="A318" s="3231" t="s">
        <v>306</v>
      </c>
      <c r="B318" s="3231" t="s">
        <v>3159</v>
      </c>
      <c r="C318" s="3231"/>
      <c r="D318" s="3231"/>
      <c r="E318" s="3231"/>
      <c r="F318" s="3231">
        <v>1080</v>
      </c>
      <c r="G318" s="3244"/>
    </row>
    <row r="319" spans="1:7" s="3220" customFormat="1" ht="14.25" customHeight="1">
      <c r="A319" s="3231" t="s">
        <v>306</v>
      </c>
      <c r="B319" s="3231" t="s">
        <v>3046</v>
      </c>
      <c r="C319" s="3231"/>
      <c r="D319" s="3231"/>
      <c r="E319" s="3231"/>
      <c r="F319" s="3231">
        <v>1020</v>
      </c>
      <c r="G319" s="3244"/>
    </row>
    <row r="320" spans="1:7" s="3220" customFormat="1" ht="14.25" customHeight="1">
      <c r="A320" s="3231" t="s">
        <v>306</v>
      </c>
      <c r="B320" s="3231" t="s">
        <v>3049</v>
      </c>
      <c r="C320" s="3231"/>
      <c r="D320" s="3231"/>
      <c r="E320" s="3231"/>
      <c r="F320" s="3231">
        <v>1050</v>
      </c>
      <c r="G320" s="3244"/>
    </row>
    <row r="321" spans="1:7" s="3220" customFormat="1" ht="14.25" customHeight="1">
      <c r="A321" s="3231" t="s">
        <v>306</v>
      </c>
      <c r="B321" s="3231" t="s">
        <v>3051</v>
      </c>
      <c r="C321" s="3231"/>
      <c r="D321" s="3231"/>
      <c r="E321" s="3231"/>
      <c r="F321" s="3231">
        <v>960</v>
      </c>
      <c r="G321" s="3244"/>
    </row>
    <row r="322" spans="1:7" s="3220" customFormat="1" ht="14.25" customHeight="1">
      <c r="A322" s="3231" t="s">
        <v>306</v>
      </c>
      <c r="B322" s="3231" t="s">
        <v>3053</v>
      </c>
      <c r="C322" s="3231"/>
      <c r="D322" s="3231"/>
      <c r="E322" s="3231"/>
      <c r="F322" s="3231">
        <v>960</v>
      </c>
      <c r="G322" s="3244"/>
    </row>
    <row r="323" spans="1:7" s="3220" customFormat="1" ht="14.25" customHeight="1">
      <c r="A323" s="3231" t="s">
        <v>306</v>
      </c>
      <c r="B323" s="3231" t="s">
        <v>3055</v>
      </c>
      <c r="C323" s="3231"/>
      <c r="D323" s="3231"/>
      <c r="E323" s="3231"/>
      <c r="F323" s="3231">
        <v>880</v>
      </c>
      <c r="G323" s="3244"/>
    </row>
    <row r="324" spans="1:7" s="3220" customFormat="1" ht="14.25" customHeight="1">
      <c r="A324" s="3231" t="s">
        <v>306</v>
      </c>
      <c r="B324" s="3231" t="s">
        <v>3057</v>
      </c>
      <c r="C324" s="3231"/>
      <c r="D324" s="3231"/>
      <c r="E324" s="3231"/>
      <c r="F324" s="3231">
        <v>930</v>
      </c>
      <c r="G324" s="3244"/>
    </row>
    <row r="325" spans="1:7" s="3220" customFormat="1" ht="14.25" customHeight="1">
      <c r="A325" s="3231" t="s">
        <v>306</v>
      </c>
      <c r="B325" s="3232" t="s">
        <v>3059</v>
      </c>
      <c r="C325" s="3231"/>
      <c r="D325" s="3231"/>
      <c r="E325" s="3231"/>
      <c r="F325" s="3231">
        <v>900</v>
      </c>
      <c r="G325" s="3244"/>
    </row>
    <row r="326" spans="1:7" s="3220" customFormat="1" ht="14.25" customHeight="1" thickBot="1">
      <c r="A326" s="3245" t="s">
        <v>306</v>
      </c>
      <c r="B326" s="3238" t="s">
        <v>3061</v>
      </c>
      <c r="C326" s="3238"/>
      <c r="D326" s="3238"/>
      <c r="E326" s="3238"/>
      <c r="F326" s="3238">
        <v>790</v>
      </c>
      <c r="G326" s="3246"/>
    </row>
    <row r="327" spans="1:7" s="3220" customFormat="1" ht="14.25" customHeight="1">
      <c r="A327" s="3236" t="s">
        <v>307</v>
      </c>
      <c r="B327" s="3227" t="s">
        <v>3160</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3161</v>
      </c>
      <c r="C329" s="3231">
        <v>2730</v>
      </c>
      <c r="D329" s="3231">
        <v>2690</v>
      </c>
      <c r="E329" s="3231">
        <v>3100</v>
      </c>
      <c r="F329" s="3231">
        <v>660</v>
      </c>
      <c r="G329" s="3231">
        <v>1610</v>
      </c>
    </row>
    <row r="330" spans="1:7" s="3220" customFormat="1" ht="14.25" customHeight="1">
      <c r="A330" s="3231" t="s">
        <v>307</v>
      </c>
      <c r="B330" s="3231" t="s">
        <v>3162</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2895</v>
      </c>
      <c r="C332" s="3231">
        <v>3520</v>
      </c>
      <c r="D332" s="3231">
        <v>3480</v>
      </c>
      <c r="E332" s="3231">
        <v>3830</v>
      </c>
      <c r="F332" s="3231">
        <v>720</v>
      </c>
      <c r="G332" s="3231">
        <v>2090</v>
      </c>
    </row>
    <row r="333" spans="1:7" s="3220" customFormat="1" ht="14.25" customHeight="1">
      <c r="A333" s="3231" t="s">
        <v>307</v>
      </c>
      <c r="B333" s="3231" t="s">
        <v>3163</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2905</v>
      </c>
      <c r="C336" s="3231">
        <v>3570</v>
      </c>
      <c r="D336" s="3231">
        <v>3530</v>
      </c>
      <c r="E336" s="3231">
        <v>3880</v>
      </c>
      <c r="F336" s="3231">
        <v>770</v>
      </c>
      <c r="G336" s="3231">
        <v>2110</v>
      </c>
    </row>
    <row r="337" spans="1:10" s="3220" customFormat="1" ht="14.25" customHeight="1">
      <c r="A337" s="3231" t="s">
        <v>307</v>
      </c>
      <c r="B337" s="3231" t="s">
        <v>3164</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3165</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3166</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2930</v>
      </c>
      <c r="C345" s="3231">
        <v>3190</v>
      </c>
      <c r="D345" s="3231">
        <v>3140</v>
      </c>
      <c r="E345" s="3231">
        <v>3450</v>
      </c>
      <c r="F345" s="3231">
        <v>720</v>
      </c>
      <c r="G345" s="3231">
        <v>1880</v>
      </c>
      <c r="J345" s="3220"/>
    </row>
    <row r="346" spans="1:10">
      <c r="A346" s="3231" t="s">
        <v>307</v>
      </c>
      <c r="B346" s="3231" t="s">
        <v>3167</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2939</v>
      </c>
      <c r="C348" s="3231">
        <v>4000</v>
      </c>
      <c r="D348" s="3231">
        <v>3950</v>
      </c>
      <c r="E348" s="3231">
        <v>4430</v>
      </c>
      <c r="F348" s="3231">
        <v>760</v>
      </c>
      <c r="G348" s="3231">
        <v>2360</v>
      </c>
      <c r="J348" s="3220"/>
    </row>
    <row r="349" spans="1:10">
      <c r="A349" s="3231" t="s">
        <v>307</v>
      </c>
      <c r="B349" s="3231" t="s">
        <v>2944</v>
      </c>
      <c r="C349" s="3231">
        <v>3820</v>
      </c>
      <c r="D349" s="3231">
        <v>3780</v>
      </c>
      <c r="E349" s="3231">
        <v>4170</v>
      </c>
      <c r="F349" s="3231">
        <v>710</v>
      </c>
      <c r="G349" s="3231">
        <v>2260</v>
      </c>
      <c r="J349" s="3220"/>
    </row>
    <row r="350" spans="1:10">
      <c r="A350" s="3231" t="s">
        <v>307</v>
      </c>
      <c r="B350" s="3231" t="s">
        <v>3168</v>
      </c>
      <c r="C350" s="3231">
        <v>3760</v>
      </c>
      <c r="D350" s="3231">
        <v>3730</v>
      </c>
      <c r="E350" s="3231">
        <v>4100</v>
      </c>
      <c r="F350" s="3231">
        <v>800</v>
      </c>
      <c r="G350" s="3231">
        <v>2230</v>
      </c>
      <c r="J350" s="3220"/>
    </row>
    <row r="351" spans="1:10">
      <c r="A351" s="3231" t="s">
        <v>307</v>
      </c>
      <c r="B351" s="3231" t="s">
        <v>2952</v>
      </c>
      <c r="C351" s="3231">
        <v>3610</v>
      </c>
      <c r="D351" s="3231">
        <v>3580</v>
      </c>
      <c r="E351" s="3231">
        <v>3930</v>
      </c>
      <c r="F351" s="3231">
        <v>700</v>
      </c>
      <c r="G351" s="3231">
        <v>2140</v>
      </c>
      <c r="J351" s="3220"/>
    </row>
    <row r="352" spans="1:10">
      <c r="A352" s="3231" t="s">
        <v>307</v>
      </c>
      <c r="B352" s="3231" t="s">
        <v>2957</v>
      </c>
      <c r="C352" s="3231">
        <v>3670</v>
      </c>
      <c r="D352" s="3231">
        <v>3630</v>
      </c>
      <c r="E352" s="3231">
        <v>4000</v>
      </c>
      <c r="F352" s="3231">
        <v>750</v>
      </c>
      <c r="G352" s="3231">
        <v>2180</v>
      </c>
    </row>
    <row r="353" spans="1:7" s="3224" customFormat="1">
      <c r="A353" s="3231" t="s">
        <v>307</v>
      </c>
      <c r="B353" s="3231" t="s">
        <v>3169</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2977</v>
      </c>
      <c r="C355" s="3231">
        <v>3650</v>
      </c>
      <c r="D355" s="3231">
        <v>3610</v>
      </c>
      <c r="E355" s="3231">
        <v>4200</v>
      </c>
      <c r="F355" s="3231">
        <v>640</v>
      </c>
      <c r="G355" s="3231">
        <v>2160</v>
      </c>
    </row>
    <row r="356" spans="1:7" s="3224" customFormat="1">
      <c r="A356" s="3231" t="s">
        <v>307</v>
      </c>
      <c r="B356" s="3231" t="s">
        <v>2984</v>
      </c>
      <c r="C356" s="3231">
        <v>3260</v>
      </c>
      <c r="D356" s="3231">
        <v>3230</v>
      </c>
      <c r="E356" s="3231">
        <v>3740</v>
      </c>
      <c r="F356" s="3231">
        <v>600</v>
      </c>
      <c r="G356" s="3231">
        <v>1930</v>
      </c>
    </row>
    <row r="357" spans="1:7" s="3224" customFormat="1" ht="12" thickBot="1">
      <c r="A357" s="3239" t="s">
        <v>307</v>
      </c>
      <c r="B357" s="3242" t="s">
        <v>3170</v>
      </c>
      <c r="C357" s="3242">
        <v>3690</v>
      </c>
      <c r="D357" s="3242">
        <v>3650</v>
      </c>
      <c r="E357" s="3242">
        <v>4020</v>
      </c>
      <c r="F357" s="3242">
        <v>700</v>
      </c>
      <c r="G357" s="3242">
        <v>2190</v>
      </c>
    </row>
    <row r="358" spans="1:7" s="3224" customFormat="1">
      <c r="A358" s="3236" t="s">
        <v>3171</v>
      </c>
      <c r="B358" s="3227" t="s">
        <v>3172</v>
      </c>
      <c r="C358" s="3227">
        <v>2080</v>
      </c>
      <c r="D358" s="3227">
        <v>2040</v>
      </c>
      <c r="E358" s="3227">
        <v>2010</v>
      </c>
      <c r="F358" s="3227">
        <v>530</v>
      </c>
      <c r="G358" s="3243">
        <v>1230</v>
      </c>
    </row>
    <row r="359" spans="1:7" s="3224" customFormat="1">
      <c r="A359" s="3231" t="s">
        <v>3171</v>
      </c>
      <c r="B359" s="3231" t="s">
        <v>3173</v>
      </c>
      <c r="C359" s="3231">
        <v>1850</v>
      </c>
      <c r="D359" s="3231">
        <v>1820</v>
      </c>
      <c r="E359" s="3231">
        <v>1780</v>
      </c>
      <c r="F359" s="3231">
        <v>520</v>
      </c>
      <c r="G359" s="3244">
        <v>1100</v>
      </c>
    </row>
    <row r="360" spans="1:7" s="3224" customFormat="1">
      <c r="A360" s="3231" t="s">
        <v>3171</v>
      </c>
      <c r="B360" s="3231" t="s">
        <v>3174</v>
      </c>
      <c r="C360" s="3231">
        <v>2020</v>
      </c>
      <c r="D360" s="3231">
        <v>1990</v>
      </c>
      <c r="E360" s="3231">
        <v>1950</v>
      </c>
      <c r="F360" s="3231">
        <v>500</v>
      </c>
      <c r="G360" s="3244">
        <v>1200</v>
      </c>
    </row>
    <row r="361" spans="1:7" s="3224" customFormat="1">
      <c r="A361" s="3231" t="s">
        <v>3171</v>
      </c>
      <c r="B361" s="3231" t="s">
        <v>153</v>
      </c>
      <c r="C361" s="3231">
        <v>2260</v>
      </c>
      <c r="D361" s="3231">
        <v>2220</v>
      </c>
      <c r="E361" s="3231">
        <v>2180</v>
      </c>
      <c r="F361" s="3231">
        <v>580</v>
      </c>
      <c r="G361" s="3244">
        <v>1340</v>
      </c>
    </row>
    <row r="362" spans="1:7" s="3224" customFormat="1">
      <c r="A362" s="3231" t="s">
        <v>3171</v>
      </c>
      <c r="B362" s="3231" t="s">
        <v>3175</v>
      </c>
      <c r="C362" s="3231">
        <v>2650</v>
      </c>
      <c r="D362" s="3231">
        <v>2610</v>
      </c>
      <c r="E362" s="3231">
        <v>2570</v>
      </c>
      <c r="F362" s="3231">
        <v>630</v>
      </c>
      <c r="G362" s="3244">
        <v>1570</v>
      </c>
    </row>
    <row r="363" spans="1:7" s="3224" customFormat="1">
      <c r="A363" s="3231" t="s">
        <v>3171</v>
      </c>
      <c r="B363" s="3231" t="s">
        <v>2896</v>
      </c>
      <c r="C363" s="3231">
        <v>2390</v>
      </c>
      <c r="D363" s="3231">
        <v>2360</v>
      </c>
      <c r="E363" s="3231">
        <v>2320</v>
      </c>
      <c r="F363" s="3231">
        <v>600</v>
      </c>
      <c r="G363" s="3244">
        <v>1420</v>
      </c>
    </row>
    <row r="364" spans="1:7" s="3224" customFormat="1">
      <c r="A364" s="3231" t="s">
        <v>3171</v>
      </c>
      <c r="B364" s="3231" t="s">
        <v>3176</v>
      </c>
      <c r="C364" s="3231">
        <v>2050</v>
      </c>
      <c r="D364" s="3231">
        <v>2030</v>
      </c>
      <c r="E364" s="3231">
        <v>1990</v>
      </c>
      <c r="F364" s="3231">
        <v>550</v>
      </c>
      <c r="G364" s="3244">
        <v>1220</v>
      </c>
    </row>
    <row r="365" spans="1:7" s="3224" customFormat="1">
      <c r="A365" s="3231" t="s">
        <v>3171</v>
      </c>
      <c r="B365" s="3231" t="s">
        <v>200</v>
      </c>
      <c r="C365" s="3231">
        <v>2140</v>
      </c>
      <c r="D365" s="3231">
        <v>2100</v>
      </c>
      <c r="E365" s="3231">
        <v>2060</v>
      </c>
      <c r="F365" s="3231">
        <v>540</v>
      </c>
      <c r="G365" s="3244">
        <v>1270</v>
      </c>
    </row>
    <row r="366" spans="1:7" s="3224" customFormat="1">
      <c r="A366" s="3231" t="s">
        <v>3171</v>
      </c>
      <c r="B366" s="3231" t="s">
        <v>2903</v>
      </c>
      <c r="C366" s="3231">
        <v>2410</v>
      </c>
      <c r="D366" s="3231">
        <v>2370</v>
      </c>
      <c r="E366" s="3231">
        <v>2330</v>
      </c>
      <c r="F366" s="3231">
        <v>570</v>
      </c>
      <c r="G366" s="3244">
        <v>1440</v>
      </c>
    </row>
    <row r="367" spans="1:7" s="3224" customFormat="1">
      <c r="A367" s="3231" t="s">
        <v>3171</v>
      </c>
      <c r="B367" s="3231" t="s">
        <v>3177</v>
      </c>
      <c r="C367" s="3231">
        <v>2300</v>
      </c>
      <c r="D367" s="3231">
        <v>2260</v>
      </c>
      <c r="E367" s="3231">
        <v>2220</v>
      </c>
      <c r="F367" s="3231">
        <v>560</v>
      </c>
      <c r="G367" s="3244">
        <v>1370</v>
      </c>
    </row>
    <row r="368" spans="1:7" s="3224" customFormat="1">
      <c r="A368" s="3231" t="s">
        <v>3171</v>
      </c>
      <c r="B368" s="3231" t="s">
        <v>3178</v>
      </c>
      <c r="C368" s="3231">
        <v>2430</v>
      </c>
      <c r="D368" s="3231">
        <v>2390</v>
      </c>
      <c r="E368" s="3231">
        <v>2350</v>
      </c>
      <c r="F368" s="3231">
        <v>570</v>
      </c>
      <c r="G368" s="3244">
        <v>1450</v>
      </c>
    </row>
    <row r="369" spans="1:7" s="3224" customFormat="1">
      <c r="A369" s="3231" t="s">
        <v>3171</v>
      </c>
      <c r="B369" s="3231" t="s">
        <v>214</v>
      </c>
      <c r="C369" s="3231">
        <v>2320</v>
      </c>
      <c r="D369" s="3231">
        <v>2290</v>
      </c>
      <c r="E369" s="3231">
        <v>2250</v>
      </c>
      <c r="F369" s="3231">
        <v>550</v>
      </c>
      <c r="G369" s="3244">
        <v>1380</v>
      </c>
    </row>
    <row r="370" spans="1:7" s="3224" customFormat="1">
      <c r="A370" s="3231" t="s">
        <v>3171</v>
      </c>
      <c r="B370" s="3231" t="s">
        <v>221</v>
      </c>
      <c r="C370" s="3231">
        <v>2190</v>
      </c>
      <c r="D370" s="3231">
        <v>2170</v>
      </c>
      <c r="E370" s="3231">
        <v>2130</v>
      </c>
      <c r="F370" s="3231">
        <v>530</v>
      </c>
      <c r="G370" s="3244">
        <v>1310</v>
      </c>
    </row>
    <row r="371" spans="1:7" s="3224" customFormat="1">
      <c r="A371" s="3231" t="s">
        <v>3171</v>
      </c>
      <c r="B371" s="3231" t="s">
        <v>229</v>
      </c>
      <c r="C371" s="3231">
        <v>2460</v>
      </c>
      <c r="D371" s="3231">
        <v>2420</v>
      </c>
      <c r="E371" s="3231">
        <v>2370</v>
      </c>
      <c r="F371" s="3231">
        <v>560</v>
      </c>
      <c r="G371" s="3244">
        <v>1470</v>
      </c>
    </row>
    <row r="372" spans="1:7" s="3224" customFormat="1">
      <c r="A372" s="3231" t="s">
        <v>3171</v>
      </c>
      <c r="B372" s="3231" t="s">
        <v>3179</v>
      </c>
      <c r="C372" s="3231">
        <v>2250</v>
      </c>
      <c r="D372" s="3231">
        <v>2210</v>
      </c>
      <c r="E372" s="3231">
        <v>2180</v>
      </c>
      <c r="F372" s="3231">
        <v>550</v>
      </c>
      <c r="G372" s="3244">
        <v>1340</v>
      </c>
    </row>
    <row r="373" spans="1:7" s="3224" customFormat="1">
      <c r="A373" s="3231" t="s">
        <v>3171</v>
      </c>
      <c r="B373" s="3231" t="s">
        <v>258</v>
      </c>
      <c r="C373" s="3231">
        <v>2210</v>
      </c>
      <c r="D373" s="3231">
        <v>2190</v>
      </c>
      <c r="E373" s="3231">
        <v>2150</v>
      </c>
      <c r="F373" s="3231">
        <v>530</v>
      </c>
      <c r="G373" s="3244">
        <v>1320</v>
      </c>
    </row>
    <row r="374" spans="1:7" s="3224" customFormat="1">
      <c r="A374" s="3231" t="s">
        <v>3171</v>
      </c>
      <c r="B374" s="3231" t="s">
        <v>266</v>
      </c>
      <c r="C374" s="3231">
        <v>2320</v>
      </c>
      <c r="D374" s="3231">
        <v>2280</v>
      </c>
      <c r="E374" s="3231">
        <v>2230</v>
      </c>
      <c r="F374" s="3231">
        <v>580</v>
      </c>
      <c r="G374" s="3244">
        <v>1380</v>
      </c>
    </row>
    <row r="375" spans="1:7" s="3224" customFormat="1">
      <c r="A375" s="3231" t="s">
        <v>3171</v>
      </c>
      <c r="B375" s="3231" t="s">
        <v>3180</v>
      </c>
      <c r="C375" s="3231">
        <v>2090</v>
      </c>
      <c r="D375" s="3231">
        <v>2050</v>
      </c>
      <c r="E375" s="3231">
        <v>2020</v>
      </c>
      <c r="F375" s="3231">
        <v>520</v>
      </c>
      <c r="G375" s="3244">
        <v>1240</v>
      </c>
    </row>
    <row r="376" spans="1:7" s="3224" customFormat="1">
      <c r="A376" s="3231" t="s">
        <v>3171</v>
      </c>
      <c r="B376" s="3231" t="s">
        <v>277</v>
      </c>
      <c r="C376" s="3231">
        <v>2010</v>
      </c>
      <c r="D376" s="3231">
        <v>1980</v>
      </c>
      <c r="E376" s="3231">
        <v>1940</v>
      </c>
      <c r="F376" s="3231">
        <v>540</v>
      </c>
      <c r="G376" s="3244">
        <v>1190</v>
      </c>
    </row>
    <row r="377" spans="1:7" s="3224" customFormat="1" ht="12" thickBot="1">
      <c r="A377" s="3239" t="s">
        <v>3171</v>
      </c>
      <c r="B377" s="3242" t="s">
        <v>2933</v>
      </c>
      <c r="C377" s="3242">
        <v>1930</v>
      </c>
      <c r="D377" s="3242">
        <v>1890</v>
      </c>
      <c r="E377" s="3242">
        <v>1860</v>
      </c>
      <c r="F377" s="3242">
        <v>530</v>
      </c>
      <c r="G377" s="3247">
        <v>1150</v>
      </c>
    </row>
    <row r="378" spans="1:7" s="3224" customFormat="1">
      <c r="A378" s="3248" t="s">
        <v>3181</v>
      </c>
      <c r="B378" s="3227" t="s">
        <v>3182</v>
      </c>
      <c r="C378" s="3227">
        <v>1520</v>
      </c>
      <c r="D378" s="3227">
        <v>1490</v>
      </c>
      <c r="E378" s="3227">
        <v>1460</v>
      </c>
      <c r="F378" s="3227">
        <v>460</v>
      </c>
      <c r="G378" s="3243">
        <v>940</v>
      </c>
    </row>
    <row r="379" spans="1:7" s="3224" customFormat="1">
      <c r="A379" s="3249" t="s">
        <v>3181</v>
      </c>
      <c r="B379" s="3231" t="s">
        <v>3183</v>
      </c>
      <c r="C379" s="3231">
        <v>1500</v>
      </c>
      <c r="D379" s="3231">
        <v>1470</v>
      </c>
      <c r="E379" s="3231">
        <v>1430</v>
      </c>
      <c r="F379" s="3231">
        <v>460</v>
      </c>
      <c r="G379" s="3244">
        <v>920</v>
      </c>
    </row>
    <row r="380" spans="1:7" s="3224" customFormat="1">
      <c r="A380" s="3249" t="s">
        <v>3181</v>
      </c>
      <c r="B380" s="3231" t="s">
        <v>3184</v>
      </c>
      <c r="C380" s="3231">
        <v>1620</v>
      </c>
      <c r="D380" s="3231">
        <v>1590</v>
      </c>
      <c r="E380" s="3231">
        <v>1560</v>
      </c>
      <c r="F380" s="3231">
        <v>480</v>
      </c>
      <c r="G380" s="3244">
        <v>1000</v>
      </c>
    </row>
    <row r="381" spans="1:7" s="3224" customFormat="1">
      <c r="A381" s="3249" t="s">
        <v>3181</v>
      </c>
      <c r="B381" s="3231" t="s">
        <v>3185</v>
      </c>
      <c r="C381" s="3231">
        <v>1460</v>
      </c>
      <c r="D381" s="3231">
        <v>1430</v>
      </c>
      <c r="E381" s="3231">
        <v>1390</v>
      </c>
      <c r="F381" s="3231">
        <v>450</v>
      </c>
      <c r="G381" s="3244">
        <v>900</v>
      </c>
    </row>
    <row r="382" spans="1:7" s="3224" customFormat="1">
      <c r="A382" s="3249" t="s">
        <v>3181</v>
      </c>
      <c r="B382" s="3231" t="s">
        <v>3186</v>
      </c>
      <c r="C382" s="3231">
        <v>1310</v>
      </c>
      <c r="D382" s="3231">
        <v>1280</v>
      </c>
      <c r="E382" s="3231">
        <v>1250</v>
      </c>
      <c r="F382" s="3231">
        <v>440</v>
      </c>
      <c r="G382" s="3244">
        <v>800</v>
      </c>
    </row>
    <row r="383" spans="1:7" s="3224" customFormat="1">
      <c r="A383" s="3249" t="s">
        <v>3181</v>
      </c>
      <c r="B383" s="3231" t="s">
        <v>3187</v>
      </c>
      <c r="C383" s="3231">
        <v>1260</v>
      </c>
      <c r="D383" s="3231">
        <v>1230</v>
      </c>
      <c r="E383" s="3231">
        <v>1200</v>
      </c>
      <c r="F383" s="3231">
        <v>420</v>
      </c>
      <c r="G383" s="3244">
        <v>770</v>
      </c>
    </row>
    <row r="384" spans="1:7" s="3224" customFormat="1" ht="12" thickBot="1">
      <c r="A384" s="3250" t="s">
        <v>3181</v>
      </c>
      <c r="B384" s="3238" t="s">
        <v>3188</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67" t="s">
        <v>3189</v>
      </c>
      <c r="B1" s="3867"/>
    </row>
    <row r="2" spans="1:7" ht="14.25" thickBot="1">
      <c r="A2" s="3253"/>
      <c r="B2" s="3253"/>
    </row>
    <row r="3" spans="1:7" ht="14.25" thickBot="1">
      <c r="A3" s="3253"/>
      <c r="B3" s="3253"/>
      <c r="C3" s="3254" t="s">
        <v>2813</v>
      </c>
      <c r="D3" s="3254" t="s">
        <v>2875</v>
      </c>
      <c r="E3" s="3254" t="s">
        <v>2815</v>
      </c>
      <c r="F3" s="3254" t="s">
        <v>2876</v>
      </c>
      <c r="G3" s="3254" t="s">
        <v>2633</v>
      </c>
    </row>
    <row r="4" spans="1:7" ht="14.25" thickBot="1">
      <c r="A4" s="3255" t="s">
        <v>2874</v>
      </c>
      <c r="B4" s="3256" t="s">
        <v>2880</v>
      </c>
      <c r="C4" s="3254"/>
      <c r="D4" s="3254"/>
      <c r="E4" s="3254"/>
      <c r="F4" s="3254"/>
      <c r="G4" s="3254"/>
    </row>
    <row r="5" spans="1:7">
      <c r="A5" s="3257" t="s">
        <v>2848</v>
      </c>
      <c r="B5" s="3258" t="s">
        <v>2862</v>
      </c>
      <c r="C5" s="3259">
        <v>9.8000000000000004E-2</v>
      </c>
      <c r="D5" s="3259">
        <v>8.6999999999999994E-2</v>
      </c>
      <c r="E5" s="3259">
        <v>8.6999999999999994E-2</v>
      </c>
      <c r="F5" s="3259">
        <v>9.8000000000000004E-2</v>
      </c>
      <c r="G5" s="3260">
        <v>9.5000000000000001E-2</v>
      </c>
    </row>
    <row r="6" spans="1:7">
      <c r="A6" s="3261" t="s">
        <v>144</v>
      </c>
      <c r="B6" s="3262" t="s">
        <v>2877</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2863</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2913</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2931</v>
      </c>
      <c r="C29" s="3271"/>
      <c r="D29" s="3267">
        <v>5.1999999999999998E-2</v>
      </c>
      <c r="E29" s="3267">
        <v>7.0000000000000007E-2</v>
      </c>
      <c r="F29" s="3271"/>
      <c r="G29" s="3269">
        <v>7.0999999999999994E-2</v>
      </c>
    </row>
    <row r="30" spans="1:7">
      <c r="A30" s="3272" t="s">
        <v>296</v>
      </c>
      <c r="B30" s="3258" t="s">
        <v>2864</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2850</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2934</v>
      </c>
      <c r="C50" s="3263">
        <v>9.8000000000000004E-2</v>
      </c>
      <c r="D50" s="3263">
        <v>7.2999999999999995E-2</v>
      </c>
      <c r="E50" s="3263">
        <v>7.0999999999999994E-2</v>
      </c>
      <c r="F50" s="3274"/>
      <c r="G50" s="3264">
        <v>7.2999999999999995E-2</v>
      </c>
    </row>
    <row r="51" spans="1:7">
      <c r="A51" s="3273" t="s">
        <v>296</v>
      </c>
      <c r="B51" s="3262" t="s">
        <v>2936</v>
      </c>
      <c r="C51" s="3263">
        <v>9.9000000000000005E-2</v>
      </c>
      <c r="D51" s="3263">
        <v>8.5000000000000006E-2</v>
      </c>
      <c r="E51" s="3263">
        <v>6.3E-2</v>
      </c>
      <c r="F51" s="3274"/>
      <c r="G51" s="3264">
        <v>9.6000000000000002E-2</v>
      </c>
    </row>
    <row r="52" spans="1:7">
      <c r="A52" s="3273" t="s">
        <v>296</v>
      </c>
      <c r="B52" s="3262" t="s">
        <v>2940</v>
      </c>
      <c r="C52" s="3263">
        <v>7.3999999999999996E-2</v>
      </c>
      <c r="D52" s="3263">
        <v>9.6000000000000002E-2</v>
      </c>
      <c r="E52" s="3263">
        <v>0.05</v>
      </c>
      <c r="F52" s="3274"/>
      <c r="G52" s="3264">
        <v>9.8000000000000004E-2</v>
      </c>
    </row>
    <row r="53" spans="1:7">
      <c r="A53" s="3273" t="s">
        <v>296</v>
      </c>
      <c r="B53" s="3262" t="s">
        <v>2945</v>
      </c>
      <c r="C53" s="3263">
        <v>8.5999999999999993E-2</v>
      </c>
      <c r="D53" s="3274"/>
      <c r="E53" s="3263">
        <v>9.1999999999999998E-2</v>
      </c>
      <c r="F53" s="3274"/>
      <c r="G53" s="3275"/>
    </row>
    <row r="54" spans="1:7" ht="14.25" thickBot="1">
      <c r="A54" s="3276" t="s">
        <v>296</v>
      </c>
      <c r="B54" s="3266" t="s">
        <v>2948</v>
      </c>
      <c r="C54" s="3267">
        <v>9.6000000000000002E-2</v>
      </c>
      <c r="D54" s="3268"/>
      <c r="E54" s="3277"/>
      <c r="F54" s="3268"/>
      <c r="G54" s="3278"/>
    </row>
    <row r="55" spans="1:7">
      <c r="A55" s="3272" t="s">
        <v>110</v>
      </c>
      <c r="B55" s="3258" t="s">
        <v>2865</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2946</v>
      </c>
      <c r="C78" s="3263">
        <v>0.1</v>
      </c>
      <c r="D78" s="3263">
        <v>8.5000000000000006E-2</v>
      </c>
      <c r="E78" s="3263">
        <v>9.6000000000000002E-2</v>
      </c>
      <c r="F78" s="3274"/>
      <c r="G78" s="3264">
        <v>9.6000000000000002E-2</v>
      </c>
    </row>
    <row r="79" spans="1:7">
      <c r="A79" s="3273" t="s">
        <v>110</v>
      </c>
      <c r="B79" s="3262" t="s">
        <v>2949</v>
      </c>
      <c r="C79" s="3263">
        <v>0.05</v>
      </c>
      <c r="D79" s="3263">
        <v>9.6000000000000002E-2</v>
      </c>
      <c r="E79" s="3263">
        <v>9.5000000000000001E-2</v>
      </c>
      <c r="F79" s="3274"/>
      <c r="G79" s="3264">
        <v>9.8000000000000004E-2</v>
      </c>
    </row>
    <row r="80" spans="1:7">
      <c r="A80" s="3273" t="s">
        <v>110</v>
      </c>
      <c r="B80" s="3262" t="s">
        <v>2953</v>
      </c>
      <c r="C80" s="3263">
        <v>8.5999999999999993E-2</v>
      </c>
      <c r="D80" s="3279"/>
      <c r="E80" s="3263">
        <v>0.1</v>
      </c>
      <c r="F80" s="3274"/>
      <c r="G80" s="3275"/>
    </row>
    <row r="81" spans="1:7">
      <c r="A81" s="3273" t="s">
        <v>110</v>
      </c>
      <c r="B81" s="3262" t="s">
        <v>2958</v>
      </c>
      <c r="C81" s="3263">
        <v>9.6000000000000002E-2</v>
      </c>
      <c r="D81" s="3274"/>
      <c r="E81" s="3263">
        <v>9.8000000000000004E-2</v>
      </c>
      <c r="F81" s="3274"/>
      <c r="G81" s="3275"/>
    </row>
    <row r="82" spans="1:7">
      <c r="A82" s="3273" t="s">
        <v>110</v>
      </c>
      <c r="B82" s="3262" t="s">
        <v>2965</v>
      </c>
      <c r="C82" s="3279"/>
      <c r="D82" s="3274"/>
      <c r="E82" s="3263">
        <v>7.6999999999999999E-2</v>
      </c>
      <c r="F82" s="3274"/>
      <c r="G82" s="3275"/>
    </row>
    <row r="83" spans="1:7">
      <c r="A83" s="3273" t="s">
        <v>110</v>
      </c>
      <c r="B83" s="3262" t="s">
        <v>2971</v>
      </c>
      <c r="C83" s="3274"/>
      <c r="D83" s="3274"/>
      <c r="E83" s="3274"/>
      <c r="F83" s="3263">
        <v>0.1</v>
      </c>
      <c r="G83" s="3280"/>
    </row>
    <row r="84" spans="1:7">
      <c r="A84" s="3273" t="s">
        <v>110</v>
      </c>
      <c r="B84" s="3262" t="s">
        <v>2978</v>
      </c>
      <c r="C84" s="3274"/>
      <c r="D84" s="3274"/>
      <c r="E84" s="3274"/>
      <c r="F84" s="3263">
        <v>0.1</v>
      </c>
      <c r="G84" s="3280"/>
    </row>
    <row r="85" spans="1:7">
      <c r="A85" s="3273" t="s">
        <v>110</v>
      </c>
      <c r="B85" s="3262" t="s">
        <v>2985</v>
      </c>
      <c r="C85" s="3274"/>
      <c r="D85" s="3274"/>
      <c r="E85" s="3274"/>
      <c r="F85" s="3263">
        <v>0.1</v>
      </c>
      <c r="G85" s="3280"/>
    </row>
    <row r="86" spans="1:7" ht="14.25" thickBot="1">
      <c r="A86" s="3276" t="s">
        <v>110</v>
      </c>
      <c r="B86" s="3266" t="s">
        <v>2990</v>
      </c>
      <c r="C86" s="3267">
        <v>9.8000000000000004E-2</v>
      </c>
      <c r="D86" s="3267">
        <v>9.8000000000000004E-2</v>
      </c>
      <c r="E86" s="3267">
        <v>9.6000000000000002E-2</v>
      </c>
      <c r="F86" s="3277"/>
      <c r="G86" s="3269">
        <v>0.1</v>
      </c>
    </row>
    <row r="87" spans="1:7">
      <c r="A87" s="3272" t="s">
        <v>303</v>
      </c>
      <c r="B87" s="3258" t="s">
        <v>2866</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2959</v>
      </c>
      <c r="C113" s="3263">
        <v>0.1</v>
      </c>
      <c r="D113" s="3263">
        <v>0.1</v>
      </c>
      <c r="E113" s="3274"/>
      <c r="F113" s="3274"/>
      <c r="G113" s="3264">
        <v>0.1</v>
      </c>
    </row>
    <row r="114" spans="1:7">
      <c r="A114" s="3273" t="s">
        <v>303</v>
      </c>
      <c r="B114" s="3262" t="s">
        <v>2966</v>
      </c>
      <c r="C114" s="3263">
        <v>9.7000000000000003E-2</v>
      </c>
      <c r="D114" s="3263">
        <v>9.7000000000000003E-2</v>
      </c>
      <c r="E114" s="3274"/>
      <c r="F114" s="3274"/>
      <c r="G114" s="3264">
        <v>9.9000000000000005E-2</v>
      </c>
    </row>
    <row r="115" spans="1:7">
      <c r="A115" s="3273" t="s">
        <v>303</v>
      </c>
      <c r="B115" s="3262" t="s">
        <v>2972</v>
      </c>
      <c r="C115" s="3263">
        <v>0.1</v>
      </c>
      <c r="D115" s="3263">
        <v>0.1</v>
      </c>
      <c r="E115" s="3274"/>
      <c r="F115" s="3274"/>
      <c r="G115" s="3264">
        <v>0.1</v>
      </c>
    </row>
    <row r="116" spans="1:7">
      <c r="A116" s="3273" t="s">
        <v>303</v>
      </c>
      <c r="B116" s="3262" t="s">
        <v>2979</v>
      </c>
      <c r="C116" s="3263">
        <v>0.1</v>
      </c>
      <c r="D116" s="3263">
        <v>0.1</v>
      </c>
      <c r="E116" s="3274"/>
      <c r="F116" s="3274"/>
      <c r="G116" s="3264">
        <v>0.1</v>
      </c>
    </row>
    <row r="117" spans="1:7">
      <c r="A117" s="3273" t="s">
        <v>303</v>
      </c>
      <c r="B117" s="3262" t="s">
        <v>2986</v>
      </c>
      <c r="C117" s="3263">
        <v>9.7000000000000003E-2</v>
      </c>
      <c r="D117" s="3263">
        <v>9.7000000000000003E-2</v>
      </c>
      <c r="E117" s="3274"/>
      <c r="F117" s="3274"/>
      <c r="G117" s="3264">
        <v>9.7000000000000003E-2</v>
      </c>
    </row>
    <row r="118" spans="1:7">
      <c r="A118" s="3273" t="s">
        <v>303</v>
      </c>
      <c r="B118" s="3262" t="s">
        <v>2991</v>
      </c>
      <c r="C118" s="3263">
        <v>0.1</v>
      </c>
      <c r="D118" s="3263">
        <v>0.1</v>
      </c>
      <c r="E118" s="3274"/>
      <c r="F118" s="3274"/>
      <c r="G118" s="3264">
        <v>0.1</v>
      </c>
    </row>
    <row r="119" spans="1:7">
      <c r="A119" s="3273" t="s">
        <v>303</v>
      </c>
      <c r="B119" s="3262" t="s">
        <v>2995</v>
      </c>
      <c r="C119" s="3263">
        <v>5.0999999999999997E-2</v>
      </c>
      <c r="D119" s="3263">
        <v>5.1999999999999998E-2</v>
      </c>
      <c r="E119" s="3274"/>
      <c r="F119" s="3279"/>
      <c r="G119" s="3264">
        <v>0.06</v>
      </c>
    </row>
    <row r="120" spans="1:7">
      <c r="A120" s="3273" t="s">
        <v>303</v>
      </c>
      <c r="B120" s="3262" t="s">
        <v>2999</v>
      </c>
      <c r="C120" s="3274"/>
      <c r="D120" s="3274"/>
      <c r="E120" s="3274"/>
      <c r="F120" s="3263">
        <v>0.1</v>
      </c>
      <c r="G120" s="3280"/>
    </row>
    <row r="121" spans="1:7">
      <c r="A121" s="3273" t="s">
        <v>303</v>
      </c>
      <c r="B121" s="3262" t="s">
        <v>3004</v>
      </c>
      <c r="C121" s="3274"/>
      <c r="D121" s="3274"/>
      <c r="E121" s="3274"/>
      <c r="F121" s="3263">
        <v>0.1</v>
      </c>
      <c r="G121" s="3280"/>
    </row>
    <row r="122" spans="1:7">
      <c r="A122" s="3273" t="s">
        <v>303</v>
      </c>
      <c r="B122" s="3262" t="s">
        <v>3009</v>
      </c>
      <c r="C122" s="3263">
        <v>0.1</v>
      </c>
      <c r="D122" s="3263">
        <v>0.1</v>
      </c>
      <c r="E122" s="3263">
        <v>9.8000000000000004E-2</v>
      </c>
      <c r="F122" s="3263">
        <v>0.1</v>
      </c>
      <c r="G122" s="3264">
        <v>0.1</v>
      </c>
    </row>
    <row r="123" spans="1:7">
      <c r="A123" s="3273" t="s">
        <v>303</v>
      </c>
      <c r="B123" s="3262" t="s">
        <v>3014</v>
      </c>
      <c r="C123" s="3263">
        <v>0.1</v>
      </c>
      <c r="D123" s="3263">
        <v>0.1</v>
      </c>
      <c r="E123" s="3263">
        <v>9.8000000000000004E-2</v>
      </c>
      <c r="F123" s="3263">
        <v>0.1</v>
      </c>
      <c r="G123" s="3264">
        <v>0.1</v>
      </c>
    </row>
    <row r="124" spans="1:7">
      <c r="A124" s="3273" t="s">
        <v>303</v>
      </c>
      <c r="B124" s="3262" t="s">
        <v>3019</v>
      </c>
      <c r="C124" s="3263">
        <v>0.1</v>
      </c>
      <c r="D124" s="3263">
        <v>0.1</v>
      </c>
      <c r="E124" s="3263">
        <v>9.8000000000000004E-2</v>
      </c>
      <c r="F124" s="3279"/>
      <c r="G124" s="3264">
        <v>0.1</v>
      </c>
    </row>
    <row r="125" spans="1:7">
      <c r="A125" s="3273" t="s">
        <v>303</v>
      </c>
      <c r="B125" s="3262" t="s">
        <v>3024</v>
      </c>
      <c r="C125" s="3263">
        <v>9.8000000000000004E-2</v>
      </c>
      <c r="D125" s="3263">
        <v>9.8000000000000004E-2</v>
      </c>
      <c r="E125" s="3263">
        <v>9.6000000000000002E-2</v>
      </c>
      <c r="F125" s="3279"/>
      <c r="G125" s="3264">
        <v>0.1</v>
      </c>
    </row>
    <row r="126" spans="1:7" ht="14.25" thickBot="1">
      <c r="A126" s="3276" t="s">
        <v>303</v>
      </c>
      <c r="B126" s="3266" t="s">
        <v>3190</v>
      </c>
      <c r="C126" s="3267">
        <v>0.1</v>
      </c>
      <c r="D126" s="3267">
        <v>0.1</v>
      </c>
      <c r="E126" s="3267">
        <v>9.8000000000000004E-2</v>
      </c>
      <c r="F126" s="3267">
        <v>0.1</v>
      </c>
      <c r="G126" s="3269">
        <v>0.1</v>
      </c>
    </row>
    <row r="127" spans="1:7">
      <c r="A127" s="3272" t="s">
        <v>29</v>
      </c>
      <c r="B127" s="3258" t="s">
        <v>2867</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2937</v>
      </c>
      <c r="C148" s="3263">
        <v>0.13</v>
      </c>
      <c r="D148" s="3263">
        <v>0.13</v>
      </c>
      <c r="E148" s="3263">
        <v>0.13</v>
      </c>
      <c r="F148" s="3274"/>
      <c r="G148" s="3264">
        <v>0.13</v>
      </c>
    </row>
    <row r="149" spans="1:7">
      <c r="A149" s="3273" t="s">
        <v>29</v>
      </c>
      <c r="B149" s="3262" t="s">
        <v>2941</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2960</v>
      </c>
      <c r="C153" s="3263">
        <v>0.13</v>
      </c>
      <c r="D153" s="3263">
        <v>0.13</v>
      </c>
      <c r="E153" s="3263">
        <v>0.13</v>
      </c>
      <c r="F153" s="3263">
        <v>0.13</v>
      </c>
      <c r="G153" s="3264">
        <v>0.13</v>
      </c>
    </row>
    <row r="154" spans="1:7">
      <c r="A154" s="3273" t="s">
        <v>29</v>
      </c>
      <c r="B154" s="3262" t="s">
        <v>2967</v>
      </c>
      <c r="C154" s="3263">
        <v>0.121</v>
      </c>
      <c r="D154" s="3263">
        <v>0.121</v>
      </c>
      <c r="E154" s="3263">
        <v>0.105</v>
      </c>
      <c r="F154" s="3263">
        <v>0.121</v>
      </c>
      <c r="G154" s="3264">
        <v>0.123</v>
      </c>
    </row>
    <row r="155" spans="1:7">
      <c r="A155" s="3273" t="s">
        <v>29</v>
      </c>
      <c r="B155" s="3262" t="s">
        <v>2973</v>
      </c>
      <c r="C155" s="3263">
        <v>0.1</v>
      </c>
      <c r="D155" s="3263">
        <v>0.1</v>
      </c>
      <c r="E155" s="3263">
        <v>0.1</v>
      </c>
      <c r="F155" s="3263">
        <v>0.1</v>
      </c>
      <c r="G155" s="3264">
        <v>0.1</v>
      </c>
    </row>
    <row r="156" spans="1:7">
      <c r="A156" s="3273" t="s">
        <v>29</v>
      </c>
      <c r="B156" s="3262" t="s">
        <v>2980</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3000</v>
      </c>
      <c r="C160" s="3263">
        <v>0.13</v>
      </c>
      <c r="D160" s="3263">
        <v>0.13</v>
      </c>
      <c r="E160" s="3263">
        <v>0.124</v>
      </c>
      <c r="F160" s="3263">
        <v>0.126</v>
      </c>
      <c r="G160" s="3264">
        <v>0.13</v>
      </c>
    </row>
    <row r="161" spans="1:7">
      <c r="A161" s="3273" t="s">
        <v>29</v>
      </c>
      <c r="B161" s="3262" t="s">
        <v>3005</v>
      </c>
      <c r="C161" s="3263">
        <v>0.13</v>
      </c>
      <c r="D161" s="3263">
        <v>0.13</v>
      </c>
      <c r="E161" s="3263">
        <v>0.124</v>
      </c>
      <c r="F161" s="3263">
        <v>0.127</v>
      </c>
      <c r="G161" s="3264">
        <v>0.13</v>
      </c>
    </row>
    <row r="162" spans="1:7">
      <c r="A162" s="3273" t="s">
        <v>29</v>
      </c>
      <c r="B162" s="3262" t="s">
        <v>3010</v>
      </c>
      <c r="C162" s="3263">
        <v>0.1</v>
      </c>
      <c r="D162" s="3263">
        <v>0.1</v>
      </c>
      <c r="E162" s="3263">
        <v>0.1</v>
      </c>
      <c r="F162" s="3263">
        <v>0.121</v>
      </c>
      <c r="G162" s="3264">
        <v>0.105</v>
      </c>
    </row>
    <row r="163" spans="1:7">
      <c r="A163" s="3273" t="s">
        <v>29</v>
      </c>
      <c r="B163" s="3262" t="s">
        <v>3015</v>
      </c>
      <c r="C163" s="3263">
        <v>0.1</v>
      </c>
      <c r="D163" s="3263">
        <v>0.1</v>
      </c>
      <c r="E163" s="3263">
        <v>0.1</v>
      </c>
      <c r="F163" s="3263">
        <v>0.1</v>
      </c>
      <c r="G163" s="3264">
        <v>0.1</v>
      </c>
    </row>
    <row r="164" spans="1:7">
      <c r="A164" s="3273" t="s">
        <v>29</v>
      </c>
      <c r="B164" s="3262" t="s">
        <v>3020</v>
      </c>
      <c r="C164" s="3279"/>
      <c r="D164" s="3279"/>
      <c r="E164" s="3279"/>
      <c r="F164" s="3263">
        <v>0.1</v>
      </c>
      <c r="G164" s="3275"/>
    </row>
    <row r="165" spans="1:7">
      <c r="A165" s="3273" t="s">
        <v>29</v>
      </c>
      <c r="B165" s="3262" t="s">
        <v>3191</v>
      </c>
      <c r="C165" s="3263">
        <v>0.126</v>
      </c>
      <c r="D165" s="3263">
        <v>0.126</v>
      </c>
      <c r="E165" s="3263">
        <v>0.11899999999999999</v>
      </c>
      <c r="F165" s="3263">
        <v>0.13</v>
      </c>
      <c r="G165" s="3264">
        <v>0.128</v>
      </c>
    </row>
    <row r="166" spans="1:7">
      <c r="A166" s="3273" t="s">
        <v>29</v>
      </c>
      <c r="B166" s="3262" t="s">
        <v>3030</v>
      </c>
      <c r="C166" s="3263">
        <v>0.129</v>
      </c>
      <c r="D166" s="3263">
        <v>0.129</v>
      </c>
      <c r="E166" s="3263">
        <v>0.123</v>
      </c>
      <c r="F166" s="3263">
        <v>0.128</v>
      </c>
      <c r="G166" s="3264">
        <v>0.13</v>
      </c>
    </row>
    <row r="167" spans="1:7">
      <c r="A167" s="3273" t="s">
        <v>29</v>
      </c>
      <c r="B167" s="3262" t="s">
        <v>3034</v>
      </c>
      <c r="C167" s="3263">
        <v>0.125</v>
      </c>
      <c r="D167" s="3263">
        <v>0.125</v>
      </c>
      <c r="E167" s="3263">
        <v>0.11700000000000001</v>
      </c>
      <c r="F167" s="3263">
        <v>0.13</v>
      </c>
      <c r="G167" s="3264">
        <v>0.126</v>
      </c>
    </row>
    <row r="168" spans="1:7">
      <c r="A168" s="3273" t="s">
        <v>29</v>
      </c>
      <c r="B168" s="3262" t="s">
        <v>3039</v>
      </c>
      <c r="C168" s="3263">
        <v>0.128</v>
      </c>
      <c r="D168" s="3263">
        <v>0.128</v>
      </c>
      <c r="E168" s="3263">
        <v>0.123</v>
      </c>
      <c r="F168" s="3274"/>
      <c r="G168" s="3264">
        <v>0.13</v>
      </c>
    </row>
    <row r="169" spans="1:7">
      <c r="A169" s="3273" t="s">
        <v>29</v>
      </c>
      <c r="B169" s="3262" t="s">
        <v>3192</v>
      </c>
      <c r="C169" s="3279"/>
      <c r="D169" s="3279"/>
      <c r="E169" s="3279"/>
      <c r="F169" s="3263">
        <v>0.05</v>
      </c>
      <c r="G169" s="3275"/>
    </row>
    <row r="170" spans="1:7">
      <c r="A170" s="3273" t="s">
        <v>29</v>
      </c>
      <c r="B170" s="3262" t="s">
        <v>3193</v>
      </c>
      <c r="C170" s="3279"/>
      <c r="D170" s="3279"/>
      <c r="E170" s="3279"/>
      <c r="F170" s="3263">
        <v>0.05</v>
      </c>
      <c r="G170" s="3275"/>
    </row>
    <row r="171" spans="1:7">
      <c r="A171" s="3273" t="s">
        <v>29</v>
      </c>
      <c r="B171" s="3262" t="s">
        <v>3194</v>
      </c>
      <c r="C171" s="3279"/>
      <c r="D171" s="3279"/>
      <c r="E171" s="3279"/>
      <c r="F171" s="3263">
        <v>0.05</v>
      </c>
      <c r="G171" s="3280"/>
    </row>
    <row r="172" spans="1:7">
      <c r="A172" s="3273" t="s">
        <v>29</v>
      </c>
      <c r="B172" s="3262" t="s">
        <v>3195</v>
      </c>
      <c r="C172" s="3279"/>
      <c r="D172" s="3279"/>
      <c r="E172" s="3279"/>
      <c r="F172" s="3263">
        <v>0.05</v>
      </c>
      <c r="G172" s="3280"/>
    </row>
    <row r="173" spans="1:7">
      <c r="A173" s="3273" t="s">
        <v>29</v>
      </c>
      <c r="B173" s="3262" t="s">
        <v>3196</v>
      </c>
      <c r="C173" s="3279"/>
      <c r="D173" s="3279"/>
      <c r="E173" s="3279"/>
      <c r="F173" s="3263">
        <v>0.05</v>
      </c>
      <c r="G173" s="3275"/>
    </row>
    <row r="174" spans="1:7">
      <c r="A174" s="3273" t="s">
        <v>29</v>
      </c>
      <c r="B174" s="3262" t="s">
        <v>3197</v>
      </c>
      <c r="C174" s="3279"/>
      <c r="D174" s="3279"/>
      <c r="E174" s="3279"/>
      <c r="F174" s="3263">
        <v>0.05</v>
      </c>
      <c r="G174" s="3275"/>
    </row>
    <row r="175" spans="1:7">
      <c r="A175" s="3273" t="s">
        <v>29</v>
      </c>
      <c r="B175" s="3262" t="s">
        <v>3198</v>
      </c>
      <c r="C175" s="3279"/>
      <c r="D175" s="3279"/>
      <c r="E175" s="3279"/>
      <c r="F175" s="3263">
        <v>0.05</v>
      </c>
      <c r="G175" s="3275"/>
    </row>
    <row r="176" spans="1:7">
      <c r="A176" s="3273" t="s">
        <v>29</v>
      </c>
      <c r="B176" s="3262" t="s">
        <v>3199</v>
      </c>
      <c r="C176" s="3279"/>
      <c r="D176" s="3279"/>
      <c r="E176" s="3279"/>
      <c r="F176" s="3263">
        <v>0.05</v>
      </c>
      <c r="G176" s="3275"/>
    </row>
    <row r="177" spans="1:7">
      <c r="A177" s="3273" t="s">
        <v>29</v>
      </c>
      <c r="B177" s="3262" t="s">
        <v>3200</v>
      </c>
      <c r="C177" s="3274"/>
      <c r="D177" s="3274"/>
      <c r="E177" s="3274"/>
      <c r="F177" s="3263">
        <v>0.05</v>
      </c>
      <c r="G177" s="3280"/>
    </row>
    <row r="178" spans="1:7">
      <c r="A178" s="3273" t="s">
        <v>29</v>
      </c>
      <c r="B178" s="3262" t="s">
        <v>3201</v>
      </c>
      <c r="C178" s="3274"/>
      <c r="D178" s="3274"/>
      <c r="E178" s="3274"/>
      <c r="F178" s="3263">
        <v>0.05</v>
      </c>
      <c r="G178" s="3280"/>
    </row>
    <row r="179" spans="1:7">
      <c r="A179" s="3273" t="s">
        <v>29</v>
      </c>
      <c r="B179" s="3262" t="s">
        <v>3202</v>
      </c>
      <c r="C179" s="3274"/>
      <c r="D179" s="3274"/>
      <c r="E179" s="3274"/>
      <c r="F179" s="3263">
        <v>0.05</v>
      </c>
      <c r="G179" s="3280"/>
    </row>
    <row r="180" spans="1:7">
      <c r="A180" s="3273" t="s">
        <v>29</v>
      </c>
      <c r="B180" s="3262" t="s">
        <v>3203</v>
      </c>
      <c r="C180" s="3274"/>
      <c r="D180" s="3274"/>
      <c r="E180" s="3274"/>
      <c r="F180" s="3263">
        <v>0.05</v>
      </c>
      <c r="G180" s="3280"/>
    </row>
    <row r="181" spans="1:7">
      <c r="A181" s="3273" t="s">
        <v>29</v>
      </c>
      <c r="B181" s="3262" t="s">
        <v>3204</v>
      </c>
      <c r="C181" s="3274"/>
      <c r="D181" s="3274"/>
      <c r="E181" s="3274"/>
      <c r="F181" s="3263">
        <v>0.05</v>
      </c>
      <c r="G181" s="3280"/>
    </row>
    <row r="182" spans="1:7">
      <c r="A182" s="3273" t="s">
        <v>29</v>
      </c>
      <c r="B182" s="3262" t="s">
        <v>3205</v>
      </c>
      <c r="C182" s="3274"/>
      <c r="D182" s="3274"/>
      <c r="E182" s="3274"/>
      <c r="F182" s="3263">
        <v>0.05</v>
      </c>
      <c r="G182" s="3280"/>
    </row>
    <row r="183" spans="1:7">
      <c r="A183" s="3273" t="s">
        <v>29</v>
      </c>
      <c r="B183" s="3262" t="s">
        <v>3206</v>
      </c>
      <c r="C183" s="3274"/>
      <c r="D183" s="3274"/>
      <c r="E183" s="3274"/>
      <c r="F183" s="3263">
        <v>0.05</v>
      </c>
      <c r="G183" s="3280"/>
    </row>
    <row r="184" spans="1:7">
      <c r="A184" s="3273" t="s">
        <v>29</v>
      </c>
      <c r="B184" s="3262" t="s">
        <v>3207</v>
      </c>
      <c r="C184" s="3274"/>
      <c r="D184" s="3274"/>
      <c r="E184" s="3274"/>
      <c r="F184" s="3263">
        <v>0.05</v>
      </c>
      <c r="G184" s="3280"/>
    </row>
    <row r="185" spans="1:7">
      <c r="A185" s="3273" t="s">
        <v>29</v>
      </c>
      <c r="B185" s="3262" t="s">
        <v>3208</v>
      </c>
      <c r="C185" s="3274"/>
      <c r="D185" s="3274"/>
      <c r="E185" s="3274"/>
      <c r="F185" s="3263">
        <v>0.05</v>
      </c>
      <c r="G185" s="3280"/>
    </row>
    <row r="186" spans="1:7">
      <c r="A186" s="3273" t="s">
        <v>29</v>
      </c>
      <c r="B186" s="3262" t="s">
        <v>3209</v>
      </c>
      <c r="C186" s="3274"/>
      <c r="D186" s="3274"/>
      <c r="E186" s="3274"/>
      <c r="F186" s="3263">
        <v>0.05</v>
      </c>
      <c r="G186" s="3280"/>
    </row>
    <row r="187" spans="1:7">
      <c r="A187" s="3273" t="s">
        <v>29</v>
      </c>
      <c r="B187" s="3262" t="s">
        <v>3210</v>
      </c>
      <c r="C187" s="3274"/>
      <c r="D187" s="3274"/>
      <c r="E187" s="3274"/>
      <c r="F187" s="3263">
        <v>0.05</v>
      </c>
      <c r="G187" s="3280"/>
    </row>
    <row r="188" spans="1:7">
      <c r="A188" s="3273" t="s">
        <v>29</v>
      </c>
      <c r="B188" s="3262" t="s">
        <v>3211</v>
      </c>
      <c r="C188" s="3274"/>
      <c r="D188" s="3274"/>
      <c r="E188" s="3274"/>
      <c r="F188" s="3263">
        <v>0.05</v>
      </c>
      <c r="G188" s="3280"/>
    </row>
    <row r="189" spans="1:7" ht="14.25" thickBot="1">
      <c r="A189" s="3276" t="s">
        <v>29</v>
      </c>
      <c r="B189" s="3266" t="s">
        <v>3212</v>
      </c>
      <c r="C189" s="3268"/>
      <c r="D189" s="3268"/>
      <c r="E189" s="3268"/>
      <c r="F189" s="3267">
        <v>0.05</v>
      </c>
      <c r="G189" s="3281"/>
    </row>
    <row r="190" spans="1:7">
      <c r="A190" s="3272" t="s">
        <v>304</v>
      </c>
      <c r="B190" s="3258" t="s">
        <v>2868</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2904</v>
      </c>
      <c r="C199" s="3263">
        <v>0.13</v>
      </c>
      <c r="D199" s="3263">
        <v>0.13</v>
      </c>
      <c r="E199" s="3263">
        <v>0.13</v>
      </c>
      <c r="F199" s="3263">
        <v>0.13</v>
      </c>
      <c r="G199" s="3264">
        <v>0.13</v>
      </c>
    </row>
    <row r="200" spans="1:7">
      <c r="A200" s="3273" t="s">
        <v>304</v>
      </c>
      <c r="B200" s="3262" t="s">
        <v>2907</v>
      </c>
      <c r="C200" s="3279"/>
      <c r="D200" s="3279"/>
      <c r="E200" s="3279"/>
      <c r="F200" s="3263">
        <v>0.13</v>
      </c>
      <c r="G200" s="3275"/>
    </row>
    <row r="201" spans="1:7">
      <c r="A201" s="3273" t="s">
        <v>304</v>
      </c>
      <c r="B201" s="3262" t="s">
        <v>2912</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2915</v>
      </c>
      <c r="C203" s="3263">
        <v>0.129</v>
      </c>
      <c r="D203" s="3263">
        <v>0.129</v>
      </c>
      <c r="E203" s="3263">
        <v>0.13</v>
      </c>
      <c r="F203" s="3263">
        <v>0.13</v>
      </c>
      <c r="G203" s="3264">
        <v>0.13</v>
      </c>
    </row>
    <row r="204" spans="1:7">
      <c r="A204" s="3273" t="s">
        <v>304</v>
      </c>
      <c r="B204" s="3262" t="s">
        <v>2918</v>
      </c>
      <c r="C204" s="3263">
        <v>0.129</v>
      </c>
      <c r="D204" s="3263">
        <v>0.129</v>
      </c>
      <c r="E204" s="3263">
        <v>0.123</v>
      </c>
      <c r="F204" s="3263">
        <v>0.13</v>
      </c>
      <c r="G204" s="3264">
        <v>0.13</v>
      </c>
    </row>
    <row r="205" spans="1:7">
      <c r="A205" s="3273" t="s">
        <v>304</v>
      </c>
      <c r="B205" s="3262" t="s">
        <v>2920</v>
      </c>
      <c r="C205" s="3263">
        <v>0.13</v>
      </c>
      <c r="D205" s="3263">
        <v>0.13</v>
      </c>
      <c r="E205" s="3263">
        <v>0.13</v>
      </c>
      <c r="F205" s="3263">
        <v>0.13</v>
      </c>
      <c r="G205" s="3264">
        <v>0.13</v>
      </c>
    </row>
    <row r="206" spans="1:7">
      <c r="A206" s="3273" t="s">
        <v>304</v>
      </c>
      <c r="B206" s="3262" t="s">
        <v>2923</v>
      </c>
      <c r="C206" s="3263">
        <v>0.13</v>
      </c>
      <c r="D206" s="3263">
        <v>0.13</v>
      </c>
      <c r="E206" s="3263">
        <v>0.13</v>
      </c>
      <c r="F206" s="3263">
        <v>0.128</v>
      </c>
      <c r="G206" s="3264">
        <v>0.13</v>
      </c>
    </row>
    <row r="207" spans="1:7">
      <c r="A207" s="3273" t="s">
        <v>304</v>
      </c>
      <c r="B207" s="3262" t="s">
        <v>2925</v>
      </c>
      <c r="C207" s="3263">
        <v>0.13</v>
      </c>
      <c r="D207" s="3263">
        <v>0.13</v>
      </c>
      <c r="E207" s="3263">
        <v>0.13</v>
      </c>
      <c r="F207" s="3263">
        <v>0.13</v>
      </c>
      <c r="G207" s="3264">
        <v>0.13</v>
      </c>
    </row>
    <row r="208" spans="1:7">
      <c r="A208" s="3273" t="s">
        <v>304</v>
      </c>
      <c r="B208" s="3262" t="s">
        <v>2928</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2935</v>
      </c>
      <c r="C210" s="3263">
        <v>0.121</v>
      </c>
      <c r="D210" s="3263">
        <v>0.121</v>
      </c>
      <c r="E210" s="3263">
        <v>0.125</v>
      </c>
      <c r="F210" s="3263">
        <v>0.13</v>
      </c>
      <c r="G210" s="3264">
        <v>0.123</v>
      </c>
    </row>
    <row r="211" spans="1:7">
      <c r="A211" s="3273" t="s">
        <v>304</v>
      </c>
      <c r="B211" s="3262" t="s">
        <v>2938</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2950</v>
      </c>
      <c r="C214" s="3263">
        <v>0.128</v>
      </c>
      <c r="D214" s="3263">
        <v>0.128</v>
      </c>
      <c r="E214" s="3263">
        <v>0.13</v>
      </c>
      <c r="F214" s="3263">
        <v>0.13</v>
      </c>
      <c r="G214" s="3264">
        <v>0.13</v>
      </c>
    </row>
    <row r="215" spans="1:7">
      <c r="A215" s="3273" t="s">
        <v>304</v>
      </c>
      <c r="B215" s="3262" t="s">
        <v>2954</v>
      </c>
      <c r="C215" s="3263">
        <v>0.13</v>
      </c>
      <c r="D215" s="3263">
        <v>0.13</v>
      </c>
      <c r="E215" s="3263">
        <v>0.13</v>
      </c>
      <c r="F215" s="3263">
        <v>0.129</v>
      </c>
      <c r="G215" s="3264">
        <v>0.13</v>
      </c>
    </row>
    <row r="216" spans="1:7">
      <c r="A216" s="3273" t="s">
        <v>304</v>
      </c>
      <c r="B216" s="3262" t="s">
        <v>2961</v>
      </c>
      <c r="C216" s="3263">
        <v>0.13</v>
      </c>
      <c r="D216" s="3263">
        <v>0.13</v>
      </c>
      <c r="E216" s="3263">
        <v>0.13</v>
      </c>
      <c r="F216" s="3263">
        <v>0.13</v>
      </c>
      <c r="G216" s="3264">
        <v>0.13</v>
      </c>
    </row>
    <row r="217" spans="1:7">
      <c r="A217" s="3273" t="s">
        <v>304</v>
      </c>
      <c r="B217" s="3262" t="s">
        <v>2968</v>
      </c>
      <c r="C217" s="3263">
        <v>0.129</v>
      </c>
      <c r="D217" s="3263">
        <v>0.129</v>
      </c>
      <c r="E217" s="3263">
        <v>0.13</v>
      </c>
      <c r="F217" s="3263">
        <v>0.13</v>
      </c>
      <c r="G217" s="3264">
        <v>0.13</v>
      </c>
    </row>
    <row r="218" spans="1:7">
      <c r="A218" s="3273" t="s">
        <v>304</v>
      </c>
      <c r="B218" s="3262" t="s">
        <v>2974</v>
      </c>
      <c r="C218" s="3274"/>
      <c r="D218" s="3274"/>
      <c r="E218" s="3274"/>
      <c r="F218" s="3263">
        <v>0.05</v>
      </c>
      <c r="G218" s="3280"/>
    </row>
    <row r="219" spans="1:7">
      <c r="A219" s="3273" t="s">
        <v>304</v>
      </c>
      <c r="B219" s="3262" t="s">
        <v>2981</v>
      </c>
      <c r="C219" s="3274"/>
      <c r="D219" s="3274"/>
      <c r="E219" s="3274"/>
      <c r="F219" s="3263">
        <v>0.05</v>
      </c>
      <c r="G219" s="3280"/>
    </row>
    <row r="220" spans="1:7">
      <c r="A220" s="3273" t="s">
        <v>304</v>
      </c>
      <c r="B220" s="3262" t="s">
        <v>2987</v>
      </c>
      <c r="C220" s="3274"/>
      <c r="D220" s="3274"/>
      <c r="E220" s="3274"/>
      <c r="F220" s="3263">
        <v>0.05</v>
      </c>
      <c r="G220" s="3280"/>
    </row>
    <row r="221" spans="1:7">
      <c r="A221" s="3273" t="s">
        <v>304</v>
      </c>
      <c r="B221" s="3262" t="s">
        <v>2992</v>
      </c>
      <c r="C221" s="3274"/>
      <c r="D221" s="3274"/>
      <c r="E221" s="3274"/>
      <c r="F221" s="3263">
        <v>0.05</v>
      </c>
      <c r="G221" s="3280"/>
    </row>
    <row r="222" spans="1:7">
      <c r="A222" s="3273" t="s">
        <v>304</v>
      </c>
      <c r="B222" s="3262" t="s">
        <v>2996</v>
      </c>
      <c r="C222" s="3274"/>
      <c r="D222" s="3274"/>
      <c r="E222" s="3274"/>
      <c r="F222" s="3263">
        <v>0.05</v>
      </c>
      <c r="G222" s="3280"/>
    </row>
    <row r="223" spans="1:7">
      <c r="A223" s="3273" t="s">
        <v>304</v>
      </c>
      <c r="B223" s="3262" t="s">
        <v>3001</v>
      </c>
      <c r="C223" s="3274"/>
      <c r="D223" s="3274"/>
      <c r="E223" s="3274"/>
      <c r="F223" s="3263">
        <v>0.05</v>
      </c>
      <c r="G223" s="3280"/>
    </row>
    <row r="224" spans="1:7">
      <c r="A224" s="3273" t="s">
        <v>304</v>
      </c>
      <c r="B224" s="3262" t="s">
        <v>3006</v>
      </c>
      <c r="C224" s="3274"/>
      <c r="D224" s="3274"/>
      <c r="E224" s="3274"/>
      <c r="F224" s="3263">
        <v>0.05</v>
      </c>
      <c r="G224" s="3280"/>
    </row>
    <row r="225" spans="1:7">
      <c r="A225" s="3273" t="s">
        <v>304</v>
      </c>
      <c r="B225" s="3262" t="s">
        <v>3011</v>
      </c>
      <c r="C225" s="3274"/>
      <c r="D225" s="3274"/>
      <c r="E225" s="3274"/>
      <c r="F225" s="3263">
        <v>0.05</v>
      </c>
      <c r="G225" s="3280"/>
    </row>
    <row r="226" spans="1:7">
      <c r="A226" s="3273" t="s">
        <v>304</v>
      </c>
      <c r="B226" s="3262" t="s">
        <v>3213</v>
      </c>
      <c r="C226" s="3274"/>
      <c r="D226" s="3274"/>
      <c r="E226" s="3274"/>
      <c r="F226" s="3263">
        <v>0.05</v>
      </c>
      <c r="G226" s="3280"/>
    </row>
    <row r="227" spans="1:7">
      <c r="A227" s="3273" t="s">
        <v>304</v>
      </c>
      <c r="B227" s="3262" t="s">
        <v>3214</v>
      </c>
      <c r="C227" s="3274"/>
      <c r="D227" s="3274"/>
      <c r="E227" s="3274"/>
      <c r="F227" s="3263">
        <v>0.05</v>
      </c>
      <c r="G227" s="3280"/>
    </row>
    <row r="228" spans="1:7">
      <c r="A228" s="3273" t="s">
        <v>304</v>
      </c>
      <c r="B228" s="3262" t="s">
        <v>3215</v>
      </c>
      <c r="C228" s="3274"/>
      <c r="D228" s="3274"/>
      <c r="E228" s="3274"/>
      <c r="F228" s="3263">
        <v>0.05</v>
      </c>
      <c r="G228" s="3280"/>
    </row>
    <row r="229" spans="1:7">
      <c r="A229" s="3273" t="s">
        <v>304</v>
      </c>
      <c r="B229" s="3262" t="s">
        <v>3216</v>
      </c>
      <c r="C229" s="3274"/>
      <c r="D229" s="3274"/>
      <c r="E229" s="3274"/>
      <c r="F229" s="3263">
        <v>0.05</v>
      </c>
      <c r="G229" s="3280"/>
    </row>
    <row r="230" spans="1:7">
      <c r="A230" s="3273" t="s">
        <v>304</v>
      </c>
      <c r="B230" s="3262" t="s">
        <v>3217</v>
      </c>
      <c r="C230" s="3274"/>
      <c r="D230" s="3274"/>
      <c r="E230" s="3274"/>
      <c r="F230" s="3263">
        <v>0.05</v>
      </c>
      <c r="G230" s="3280"/>
    </row>
    <row r="231" spans="1:7">
      <c r="A231" s="3273" t="s">
        <v>304</v>
      </c>
      <c r="B231" s="3262" t="s">
        <v>3218</v>
      </c>
      <c r="C231" s="3274"/>
      <c r="D231" s="3274"/>
      <c r="E231" s="3274"/>
      <c r="F231" s="3263">
        <v>0.05</v>
      </c>
      <c r="G231" s="3280"/>
    </row>
    <row r="232" spans="1:7">
      <c r="A232" s="3273" t="s">
        <v>304</v>
      </c>
      <c r="B232" s="3262" t="s">
        <v>3219</v>
      </c>
      <c r="C232" s="3274"/>
      <c r="D232" s="3274"/>
      <c r="E232" s="3274"/>
      <c r="F232" s="3263">
        <v>0.05</v>
      </c>
      <c r="G232" s="3280"/>
    </row>
    <row r="233" spans="1:7" ht="14.25" thickBot="1">
      <c r="A233" s="3276" t="s">
        <v>304</v>
      </c>
      <c r="B233" s="3266" t="s">
        <v>3220</v>
      </c>
      <c r="C233" s="3268"/>
      <c r="D233" s="3268"/>
      <c r="E233" s="3268"/>
      <c r="F233" s="3267">
        <v>0.05</v>
      </c>
      <c r="G233" s="3281"/>
    </row>
    <row r="234" spans="1:7">
      <c r="A234" s="3272" t="s">
        <v>305</v>
      </c>
      <c r="B234" s="3258" t="s">
        <v>2869</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2889</v>
      </c>
      <c r="C238" s="3263">
        <v>0.14899999999999999</v>
      </c>
      <c r="D238" s="3263">
        <v>0.14899999999999999</v>
      </c>
      <c r="E238" s="3263">
        <v>0.15</v>
      </c>
      <c r="F238" s="3263">
        <v>0.15</v>
      </c>
      <c r="G238" s="3264">
        <v>0.15</v>
      </c>
    </row>
    <row r="239" spans="1:7">
      <c r="A239" s="3273" t="s">
        <v>305</v>
      </c>
      <c r="B239" s="3262" t="s">
        <v>2893</v>
      </c>
      <c r="C239" s="3263">
        <v>0.15</v>
      </c>
      <c r="D239" s="3263">
        <v>0.15</v>
      </c>
      <c r="E239" s="3263">
        <v>0.15</v>
      </c>
      <c r="F239" s="3263">
        <v>0.15</v>
      </c>
      <c r="G239" s="3264">
        <v>0.15</v>
      </c>
    </row>
    <row r="240" spans="1:7">
      <c r="A240" s="3273" t="s">
        <v>305</v>
      </c>
      <c r="B240" s="3262" t="s">
        <v>2898</v>
      </c>
      <c r="C240" s="3263">
        <v>0.15</v>
      </c>
      <c r="D240" s="3263">
        <v>0.15</v>
      </c>
      <c r="E240" s="3263">
        <v>0.15</v>
      </c>
      <c r="F240" s="3263">
        <v>0.15</v>
      </c>
      <c r="G240" s="3264">
        <v>0.15</v>
      </c>
    </row>
    <row r="241" spans="1:7">
      <c r="A241" s="3273" t="s">
        <v>305</v>
      </c>
      <c r="B241" s="3262" t="s">
        <v>2902</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2908</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2916</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2921</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2929</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2942</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2951</v>
      </c>
      <c r="C258" s="3263">
        <v>0.14299999999999999</v>
      </c>
      <c r="D258" s="3263">
        <v>0.14299999999999999</v>
      </c>
      <c r="E258" s="3263">
        <v>0.15</v>
      </c>
      <c r="F258" s="3263">
        <v>0.14799999999999999</v>
      </c>
      <c r="G258" s="3264">
        <v>0.14599999999999999</v>
      </c>
    </row>
    <row r="259" spans="1:7">
      <c r="A259" s="3273" t="s">
        <v>305</v>
      </c>
      <c r="B259" s="3262" t="s">
        <v>2955</v>
      </c>
      <c r="C259" s="3263">
        <v>0.14399999999999999</v>
      </c>
      <c r="D259" s="3263">
        <v>0.14399999999999999</v>
      </c>
      <c r="E259" s="3263">
        <v>0.14899999999999999</v>
      </c>
      <c r="F259" s="3263">
        <v>0.14699999999999999</v>
      </c>
      <c r="G259" s="3264">
        <v>0.14599999999999999</v>
      </c>
    </row>
    <row r="260" spans="1:7">
      <c r="A260" s="3273" t="s">
        <v>305</v>
      </c>
      <c r="B260" s="3262" t="s">
        <v>2962</v>
      </c>
      <c r="C260" s="3263">
        <v>0.109</v>
      </c>
      <c r="D260" s="3263">
        <v>0.111</v>
      </c>
      <c r="E260" s="3263">
        <v>0.13100000000000001</v>
      </c>
      <c r="F260" s="3263">
        <v>0.126</v>
      </c>
      <c r="G260" s="3264">
        <v>0.11899999999999999</v>
      </c>
    </row>
    <row r="261" spans="1:7">
      <c r="A261" s="3273" t="s">
        <v>305</v>
      </c>
      <c r="B261" s="3262" t="s">
        <v>2969</v>
      </c>
      <c r="C261" s="3263">
        <v>0.1</v>
      </c>
      <c r="D261" s="3263">
        <v>0.1</v>
      </c>
      <c r="E261" s="3263">
        <v>0.11799999999999999</v>
      </c>
      <c r="F261" s="3263">
        <v>0.108</v>
      </c>
      <c r="G261" s="3264">
        <v>0.107</v>
      </c>
    </row>
    <row r="262" spans="1:7">
      <c r="A262" s="3273" t="s">
        <v>305</v>
      </c>
      <c r="B262" s="3262" t="s">
        <v>2975</v>
      </c>
      <c r="C262" s="3263">
        <v>0.1</v>
      </c>
      <c r="D262" s="3263">
        <v>0.1</v>
      </c>
      <c r="E262" s="3263">
        <v>0.1</v>
      </c>
      <c r="F262" s="3263">
        <v>0.14099999999999999</v>
      </c>
      <c r="G262" s="3264">
        <v>0.1</v>
      </c>
    </row>
    <row r="263" spans="1:7">
      <c r="A263" s="3273" t="s">
        <v>305</v>
      </c>
      <c r="B263" s="3262" t="s">
        <v>2982</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2993</v>
      </c>
      <c r="C265" s="3274"/>
      <c r="D265" s="3274"/>
      <c r="E265" s="3274"/>
      <c r="F265" s="3263">
        <v>0.05</v>
      </c>
      <c r="G265" s="3280"/>
    </row>
    <row r="266" spans="1:7">
      <c r="A266" s="3273" t="s">
        <v>305</v>
      </c>
      <c r="B266" s="3262" t="s">
        <v>2997</v>
      </c>
      <c r="C266" s="3274"/>
      <c r="D266" s="3274"/>
      <c r="E266" s="3274"/>
      <c r="F266" s="3263">
        <v>0.05</v>
      </c>
      <c r="G266" s="3280"/>
    </row>
    <row r="267" spans="1:7">
      <c r="A267" s="3273" t="s">
        <v>305</v>
      </c>
      <c r="B267" s="3262" t="s">
        <v>3002</v>
      </c>
      <c r="C267" s="3274"/>
      <c r="D267" s="3274"/>
      <c r="E267" s="3274"/>
      <c r="F267" s="3263">
        <v>0.05</v>
      </c>
      <c r="G267" s="3280"/>
    </row>
    <row r="268" spans="1:7">
      <c r="A268" s="3273" t="s">
        <v>305</v>
      </c>
      <c r="B268" s="3262" t="s">
        <v>3007</v>
      </c>
      <c r="C268" s="3274"/>
      <c r="D268" s="3274"/>
      <c r="E268" s="3274"/>
      <c r="F268" s="3263">
        <v>0.05</v>
      </c>
      <c r="G268" s="3280"/>
    </row>
    <row r="269" spans="1:7">
      <c r="A269" s="3273" t="s">
        <v>305</v>
      </c>
      <c r="B269" s="3262" t="s">
        <v>3012</v>
      </c>
      <c r="C269" s="3274"/>
      <c r="D269" s="3274"/>
      <c r="E269" s="3274"/>
      <c r="F269" s="3263">
        <v>0.05</v>
      </c>
      <c r="G269" s="3280"/>
    </row>
    <row r="270" spans="1:7">
      <c r="A270" s="3273" t="s">
        <v>305</v>
      </c>
      <c r="B270" s="3262" t="s">
        <v>3017</v>
      </c>
      <c r="C270" s="3274"/>
      <c r="D270" s="3274"/>
      <c r="E270" s="3274"/>
      <c r="F270" s="3263">
        <v>0.05</v>
      </c>
      <c r="G270" s="3280"/>
    </row>
    <row r="271" spans="1:7">
      <c r="A271" s="3273" t="s">
        <v>305</v>
      </c>
      <c r="B271" s="3262" t="s">
        <v>3221</v>
      </c>
      <c r="C271" s="3274"/>
      <c r="D271" s="3274"/>
      <c r="E271" s="3274"/>
      <c r="F271" s="3263">
        <v>0.05</v>
      </c>
      <c r="G271" s="3280"/>
    </row>
    <row r="272" spans="1:7">
      <c r="A272" s="3273" t="s">
        <v>305</v>
      </c>
      <c r="B272" s="3262" t="s">
        <v>3222</v>
      </c>
      <c r="C272" s="3274"/>
      <c r="D272" s="3274"/>
      <c r="E272" s="3274"/>
      <c r="F272" s="3263">
        <v>0.05</v>
      </c>
      <c r="G272" s="3280"/>
    </row>
    <row r="273" spans="1:7">
      <c r="A273" s="3273" t="s">
        <v>305</v>
      </c>
      <c r="B273" s="3262" t="s">
        <v>3223</v>
      </c>
      <c r="C273" s="3274"/>
      <c r="D273" s="3274"/>
      <c r="E273" s="3274"/>
      <c r="F273" s="3263">
        <v>0.05</v>
      </c>
      <c r="G273" s="3280"/>
    </row>
    <row r="274" spans="1:7">
      <c r="A274" s="3273" t="s">
        <v>305</v>
      </c>
      <c r="B274" s="3262" t="s">
        <v>3224</v>
      </c>
      <c r="C274" s="3274"/>
      <c r="D274" s="3274"/>
      <c r="E274" s="3274"/>
      <c r="F274" s="3263">
        <v>0.05</v>
      </c>
      <c r="G274" s="3280"/>
    </row>
    <row r="275" spans="1:7">
      <c r="A275" s="3273" t="s">
        <v>305</v>
      </c>
      <c r="B275" s="3262" t="s">
        <v>3225</v>
      </c>
      <c r="C275" s="3274"/>
      <c r="D275" s="3274"/>
      <c r="E275" s="3274"/>
      <c r="F275" s="3263">
        <v>0.05</v>
      </c>
      <c r="G275" s="3280"/>
    </row>
    <row r="276" spans="1:7" ht="14.25" thickBot="1">
      <c r="A276" s="3276" t="s">
        <v>305</v>
      </c>
      <c r="B276" s="3266" t="s">
        <v>3226</v>
      </c>
      <c r="C276" s="3268"/>
      <c r="D276" s="3268"/>
      <c r="E276" s="3268"/>
      <c r="F276" s="3267">
        <v>0.05</v>
      </c>
      <c r="G276" s="3281"/>
    </row>
    <row r="277" spans="1:7">
      <c r="A277" s="3272" t="s">
        <v>306</v>
      </c>
      <c r="B277" s="3258" t="s">
        <v>2870</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2882</v>
      </c>
      <c r="C279" s="3263">
        <v>0.15</v>
      </c>
      <c r="D279" s="3263">
        <v>0.15</v>
      </c>
      <c r="E279" s="3263">
        <v>0.15</v>
      </c>
      <c r="F279" s="3263">
        <v>0.15</v>
      </c>
      <c r="G279" s="3264">
        <v>0.15</v>
      </c>
    </row>
    <row r="280" spans="1:7">
      <c r="A280" s="3273" t="s">
        <v>306</v>
      </c>
      <c r="B280" s="3262" t="s">
        <v>2886</v>
      </c>
      <c r="C280" s="3263">
        <v>0.15</v>
      </c>
      <c r="D280" s="3263">
        <v>0.15</v>
      </c>
      <c r="E280" s="3263">
        <v>0.15</v>
      </c>
      <c r="F280" s="3263">
        <v>0.15</v>
      </c>
      <c r="G280" s="3264">
        <v>0.15</v>
      </c>
    </row>
    <row r="281" spans="1:7">
      <c r="A281" s="3273" t="s">
        <v>306</v>
      </c>
      <c r="B281" s="3262" t="s">
        <v>2890</v>
      </c>
      <c r="C281" s="3263">
        <v>0.15</v>
      </c>
      <c r="D281" s="3263">
        <v>0.15</v>
      </c>
      <c r="E281" s="3263">
        <v>0.15</v>
      </c>
      <c r="F281" s="3263">
        <v>0.15</v>
      </c>
      <c r="G281" s="3264">
        <v>0.15</v>
      </c>
    </row>
    <row r="282" spans="1:7">
      <c r="A282" s="3273" t="s">
        <v>306</v>
      </c>
      <c r="B282" s="3262" t="s">
        <v>2894</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2909</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2914</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2924</v>
      </c>
      <c r="C293" s="3263">
        <v>0.15</v>
      </c>
      <c r="D293" s="3263">
        <v>0.15</v>
      </c>
      <c r="E293" s="3263">
        <v>0.15</v>
      </c>
      <c r="F293" s="3263">
        <v>0.14499999999999999</v>
      </c>
      <c r="G293" s="3264">
        <v>0.15</v>
      </c>
    </row>
    <row r="294" spans="1:7">
      <c r="A294" s="3273" t="s">
        <v>306</v>
      </c>
      <c r="B294" s="3262" t="s">
        <v>2926</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2943</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2956</v>
      </c>
      <c r="C302" s="3263">
        <v>0.15</v>
      </c>
      <c r="D302" s="3263">
        <v>0.15</v>
      </c>
      <c r="E302" s="3263">
        <v>0.15</v>
      </c>
      <c r="F302" s="3263">
        <v>0.14699999999999999</v>
      </c>
      <c r="G302" s="3264">
        <v>0.15</v>
      </c>
    </row>
    <row r="303" spans="1:7">
      <c r="A303" s="3273" t="s">
        <v>306</v>
      </c>
      <c r="B303" s="3262" t="s">
        <v>2963</v>
      </c>
      <c r="C303" s="3263">
        <v>0.15</v>
      </c>
      <c r="D303" s="3263">
        <v>0.15</v>
      </c>
      <c r="E303" s="3263">
        <v>0.15</v>
      </c>
      <c r="F303" s="3263">
        <v>0.14199999999999999</v>
      </c>
      <c r="G303" s="3264">
        <v>0.15</v>
      </c>
    </row>
    <row r="304" spans="1:7">
      <c r="A304" s="3273" t="s">
        <v>306</v>
      </c>
      <c r="B304" s="3262" t="s">
        <v>2970</v>
      </c>
      <c r="C304" s="3263">
        <v>0.15</v>
      </c>
      <c r="D304" s="3263">
        <v>0.15</v>
      </c>
      <c r="E304" s="3263">
        <v>0.15</v>
      </c>
      <c r="F304" s="3263">
        <v>0.14499999999999999</v>
      </c>
      <c r="G304" s="3264">
        <v>0.15</v>
      </c>
    </row>
    <row r="305" spans="1:7">
      <c r="A305" s="3273" t="s">
        <v>306</v>
      </c>
      <c r="B305" s="3262" t="s">
        <v>2976</v>
      </c>
      <c r="C305" s="3263">
        <v>0.15</v>
      </c>
      <c r="D305" s="3263">
        <v>0.15</v>
      </c>
      <c r="E305" s="3263">
        <v>0.15</v>
      </c>
      <c r="F305" s="3263">
        <v>0.111</v>
      </c>
      <c r="G305" s="3264">
        <v>0.15</v>
      </c>
    </row>
    <row r="306" spans="1:7">
      <c r="A306" s="3273" t="s">
        <v>306</v>
      </c>
      <c r="B306" s="3262" t="s">
        <v>2983</v>
      </c>
      <c r="C306" s="3263">
        <v>0.15</v>
      </c>
      <c r="D306" s="3263">
        <v>0.15</v>
      </c>
      <c r="E306" s="3263">
        <v>0.15</v>
      </c>
      <c r="F306" s="3263">
        <v>0.126</v>
      </c>
      <c r="G306" s="3264">
        <v>0.15</v>
      </c>
    </row>
    <row r="307" spans="1:7">
      <c r="A307" s="3273" t="s">
        <v>306</v>
      </c>
      <c r="B307" s="3262" t="s">
        <v>2988</v>
      </c>
      <c r="C307" s="3263">
        <v>0.15</v>
      </c>
      <c r="D307" s="3263">
        <v>0.15</v>
      </c>
      <c r="E307" s="3263">
        <v>0.15</v>
      </c>
      <c r="F307" s="3263">
        <v>0.12</v>
      </c>
      <c r="G307" s="3264">
        <v>0.15</v>
      </c>
    </row>
    <row r="308" spans="1:7">
      <c r="A308" s="3273" t="s">
        <v>306</v>
      </c>
      <c r="B308" s="3262" t="s">
        <v>2994</v>
      </c>
      <c r="C308" s="3263">
        <v>0.15</v>
      </c>
      <c r="D308" s="3263">
        <v>0.15</v>
      </c>
      <c r="E308" s="3263">
        <v>0.15</v>
      </c>
      <c r="F308" s="3263">
        <v>0.13</v>
      </c>
      <c r="G308" s="3264">
        <v>0.15</v>
      </c>
    </row>
    <row r="309" spans="1:7">
      <c r="A309" s="3273" t="s">
        <v>306</v>
      </c>
      <c r="B309" s="3262" t="s">
        <v>2998</v>
      </c>
      <c r="C309" s="3263">
        <v>0.15</v>
      </c>
      <c r="D309" s="3263">
        <v>0.15</v>
      </c>
      <c r="E309" s="3263">
        <v>0.15</v>
      </c>
      <c r="F309" s="3263">
        <v>0.14099999999999999</v>
      </c>
      <c r="G309" s="3264">
        <v>0.15</v>
      </c>
    </row>
    <row r="310" spans="1:7">
      <c r="A310" s="3273" t="s">
        <v>306</v>
      </c>
      <c r="B310" s="3262" t="s">
        <v>3003</v>
      </c>
      <c r="C310" s="3263">
        <v>0.15</v>
      </c>
      <c r="D310" s="3263">
        <v>0.15</v>
      </c>
      <c r="E310" s="3263">
        <v>0.15</v>
      </c>
      <c r="F310" s="3263">
        <v>0.15</v>
      </c>
      <c r="G310" s="3264">
        <v>0.15</v>
      </c>
    </row>
    <row r="311" spans="1:7">
      <c r="A311" s="3273" t="s">
        <v>306</v>
      </c>
      <c r="B311" s="3262" t="s">
        <v>3008</v>
      </c>
      <c r="C311" s="3263">
        <v>0.13200000000000001</v>
      </c>
      <c r="D311" s="3263">
        <v>0.13300000000000001</v>
      </c>
      <c r="E311" s="3263">
        <v>0.14499999999999999</v>
      </c>
      <c r="F311" s="3263">
        <v>0.14199999999999999</v>
      </c>
      <c r="G311" s="3264">
        <v>0.14000000000000001</v>
      </c>
    </row>
    <row r="312" spans="1:7">
      <c r="A312" s="3273" t="s">
        <v>306</v>
      </c>
      <c r="B312" s="3262" t="s">
        <v>3013</v>
      </c>
      <c r="C312" s="3263">
        <v>0.13800000000000001</v>
      </c>
      <c r="D312" s="3263">
        <v>0.14000000000000001</v>
      </c>
      <c r="E312" s="3263">
        <v>0.14599999999999999</v>
      </c>
      <c r="F312" s="3263">
        <v>0.14899999999999999</v>
      </c>
      <c r="G312" s="3264">
        <v>0.14199999999999999</v>
      </c>
    </row>
    <row r="313" spans="1:7">
      <c r="A313" s="3273" t="s">
        <v>306</v>
      </c>
      <c r="B313" s="3262" t="s">
        <v>3018</v>
      </c>
      <c r="C313" s="3263">
        <v>0.125</v>
      </c>
      <c r="D313" s="3263">
        <v>0.127</v>
      </c>
      <c r="E313" s="3263">
        <v>0.14399999999999999</v>
      </c>
      <c r="F313" s="3263">
        <v>0.115</v>
      </c>
      <c r="G313" s="3264">
        <v>0.13600000000000001</v>
      </c>
    </row>
    <row r="314" spans="1:7">
      <c r="A314" s="3273" t="s">
        <v>306</v>
      </c>
      <c r="B314" s="3262" t="s">
        <v>3227</v>
      </c>
      <c r="C314" s="3279"/>
      <c r="D314" s="3279"/>
      <c r="E314" s="3279"/>
      <c r="F314" s="3263">
        <v>0.05</v>
      </c>
      <c r="G314" s="3280"/>
    </row>
    <row r="315" spans="1:7">
      <c r="A315" s="3273" t="s">
        <v>306</v>
      </c>
      <c r="B315" s="3262" t="s">
        <v>3228</v>
      </c>
      <c r="C315" s="3279"/>
      <c r="D315" s="3279"/>
      <c r="E315" s="3279"/>
      <c r="F315" s="3263">
        <v>0.05</v>
      </c>
      <c r="G315" s="3280"/>
    </row>
    <row r="316" spans="1:7">
      <c r="A316" s="3273" t="s">
        <v>306</v>
      </c>
      <c r="B316" s="3262" t="s">
        <v>3229</v>
      </c>
      <c r="C316" s="3274"/>
      <c r="D316" s="3274"/>
      <c r="E316" s="3274"/>
      <c r="F316" s="3263">
        <v>0.05</v>
      </c>
      <c r="G316" s="3280"/>
    </row>
    <row r="317" spans="1:7">
      <c r="A317" s="3273" t="s">
        <v>306</v>
      </c>
      <c r="B317" s="3262" t="s">
        <v>3230</v>
      </c>
      <c r="C317" s="3274"/>
      <c r="D317" s="3274"/>
      <c r="E317" s="3274"/>
      <c r="F317" s="3263">
        <v>0.05</v>
      </c>
      <c r="G317" s="3280"/>
    </row>
    <row r="318" spans="1:7">
      <c r="A318" s="3273" t="s">
        <v>306</v>
      </c>
      <c r="B318" s="3262" t="s">
        <v>3231</v>
      </c>
      <c r="C318" s="3274"/>
      <c r="D318" s="3274"/>
      <c r="E318" s="3274"/>
      <c r="F318" s="3263">
        <v>0.05</v>
      </c>
      <c r="G318" s="3280"/>
    </row>
    <row r="319" spans="1:7">
      <c r="A319" s="3273" t="s">
        <v>306</v>
      </c>
      <c r="B319" s="3262" t="s">
        <v>3232</v>
      </c>
      <c r="C319" s="3274"/>
      <c r="D319" s="3274"/>
      <c r="E319" s="3274"/>
      <c r="F319" s="3263">
        <v>0.05</v>
      </c>
      <c r="G319" s="3280"/>
    </row>
    <row r="320" spans="1:7">
      <c r="A320" s="3273" t="s">
        <v>306</v>
      </c>
      <c r="B320" s="3262" t="s">
        <v>3233</v>
      </c>
      <c r="C320" s="3274"/>
      <c r="D320" s="3274"/>
      <c r="E320" s="3274"/>
      <c r="F320" s="3263">
        <v>0.05</v>
      </c>
      <c r="G320" s="3280"/>
    </row>
    <row r="321" spans="1:7">
      <c r="A321" s="3273" t="s">
        <v>306</v>
      </c>
      <c r="B321" s="3262" t="s">
        <v>3234</v>
      </c>
      <c r="C321" s="3274"/>
      <c r="D321" s="3274"/>
      <c r="E321" s="3274"/>
      <c r="F321" s="3263">
        <v>0.05</v>
      </c>
      <c r="G321" s="3280"/>
    </row>
    <row r="322" spans="1:7">
      <c r="A322" s="3273" t="s">
        <v>306</v>
      </c>
      <c r="B322" s="3262" t="s">
        <v>3235</v>
      </c>
      <c r="C322" s="3274"/>
      <c r="D322" s="3274"/>
      <c r="E322" s="3274"/>
      <c r="F322" s="3263">
        <v>0.05</v>
      </c>
      <c r="G322" s="3280"/>
    </row>
    <row r="323" spans="1:7">
      <c r="A323" s="3273" t="s">
        <v>306</v>
      </c>
      <c r="B323" s="3262" t="s">
        <v>3236</v>
      </c>
      <c r="C323" s="3274"/>
      <c r="D323" s="3274"/>
      <c r="E323" s="3274"/>
      <c r="F323" s="3263">
        <v>0.05</v>
      </c>
      <c r="G323" s="3280"/>
    </row>
    <row r="324" spans="1:7">
      <c r="A324" s="3273" t="s">
        <v>306</v>
      </c>
      <c r="B324" s="3262" t="s">
        <v>3237</v>
      </c>
      <c r="C324" s="3274"/>
      <c r="D324" s="3274"/>
      <c r="E324" s="3274"/>
      <c r="F324" s="3263">
        <v>0.05</v>
      </c>
      <c r="G324" s="3280"/>
    </row>
    <row r="325" spans="1:7">
      <c r="A325" s="3273" t="s">
        <v>306</v>
      </c>
      <c r="B325" s="3262" t="s">
        <v>3238</v>
      </c>
      <c r="C325" s="3274"/>
      <c r="D325" s="3274"/>
      <c r="E325" s="3274"/>
      <c r="F325" s="3263">
        <v>0.05</v>
      </c>
      <c r="G325" s="3280"/>
    </row>
    <row r="326" spans="1:7" ht="14.25" thickBot="1">
      <c r="A326" s="3276" t="s">
        <v>306</v>
      </c>
      <c r="B326" s="3266" t="s">
        <v>3239</v>
      </c>
      <c r="C326" s="3268"/>
      <c r="D326" s="3268"/>
      <c r="E326" s="3268"/>
      <c r="F326" s="3267">
        <v>0.05</v>
      </c>
      <c r="G326" s="3281"/>
    </row>
    <row r="327" spans="1:7">
      <c r="A327" s="3272" t="s">
        <v>307</v>
      </c>
      <c r="B327" s="3258" t="s">
        <v>2871</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2883</v>
      </c>
      <c r="C329" s="3263">
        <v>0.15</v>
      </c>
      <c r="D329" s="3263">
        <v>0.15</v>
      </c>
      <c r="E329" s="3263">
        <v>0.15</v>
      </c>
      <c r="F329" s="3263">
        <v>0.15</v>
      </c>
      <c r="G329" s="3264">
        <v>0.15</v>
      </c>
    </row>
    <row r="330" spans="1:7">
      <c r="A330" s="3273" t="s">
        <v>307</v>
      </c>
      <c r="B330" s="3262" t="s">
        <v>2887</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2895</v>
      </c>
      <c r="C332" s="3263">
        <v>0.15</v>
      </c>
      <c r="D332" s="3263">
        <v>0.15</v>
      </c>
      <c r="E332" s="3263">
        <v>0.15</v>
      </c>
      <c r="F332" s="3263">
        <v>0.15</v>
      </c>
      <c r="G332" s="3264">
        <v>0.15</v>
      </c>
    </row>
    <row r="333" spans="1:7">
      <c r="A333" s="3273" t="s">
        <v>307</v>
      </c>
      <c r="B333" s="3262" t="s">
        <v>2899</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2905</v>
      </c>
      <c r="C336" s="3263">
        <v>0.15</v>
      </c>
      <c r="D336" s="3263">
        <v>0.15</v>
      </c>
      <c r="E336" s="3263">
        <v>0.15</v>
      </c>
      <c r="F336" s="3263">
        <v>0.14199999999999999</v>
      </c>
      <c r="G336" s="3264">
        <v>0.15</v>
      </c>
    </row>
    <row r="337" spans="1:7">
      <c r="A337" s="3273" t="s">
        <v>307</v>
      </c>
      <c r="B337" s="3262" t="s">
        <v>2910</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2917</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2922</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2930</v>
      </c>
      <c r="C345" s="3263">
        <v>0.15</v>
      </c>
      <c r="D345" s="3263">
        <v>0.15</v>
      </c>
      <c r="E345" s="3263">
        <v>0.15</v>
      </c>
      <c r="F345" s="3263">
        <v>0.13800000000000001</v>
      </c>
      <c r="G345" s="3264">
        <v>0.15</v>
      </c>
    </row>
    <row r="346" spans="1:7">
      <c r="A346" s="3273" t="s">
        <v>307</v>
      </c>
      <c r="B346" s="3262" t="s">
        <v>2932</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2939</v>
      </c>
      <c r="C348" s="3263">
        <v>0.15</v>
      </c>
      <c r="D348" s="3263">
        <v>0.15</v>
      </c>
      <c r="E348" s="3263">
        <v>0.15</v>
      </c>
      <c r="F348" s="3263">
        <v>0.14399999999999999</v>
      </c>
      <c r="G348" s="3264">
        <v>0.15</v>
      </c>
    </row>
    <row r="349" spans="1:7">
      <c r="A349" s="3273" t="s">
        <v>307</v>
      </c>
      <c r="B349" s="3262" t="s">
        <v>2944</v>
      </c>
      <c r="C349" s="3263">
        <v>0.15</v>
      </c>
      <c r="D349" s="3263">
        <v>0.15</v>
      </c>
      <c r="E349" s="3263">
        <v>0.15</v>
      </c>
      <c r="F349" s="3263">
        <v>0.15</v>
      </c>
      <c r="G349" s="3264">
        <v>0.15</v>
      </c>
    </row>
    <row r="350" spans="1:7">
      <c r="A350" s="3273" t="s">
        <v>307</v>
      </c>
      <c r="B350" s="3262" t="s">
        <v>2947</v>
      </c>
      <c r="C350" s="3263">
        <v>0.15</v>
      </c>
      <c r="D350" s="3263">
        <v>0.15</v>
      </c>
      <c r="E350" s="3263">
        <v>0.15</v>
      </c>
      <c r="F350" s="3263">
        <v>0.14699999999999999</v>
      </c>
      <c r="G350" s="3264">
        <v>0.15</v>
      </c>
    </row>
    <row r="351" spans="1:7">
      <c r="A351" s="3273" t="s">
        <v>307</v>
      </c>
      <c r="B351" s="3262" t="s">
        <v>2952</v>
      </c>
      <c r="C351" s="3263">
        <v>0.15</v>
      </c>
      <c r="D351" s="3263">
        <v>0.15</v>
      </c>
      <c r="E351" s="3263">
        <v>0.15</v>
      </c>
      <c r="F351" s="3263">
        <v>0.13</v>
      </c>
      <c r="G351" s="3264">
        <v>0.15</v>
      </c>
    </row>
    <row r="352" spans="1:7">
      <c r="A352" s="3273" t="s">
        <v>307</v>
      </c>
      <c r="B352" s="3262" t="s">
        <v>2957</v>
      </c>
      <c r="C352" s="3263">
        <v>0.15</v>
      </c>
      <c r="D352" s="3263">
        <v>0.15</v>
      </c>
      <c r="E352" s="3263">
        <v>0.15</v>
      </c>
      <c r="F352" s="3263">
        <v>0.14599999999999999</v>
      </c>
      <c r="G352" s="3264">
        <v>0.15</v>
      </c>
    </row>
    <row r="353" spans="1:7">
      <c r="A353" s="3273" t="s">
        <v>307</v>
      </c>
      <c r="B353" s="3262" t="s">
        <v>2964</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2977</v>
      </c>
      <c r="C355" s="3263">
        <v>0.15</v>
      </c>
      <c r="D355" s="3263">
        <v>0.15</v>
      </c>
      <c r="E355" s="3263">
        <v>0.15</v>
      </c>
      <c r="F355" s="3263">
        <v>0.15</v>
      </c>
      <c r="G355" s="3264">
        <v>0.15</v>
      </c>
    </row>
    <row r="356" spans="1:7">
      <c r="A356" s="3273" t="s">
        <v>307</v>
      </c>
      <c r="B356" s="3262" t="s">
        <v>2984</v>
      </c>
      <c r="C356" s="3263">
        <v>0.15</v>
      </c>
      <c r="D356" s="3263">
        <v>0.15</v>
      </c>
      <c r="E356" s="3263">
        <v>0.15</v>
      </c>
      <c r="F356" s="3263">
        <v>0.15</v>
      </c>
      <c r="G356" s="3264">
        <v>0.15</v>
      </c>
    </row>
    <row r="357" spans="1:7" ht="14.25" thickBot="1">
      <c r="A357" s="3276" t="s">
        <v>307</v>
      </c>
      <c r="B357" s="3266" t="s">
        <v>2989</v>
      </c>
      <c r="C357" s="3267">
        <v>0.126</v>
      </c>
      <c r="D357" s="3267">
        <v>0.127</v>
      </c>
      <c r="E357" s="3267">
        <v>0.14299999999999999</v>
      </c>
      <c r="F357" s="3267">
        <v>0.125</v>
      </c>
      <c r="G357" s="3269">
        <v>0.129</v>
      </c>
    </row>
    <row r="358" spans="1:7">
      <c r="A358" s="3272" t="s">
        <v>2858</v>
      </c>
      <c r="B358" s="3258" t="s">
        <v>2872</v>
      </c>
      <c r="C358" s="3259">
        <v>0.15</v>
      </c>
      <c r="D358" s="3259">
        <v>0.15</v>
      </c>
      <c r="E358" s="3259">
        <v>0.15</v>
      </c>
      <c r="F358" s="3259">
        <v>0.15</v>
      </c>
      <c r="G358" s="3260">
        <v>0.15</v>
      </c>
    </row>
    <row r="359" spans="1:7">
      <c r="A359" s="3273" t="s">
        <v>2858</v>
      </c>
      <c r="B359" s="3262" t="s">
        <v>2878</v>
      </c>
      <c r="C359" s="3263">
        <v>0.1</v>
      </c>
      <c r="D359" s="3263">
        <v>0.1</v>
      </c>
      <c r="E359" s="3263">
        <v>0.1</v>
      </c>
      <c r="F359" s="3263">
        <v>0.1</v>
      </c>
      <c r="G359" s="3264">
        <v>0.1</v>
      </c>
    </row>
    <row r="360" spans="1:7">
      <c r="A360" s="3273" t="s">
        <v>2858</v>
      </c>
      <c r="B360" s="3262" t="s">
        <v>2884</v>
      </c>
      <c r="C360" s="3263">
        <v>0.15</v>
      </c>
      <c r="D360" s="3263">
        <v>0.15</v>
      </c>
      <c r="E360" s="3263">
        <v>0.15</v>
      </c>
      <c r="F360" s="3263">
        <v>0.14899999999999999</v>
      </c>
      <c r="G360" s="3264">
        <v>0.15</v>
      </c>
    </row>
    <row r="361" spans="1:7">
      <c r="A361" s="3273" t="s">
        <v>2858</v>
      </c>
      <c r="B361" s="3262" t="s">
        <v>153</v>
      </c>
      <c r="C361" s="3263">
        <v>0.15</v>
      </c>
      <c r="D361" s="3263">
        <v>0.15</v>
      </c>
      <c r="E361" s="3263">
        <v>0.15</v>
      </c>
      <c r="F361" s="3263">
        <v>0.115</v>
      </c>
      <c r="G361" s="3264">
        <v>0.15</v>
      </c>
    </row>
    <row r="362" spans="1:7">
      <c r="A362" s="3273" t="s">
        <v>2858</v>
      </c>
      <c r="B362" s="3262" t="s">
        <v>2891</v>
      </c>
      <c r="C362" s="3263">
        <v>0.15</v>
      </c>
      <c r="D362" s="3263">
        <v>0.15</v>
      </c>
      <c r="E362" s="3263">
        <v>0.15</v>
      </c>
      <c r="F362" s="3263">
        <v>0.106</v>
      </c>
      <c r="G362" s="3264">
        <v>0.15</v>
      </c>
    </row>
    <row r="363" spans="1:7">
      <c r="A363" s="3273" t="s">
        <v>2858</v>
      </c>
      <c r="B363" s="3262" t="s">
        <v>2896</v>
      </c>
      <c r="C363" s="3263">
        <v>0.15</v>
      </c>
      <c r="D363" s="3263">
        <v>0.15</v>
      </c>
      <c r="E363" s="3263">
        <v>0.15</v>
      </c>
      <c r="F363" s="3263">
        <v>0.14699999999999999</v>
      </c>
      <c r="G363" s="3264">
        <v>0.15</v>
      </c>
    </row>
    <row r="364" spans="1:7">
      <c r="A364" s="3273" t="s">
        <v>2858</v>
      </c>
      <c r="B364" s="3262" t="s">
        <v>2900</v>
      </c>
      <c r="C364" s="3263">
        <v>0.15</v>
      </c>
      <c r="D364" s="3263">
        <v>0.15</v>
      </c>
      <c r="E364" s="3263">
        <v>0.15</v>
      </c>
      <c r="F364" s="3263">
        <v>0.14799999999999999</v>
      </c>
      <c r="G364" s="3264">
        <v>0.15</v>
      </c>
    </row>
    <row r="365" spans="1:7">
      <c r="A365" s="3273" t="s">
        <v>2858</v>
      </c>
      <c r="B365" s="3262" t="s">
        <v>200</v>
      </c>
      <c r="C365" s="3263">
        <v>0.15</v>
      </c>
      <c r="D365" s="3263">
        <v>0.15</v>
      </c>
      <c r="E365" s="3263">
        <v>0.15</v>
      </c>
      <c r="F365" s="3263">
        <v>0.15</v>
      </c>
      <c r="G365" s="3264">
        <v>0.15</v>
      </c>
    </row>
    <row r="366" spans="1:7">
      <c r="A366" s="3273" t="s">
        <v>2858</v>
      </c>
      <c r="B366" s="3262" t="s">
        <v>2903</v>
      </c>
      <c r="C366" s="3263">
        <v>0.15</v>
      </c>
      <c r="D366" s="3263">
        <v>0.15</v>
      </c>
      <c r="E366" s="3263">
        <v>0.15</v>
      </c>
      <c r="F366" s="3263">
        <v>0.15</v>
      </c>
      <c r="G366" s="3264">
        <v>0.15</v>
      </c>
    </row>
    <row r="367" spans="1:7">
      <c r="A367" s="3273" t="s">
        <v>2858</v>
      </c>
      <c r="B367" s="3262" t="s">
        <v>2906</v>
      </c>
      <c r="C367" s="3263">
        <v>0.15</v>
      </c>
      <c r="D367" s="3263">
        <v>0.15</v>
      </c>
      <c r="E367" s="3263">
        <v>0.15</v>
      </c>
      <c r="F367" s="3263">
        <v>0.14699999999999999</v>
      </c>
      <c r="G367" s="3264">
        <v>0.15</v>
      </c>
    </row>
    <row r="368" spans="1:7">
      <c r="A368" s="3273" t="s">
        <v>2858</v>
      </c>
      <c r="B368" s="3262" t="s">
        <v>2911</v>
      </c>
      <c r="C368" s="3263">
        <v>0.15</v>
      </c>
      <c r="D368" s="3263">
        <v>0.15</v>
      </c>
      <c r="E368" s="3263">
        <v>0.15</v>
      </c>
      <c r="F368" s="3263">
        <v>0.13600000000000001</v>
      </c>
      <c r="G368" s="3264">
        <v>0.15</v>
      </c>
    </row>
    <row r="369" spans="1:7">
      <c r="A369" s="3273" t="s">
        <v>2858</v>
      </c>
      <c r="B369" s="3262" t="s">
        <v>214</v>
      </c>
      <c r="C369" s="3263">
        <v>0.15</v>
      </c>
      <c r="D369" s="3263">
        <v>0.15</v>
      </c>
      <c r="E369" s="3263">
        <v>0.15</v>
      </c>
      <c r="F369" s="3263">
        <v>0.14399999999999999</v>
      </c>
      <c r="G369" s="3264">
        <v>0.15</v>
      </c>
    </row>
    <row r="370" spans="1:7">
      <c r="A370" s="3273" t="s">
        <v>2858</v>
      </c>
      <c r="B370" s="3262" t="s">
        <v>221</v>
      </c>
      <c r="C370" s="3263">
        <v>0.15</v>
      </c>
      <c r="D370" s="3263">
        <v>0.15</v>
      </c>
      <c r="E370" s="3263">
        <v>0.15</v>
      </c>
      <c r="F370" s="3263">
        <v>0.14599999999999999</v>
      </c>
      <c r="G370" s="3264">
        <v>0.15</v>
      </c>
    </row>
    <row r="371" spans="1:7">
      <c r="A371" s="3273" t="s">
        <v>2858</v>
      </c>
      <c r="B371" s="3262" t="s">
        <v>229</v>
      </c>
      <c r="C371" s="3263">
        <v>0.15</v>
      </c>
      <c r="D371" s="3263">
        <v>0.15</v>
      </c>
      <c r="E371" s="3263">
        <v>0.15</v>
      </c>
      <c r="F371" s="3263">
        <v>0.12</v>
      </c>
      <c r="G371" s="3264">
        <v>0.15</v>
      </c>
    </row>
    <row r="372" spans="1:7">
      <c r="A372" s="3273" t="s">
        <v>2858</v>
      </c>
      <c r="B372" s="3262" t="s">
        <v>2919</v>
      </c>
      <c r="C372" s="3263">
        <v>0.15</v>
      </c>
      <c r="D372" s="3263">
        <v>0.15</v>
      </c>
      <c r="E372" s="3263">
        <v>0.15</v>
      </c>
      <c r="F372" s="3263">
        <v>0.14299999999999999</v>
      </c>
      <c r="G372" s="3264">
        <v>0.15</v>
      </c>
    </row>
    <row r="373" spans="1:7">
      <c r="A373" s="3273" t="s">
        <v>2858</v>
      </c>
      <c r="B373" s="3262" t="s">
        <v>258</v>
      </c>
      <c r="C373" s="3263">
        <v>0.15</v>
      </c>
      <c r="D373" s="3263">
        <v>0.15</v>
      </c>
      <c r="E373" s="3263">
        <v>0.15</v>
      </c>
      <c r="F373" s="3263">
        <v>0.14599999999999999</v>
      </c>
      <c r="G373" s="3264">
        <v>0.15</v>
      </c>
    </row>
    <row r="374" spans="1:7">
      <c r="A374" s="3273" t="s">
        <v>2858</v>
      </c>
      <c r="B374" s="3262" t="s">
        <v>266</v>
      </c>
      <c r="C374" s="3263">
        <v>0.15</v>
      </c>
      <c r="D374" s="3263">
        <v>0.15</v>
      </c>
      <c r="E374" s="3263">
        <v>0.15</v>
      </c>
      <c r="F374" s="3263">
        <v>0.14399999999999999</v>
      </c>
      <c r="G374" s="3264">
        <v>0.15</v>
      </c>
    </row>
    <row r="375" spans="1:7">
      <c r="A375" s="3273" t="s">
        <v>2858</v>
      </c>
      <c r="B375" s="3262" t="s">
        <v>2927</v>
      </c>
      <c r="C375" s="3263">
        <v>0.15</v>
      </c>
      <c r="D375" s="3263">
        <v>0.15</v>
      </c>
      <c r="E375" s="3263">
        <v>0.15</v>
      </c>
      <c r="F375" s="3263">
        <v>0.13</v>
      </c>
      <c r="G375" s="3264">
        <v>0.15</v>
      </c>
    </row>
    <row r="376" spans="1:7">
      <c r="A376" s="3273" t="s">
        <v>2858</v>
      </c>
      <c r="B376" s="3262" t="s">
        <v>277</v>
      </c>
      <c r="C376" s="3263">
        <v>0.15</v>
      </c>
      <c r="D376" s="3263">
        <v>0.15</v>
      </c>
      <c r="E376" s="3263">
        <v>0.15</v>
      </c>
      <c r="F376" s="3263">
        <v>0.14199999999999999</v>
      </c>
      <c r="G376" s="3264">
        <v>0.15</v>
      </c>
    </row>
    <row r="377" spans="1:7" ht="14.25" thickBot="1">
      <c r="A377" s="3276" t="s">
        <v>2858</v>
      </c>
      <c r="B377" s="3266" t="s">
        <v>2933</v>
      </c>
      <c r="C377" s="3267">
        <v>0.15</v>
      </c>
      <c r="D377" s="3267">
        <v>0.15</v>
      </c>
      <c r="E377" s="3267">
        <v>0.15</v>
      </c>
      <c r="F377" s="3267">
        <v>0.14000000000000001</v>
      </c>
      <c r="G377" s="3269">
        <v>0.15</v>
      </c>
    </row>
    <row r="378" spans="1:7">
      <c r="A378" s="3272" t="s">
        <v>2859</v>
      </c>
      <c r="B378" s="3258" t="s">
        <v>2873</v>
      </c>
      <c r="C378" s="3259">
        <v>0.15</v>
      </c>
      <c r="D378" s="3259">
        <v>0.15</v>
      </c>
      <c r="E378" s="3259">
        <v>0.15</v>
      </c>
      <c r="F378" s="3259">
        <v>0.107</v>
      </c>
      <c r="G378" s="3260">
        <v>0.15</v>
      </c>
    </row>
    <row r="379" spans="1:7">
      <c r="A379" s="3273" t="s">
        <v>2859</v>
      </c>
      <c r="B379" s="3262" t="s">
        <v>2879</v>
      </c>
      <c r="C379" s="3263">
        <v>0.15</v>
      </c>
      <c r="D379" s="3263">
        <v>0.15</v>
      </c>
      <c r="E379" s="3263">
        <v>0.15</v>
      </c>
      <c r="F379" s="3263">
        <v>0.115</v>
      </c>
      <c r="G379" s="3264">
        <v>0.14899999999999999</v>
      </c>
    </row>
    <row r="380" spans="1:7">
      <c r="A380" s="3273" t="s">
        <v>2859</v>
      </c>
      <c r="B380" s="3262" t="s">
        <v>2885</v>
      </c>
      <c r="C380" s="3263">
        <v>0.15</v>
      </c>
      <c r="D380" s="3263">
        <v>0.15</v>
      </c>
      <c r="E380" s="3263">
        <v>0.15</v>
      </c>
      <c r="F380" s="3263">
        <v>0.1</v>
      </c>
      <c r="G380" s="3264">
        <v>0.14799999999999999</v>
      </c>
    </row>
    <row r="381" spans="1:7">
      <c r="A381" s="3273" t="s">
        <v>2859</v>
      </c>
      <c r="B381" s="3262" t="s">
        <v>2888</v>
      </c>
      <c r="C381" s="3263">
        <v>0.15</v>
      </c>
      <c r="D381" s="3263">
        <v>0.15</v>
      </c>
      <c r="E381" s="3263">
        <v>0.15</v>
      </c>
      <c r="F381" s="3263">
        <v>0.126</v>
      </c>
      <c r="G381" s="3264">
        <v>0.15</v>
      </c>
    </row>
    <row r="382" spans="1:7">
      <c r="A382" s="3273" t="s">
        <v>2859</v>
      </c>
      <c r="B382" s="3262" t="s">
        <v>2892</v>
      </c>
      <c r="C382" s="3263">
        <v>0.15</v>
      </c>
      <c r="D382" s="3263">
        <v>0.15</v>
      </c>
      <c r="E382" s="3263">
        <v>0.15</v>
      </c>
      <c r="F382" s="3263">
        <v>0.15</v>
      </c>
      <c r="G382" s="3264">
        <v>0.15</v>
      </c>
    </row>
    <row r="383" spans="1:7">
      <c r="A383" s="3273" t="s">
        <v>2859</v>
      </c>
      <c r="B383" s="3262" t="s">
        <v>2897</v>
      </c>
      <c r="C383" s="3263">
        <v>0.15</v>
      </c>
      <c r="D383" s="3263">
        <v>0.15</v>
      </c>
      <c r="E383" s="3263">
        <v>0.15</v>
      </c>
      <c r="F383" s="3263">
        <v>0.14699999999999999</v>
      </c>
      <c r="G383" s="3264">
        <v>0.15</v>
      </c>
    </row>
    <row r="384" spans="1:7" ht="14.25" thickBot="1">
      <c r="A384" s="3283" t="s">
        <v>2859</v>
      </c>
      <c r="B384" s="3284" t="s">
        <v>2901</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5">
      <c r="A1" s="3868" t="s">
        <v>3240</v>
      </c>
      <c r="B1" s="3868"/>
      <c r="C1" s="3868"/>
      <c r="D1" s="3868"/>
      <c r="E1" s="3868"/>
      <c r="F1" s="3869"/>
    </row>
    <row r="2" spans="1:6" ht="15">
      <c r="A2" s="3289" t="s">
        <v>3241</v>
      </c>
      <c r="B2" s="3290"/>
      <c r="C2" s="3290"/>
      <c r="D2" s="3290"/>
      <c r="E2" s="3290"/>
      <c r="F2" s="3290"/>
    </row>
    <row r="3" spans="1:6" ht="15">
      <c r="A3" s="3289" t="s">
        <v>3242</v>
      </c>
      <c r="B3" s="3290"/>
      <c r="C3" s="3290"/>
      <c r="D3" s="3290"/>
      <c r="E3" s="3290"/>
      <c r="F3" s="3291" t="s">
        <v>3243</v>
      </c>
    </row>
    <row r="4" spans="1:6">
      <c r="A4" s="3292" t="s">
        <v>672</v>
      </c>
      <c r="B4" s="3292" t="s">
        <v>673</v>
      </c>
      <c r="C4" s="3292" t="s">
        <v>21</v>
      </c>
      <c r="D4" s="3292" t="s">
        <v>674</v>
      </c>
      <c r="E4" s="3292" t="s">
        <v>3</v>
      </c>
      <c r="F4" s="3292" t="s">
        <v>3244</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9">
        <f>基准地价修正!G23</f>
        <v>44944</v>
      </c>
      <c r="B1" s="3208" t="s">
        <v>2846</v>
      </c>
      <c r="C1" s="3209"/>
      <c r="D1" s="3209"/>
      <c r="E1" s="3209"/>
      <c r="F1" s="3209"/>
      <c r="G1" s="3209"/>
      <c r="H1" s="3209"/>
      <c r="I1" s="3209"/>
      <c r="J1" s="3162"/>
      <c r="K1" s="3209" t="s">
        <v>454</v>
      </c>
      <c r="L1" s="3209"/>
      <c r="M1" s="3209"/>
      <c r="N1" s="3209"/>
      <c r="O1" s="3209"/>
      <c r="P1" s="3209"/>
      <c r="Q1" s="3162"/>
      <c r="R1" s="3870" t="s">
        <v>456</v>
      </c>
      <c r="S1" s="3871"/>
      <c r="T1" s="3871"/>
      <c r="U1" s="3871"/>
      <c r="V1" s="3871"/>
      <c r="W1" s="3871"/>
      <c r="X1" s="3162"/>
      <c r="Y1" s="3870" t="s">
        <v>457</v>
      </c>
      <c r="Z1" s="3871"/>
      <c r="AA1" s="3871"/>
      <c r="AB1" s="3871"/>
      <c r="AC1" s="3871"/>
      <c r="AD1" s="3871"/>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2822</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2823</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3362</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3363</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2824</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2825</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2826</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2827</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2828</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2829</v>
      </c>
    </row>
    <row r="17" spans="1:30" s="3006" customFormat="1"/>
    <row r="18" spans="1:30" s="3207" customFormat="1" ht="12.75">
      <c r="B18" s="3208" t="s">
        <v>2830</v>
      </c>
      <c r="C18" s="3209"/>
      <c r="D18" s="3209"/>
      <c r="E18" s="3209"/>
      <c r="F18" s="3209"/>
      <c r="G18" s="3209"/>
      <c r="H18" s="3209"/>
      <c r="I18" s="3209"/>
      <c r="J18" s="3162"/>
      <c r="K18" s="3209" t="s">
        <v>2831</v>
      </c>
      <c r="L18" s="3209"/>
      <c r="M18" s="3209"/>
      <c r="N18" s="3209"/>
      <c r="O18" s="3209"/>
      <c r="P18" s="3209"/>
      <c r="Q18" s="3162"/>
      <c r="R18" s="3870" t="s">
        <v>2832</v>
      </c>
      <c r="S18" s="3871"/>
      <c r="T18" s="3871"/>
      <c r="U18" s="3871"/>
      <c r="V18" s="3871"/>
      <c r="W18" s="3871"/>
      <c r="X18" s="3162"/>
      <c r="Y18" s="3870" t="s">
        <v>2833</v>
      </c>
      <c r="Z18" s="3871"/>
      <c r="AA18" s="3871"/>
      <c r="AB18" s="3871"/>
      <c r="AC18" s="3871"/>
      <c r="AD18" s="3871"/>
    </row>
    <row r="19" spans="1:30" s="3140" customFormat="1" ht="14.25" thickBot="1">
      <c r="B19" s="3141"/>
      <c r="C19" s="3142"/>
      <c r="D19" s="3143" t="s">
        <v>2834</v>
      </c>
      <c r="E19" s="3144" t="s">
        <v>2835</v>
      </c>
      <c r="F19" s="3144" t="s">
        <v>2836</v>
      </c>
      <c r="G19" s="3144" t="s">
        <v>2837</v>
      </c>
      <c r="H19" s="3144"/>
      <c r="I19" s="3144" t="s">
        <v>2838</v>
      </c>
      <c r="J19" s="3145"/>
      <c r="K19" s="3143" t="s">
        <v>2834</v>
      </c>
      <c r="L19" s="3144" t="s">
        <v>2835</v>
      </c>
      <c r="M19" s="3144" t="s">
        <v>2836</v>
      </c>
      <c r="N19" s="3144" t="s">
        <v>2837</v>
      </c>
      <c r="O19" s="3144"/>
      <c r="P19" s="3144" t="s">
        <v>2838</v>
      </c>
      <c r="Q19" s="3145"/>
      <c r="R19" s="3143" t="s">
        <v>2834</v>
      </c>
      <c r="S19" s="3144" t="s">
        <v>2835</v>
      </c>
      <c r="T19" s="3144" t="s">
        <v>2836</v>
      </c>
      <c r="U19" s="3144" t="s">
        <v>2837</v>
      </c>
      <c r="V19" s="3144"/>
      <c r="W19" s="3144" t="s">
        <v>2838</v>
      </c>
      <c r="X19" s="3145"/>
      <c r="Y19" s="3143" t="s">
        <v>2834</v>
      </c>
      <c r="Z19" s="3144" t="s">
        <v>2835</v>
      </c>
      <c r="AA19" s="3144" t="s">
        <v>2836</v>
      </c>
      <c r="AB19" s="3144" t="s">
        <v>2837</v>
      </c>
      <c r="AC19" s="3144"/>
      <c r="AD19" s="3144" t="s">
        <v>2838</v>
      </c>
    </row>
    <row r="20" spans="1:30" s="3158" customFormat="1" ht="12.75">
      <c r="A20" s="3146" t="s">
        <v>2839</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2840</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2841</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3364</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3363</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2842</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2843</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2844</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2845</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2828</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77" t="s">
        <v>452</v>
      </c>
      <c r="C1" s="3877"/>
      <c r="D1" s="3877"/>
      <c r="E1" s="3877"/>
      <c r="F1" s="3877"/>
      <c r="G1" s="3876" t="s">
        <v>453</v>
      </c>
      <c r="H1" s="3876"/>
      <c r="I1" s="3876"/>
      <c r="J1" s="3876"/>
      <c r="K1" s="3876"/>
      <c r="L1" s="3876"/>
      <c r="N1" s="3876" t="s">
        <v>454</v>
      </c>
      <c r="O1" s="3876"/>
      <c r="P1" s="3876"/>
      <c r="Q1" s="3876"/>
      <c r="S1" s="3876" t="s">
        <v>455</v>
      </c>
      <c r="T1" s="3876"/>
      <c r="U1" s="3876"/>
      <c r="V1" s="3876"/>
      <c r="X1" s="3875" t="s">
        <v>456</v>
      </c>
      <c r="Y1" s="3876"/>
      <c r="Z1" s="3876"/>
      <c r="AA1" s="3876"/>
      <c r="AB1" s="3876"/>
      <c r="AD1" s="3875" t="s">
        <v>457</v>
      </c>
      <c r="AE1" s="3876"/>
      <c r="AF1" s="3876"/>
      <c r="AG1" s="3876"/>
      <c r="AH1" s="387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7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7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7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8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7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7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7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8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7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7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7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7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7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7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7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7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7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7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7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7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7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8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8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8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7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7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7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7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7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7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7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7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7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7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7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7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7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7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7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7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7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7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7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7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7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7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7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7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7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7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7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7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7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7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7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7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7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7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7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7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7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7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7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7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7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7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7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7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44944</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2312</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4"/>
  <sheetViews>
    <sheetView workbookViewId="0">
      <selection activeCell="E12" sqref="E12"/>
    </sheetView>
  </sheetViews>
  <sheetFormatPr defaultRowHeight="13.5"/>
  <sheetData>
    <row r="2" spans="1:4">
      <c r="A2" s="3470" t="s">
        <v>3414</v>
      </c>
      <c r="C2" s="3470" t="s">
        <v>3413</v>
      </c>
      <c r="D2" s="3470" t="s">
        <v>3415</v>
      </c>
    </row>
    <row r="3" spans="1:4">
      <c r="B3" s="3470" t="s">
        <v>3412</v>
      </c>
      <c r="C3">
        <v>14423</v>
      </c>
      <c r="D3">
        <v>30000</v>
      </c>
    </row>
    <row r="7" spans="1:4">
      <c r="A7" s="3470" t="s">
        <v>3416</v>
      </c>
      <c r="B7" s="3470" t="s">
        <v>3417</v>
      </c>
      <c r="C7">
        <v>10351</v>
      </c>
      <c r="D7">
        <v>4.5</v>
      </c>
    </row>
    <row r="8" spans="1:4">
      <c r="B8" s="3470" t="s">
        <v>3418</v>
      </c>
      <c r="C8">
        <v>13721.74</v>
      </c>
      <c r="D8">
        <v>3.5</v>
      </c>
    </row>
    <row r="111" spans="9:10">
      <c r="J111">
        <v>0.9</v>
      </c>
    </row>
    <row r="112" spans="9:10">
      <c r="I112">
        <v>50847</v>
      </c>
      <c r="J112">
        <f>ROUND(I112*$J$111,0)</f>
        <v>45762</v>
      </c>
    </row>
    <row r="113" spans="9:10">
      <c r="I113">
        <v>56062</v>
      </c>
      <c r="J113">
        <f t="shared" ref="J113:J114" si="0">ROUND(I113*$J$111,0)</f>
        <v>50456</v>
      </c>
    </row>
    <row r="114" spans="9:10">
      <c r="I114">
        <v>48980</v>
      </c>
      <c r="J114">
        <f t="shared" si="0"/>
        <v>44082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50" t="str">
        <f>IF(项目基本情况!B9="房地产市场价值","估价结果一览表","结果表-2")</f>
        <v>结果表-2</v>
      </c>
      <c r="B1" s="3550"/>
      <c r="C1" s="3550"/>
      <c r="D1" s="3550"/>
      <c r="E1" s="3550"/>
      <c r="F1" s="3550"/>
      <c r="G1" s="3550"/>
      <c r="H1" s="3550"/>
      <c r="I1" s="3550"/>
    </row>
    <row r="2" spans="1:9" ht="30" customHeight="1" thickTop="1">
      <c r="A2" s="3551" t="s">
        <v>928</v>
      </c>
      <c r="B2" s="3551" t="s">
        <v>929</v>
      </c>
      <c r="C2" s="3551" t="s">
        <v>930</v>
      </c>
      <c r="D2" s="3551" t="str">
        <f>结果表!D116</f>
        <v>出让国有建设用地使用权价值</v>
      </c>
      <c r="E2" s="3551"/>
      <c r="F2" s="3551" t="str">
        <f>结果表!F116</f>
        <v>在建建筑物价值</v>
      </c>
      <c r="G2" s="3551"/>
      <c r="H2" s="3551" t="str">
        <f>IF(项目基本情况!B9="房地产市场价值","房地产市场价值","房地产价值")</f>
        <v>房地产价值</v>
      </c>
      <c r="I2" s="3551"/>
    </row>
    <row r="3" spans="1:9" ht="15">
      <c r="A3" s="3546"/>
      <c r="B3" s="3546"/>
      <c r="C3" s="3546"/>
      <c r="D3" s="853" t="s">
        <v>925</v>
      </c>
      <c r="E3" s="853" t="s">
        <v>931</v>
      </c>
      <c r="F3" s="853" t="s">
        <v>925</v>
      </c>
      <c r="G3" s="853" t="s">
        <v>926</v>
      </c>
      <c r="H3" s="853" t="s">
        <v>925</v>
      </c>
      <c r="I3" s="853" t="s">
        <v>926</v>
      </c>
    </row>
    <row r="4" spans="1:9" ht="15">
      <c r="A4" s="1504" t="str">
        <f>项目基本情况!S2</f>
        <v>北京市房地产</v>
      </c>
      <c r="B4" s="853">
        <f>项目基本情况!C17</f>
        <v>19411.939999999999</v>
      </c>
      <c r="C4" s="853">
        <f>项目基本情况!C18</f>
        <v>0</v>
      </c>
      <c r="D4" s="853" t="e">
        <f ca="1">结果表!D118</f>
        <v>#REF!</v>
      </c>
      <c r="E4" s="853" t="e">
        <f ca="1">结果表!E118</f>
        <v>#REF!</v>
      </c>
      <c r="F4" s="853" t="e">
        <f ca="1">结果表!F118</f>
        <v>#REF!</v>
      </c>
      <c r="G4" s="853" t="e">
        <f ca="1">结果表!G118</f>
        <v>#REF!</v>
      </c>
      <c r="H4" s="853">
        <f ca="1">结果表!H118</f>
        <v>53236</v>
      </c>
      <c r="I4" s="853">
        <f ca="1">结果表!I118</f>
        <v>27424</v>
      </c>
    </row>
    <row r="5" spans="1:9" ht="30" customHeight="1">
      <c r="A5" s="3546" t="s">
        <v>927</v>
      </c>
      <c r="B5" s="3546"/>
      <c r="C5" s="3546"/>
      <c r="D5" s="3546" t="e">
        <f ca="1">结果表!D119</f>
        <v>#REF!</v>
      </c>
      <c r="E5" s="3546"/>
      <c r="F5" s="3546" t="e">
        <f ca="1">结果表!F119</f>
        <v>#REF!</v>
      </c>
      <c r="G5" s="3546"/>
      <c r="H5" s="3546" t="str">
        <f ca="1">结果表!H119</f>
        <v>伍亿叁仟贰佰叁拾陆万元整</v>
      </c>
      <c r="I5" s="3546"/>
    </row>
    <row r="6" spans="1:9" ht="15.75">
      <c r="A6" s="3545" t="str">
        <f>结果表!A120</f>
        <v>估价师知悉的法定优先受偿款</v>
      </c>
      <c r="B6" s="3545"/>
      <c r="C6" s="3545"/>
      <c r="D6" s="3545">
        <f>结果表!D120</f>
        <v>0</v>
      </c>
      <c r="E6" s="3545"/>
      <c r="F6" s="3545"/>
      <c r="G6" s="3545"/>
      <c r="H6" s="3545"/>
      <c r="I6" s="3545"/>
    </row>
    <row r="7" spans="1:9" ht="15">
      <c r="A7" s="3546" t="s">
        <v>927</v>
      </c>
      <c r="B7" s="3546"/>
      <c r="C7" s="3546"/>
      <c r="D7" s="3547" t="str">
        <f>结果表!D121</f>
        <v>零元整</v>
      </c>
      <c r="E7" s="3548"/>
      <c r="F7" s="3548"/>
      <c r="G7" s="3548"/>
      <c r="H7" s="3548"/>
      <c r="I7" s="3549"/>
    </row>
    <row r="8" spans="1:9" ht="15.75">
      <c r="A8" s="3545" t="str">
        <f>结果表!A122</f>
        <v>房地产抵押价值</v>
      </c>
      <c r="B8" s="3545"/>
      <c r="C8" s="3545"/>
      <c r="D8" s="3545">
        <f ca="1">结果表!D122</f>
        <v>53236</v>
      </c>
      <c r="E8" s="3545"/>
      <c r="F8" s="3545"/>
      <c r="G8" s="3545"/>
      <c r="H8" s="3545"/>
      <c r="I8" s="3545"/>
    </row>
    <row r="9" spans="1:9" ht="15">
      <c r="A9" s="3546" t="s">
        <v>927</v>
      </c>
      <c r="B9" s="3546"/>
      <c r="C9" s="3546"/>
      <c r="D9" s="3546" t="str">
        <f ca="1">结果表!D123</f>
        <v>伍亿叁仟贰佰叁拾陆万元整</v>
      </c>
      <c r="E9" s="3546"/>
      <c r="F9" s="3546"/>
      <c r="G9" s="3546"/>
      <c r="H9" s="3546"/>
      <c r="I9" s="3546"/>
    </row>
    <row r="10" spans="1:9" ht="15.75">
      <c r="A10" s="3545" t="str">
        <f>结果表!A124</f>
        <v/>
      </c>
      <c r="B10" s="3545"/>
      <c r="C10" s="3545"/>
      <c r="D10" s="3545" t="str">
        <f>结果表!D124</f>
        <v>——</v>
      </c>
      <c r="E10" s="3545"/>
      <c r="F10" s="3545"/>
      <c r="G10" s="3545"/>
      <c r="H10" s="3545"/>
      <c r="I10" s="3545"/>
    </row>
    <row r="11" spans="1:9" ht="15">
      <c r="A11" s="3546" t="s">
        <v>927</v>
      </c>
      <c r="B11" s="3546"/>
      <c r="C11" s="3546"/>
      <c r="D11" s="3546" t="e">
        <f>结果表!D125</f>
        <v>#VALUE!</v>
      </c>
      <c r="E11" s="3546"/>
      <c r="F11" s="3546"/>
      <c r="G11" s="3546"/>
      <c r="H11" s="3546"/>
      <c r="I11" s="3546"/>
    </row>
    <row r="12" spans="1:9" ht="15.75">
      <c r="A12" s="3545" t="str">
        <f>结果表!A126</f>
        <v>抵押净值</v>
      </c>
      <c r="B12" s="3545"/>
      <c r="C12" s="3545"/>
      <c r="D12" s="3545">
        <f ca="1">结果表!D126</f>
        <v>48009</v>
      </c>
      <c r="E12" s="3545"/>
      <c r="F12" s="3545"/>
      <c r="G12" s="3545"/>
      <c r="H12" s="3545"/>
      <c r="I12" s="3545"/>
    </row>
    <row r="13" spans="1:9" ht="15.75" thickBot="1">
      <c r="A13" s="3543" t="s">
        <v>927</v>
      </c>
      <c r="B13" s="3543"/>
      <c r="C13" s="3543"/>
      <c r="D13" s="3543" t="str">
        <f ca="1">结果表!D127</f>
        <v>肆亿捌仟零玖万元整</v>
      </c>
      <c r="E13" s="3543"/>
      <c r="F13" s="3543"/>
      <c r="G13" s="3543"/>
      <c r="H13" s="3543"/>
      <c r="I13" s="3543"/>
    </row>
    <row r="14" spans="1:9" ht="15" thickTop="1">
      <c r="A14" s="3544" t="s">
        <v>932</v>
      </c>
      <c r="B14" s="3544"/>
      <c r="C14" s="3544"/>
      <c r="D14" s="3544"/>
      <c r="E14" s="3544"/>
      <c r="F14" s="3544"/>
      <c r="G14" s="3544"/>
      <c r="H14" s="3544"/>
      <c r="I14" s="354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60" zoomScale="80" zoomScaleNormal="100" zoomScaleSheetLayoutView="80" zoomScalePageLayoutView="80" workbookViewId="0">
      <selection activeCell="A71" sqref="A71:B7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2.75">
      <c r="A3" s="3659" t="s">
        <v>1264</v>
      </c>
      <c r="B3" s="3660"/>
      <c r="C3" s="3660"/>
      <c r="D3" s="3660"/>
      <c r="E3" s="3660"/>
      <c r="F3" s="3660"/>
      <c r="G3" s="3660"/>
      <c r="H3" s="3660"/>
      <c r="I3" s="3660"/>
    </row>
    <row r="4" spans="1:12" ht="14.25">
      <c r="A4" s="1753" t="s">
        <v>1265</v>
      </c>
      <c r="B4" s="1754" t="s">
        <v>1266</v>
      </c>
      <c r="C4" s="1755" t="s">
        <v>3448</v>
      </c>
      <c r="D4" s="1755" t="s">
        <v>3407</v>
      </c>
      <c r="E4" s="3661" t="s">
        <v>1267</v>
      </c>
      <c r="F4" s="3662"/>
      <c r="G4" s="3662"/>
      <c r="H4" s="3662"/>
      <c r="I4" s="3663"/>
      <c r="K4" s="146" t="str">
        <f>IF(ISNUMBER(FIND("比较法",结果表净值模拟!C4)),"比较法",IF(ISNUMBER(FIND("成本法",结果表净值模拟!C4)),"成本法",IF(ISNUMBER(FIND("假设开发法",结果表净值模拟!C4)),"假设开发法",IF(ISNUMBER(FIND("收益法",结果表净值模拟!C4)),"收益法","基准地价系数修正法"))))</f>
        <v>基准地价系数修正法</v>
      </c>
      <c r="L4" s="146" t="str">
        <f>IF(ISNUMBER(FIND("比较法",结果表净值模拟!D4)),"比较法",IF(ISNUMBER(FIND("成本法",结果表净值模拟!D4)),"成本法",IF(ISNUMBER(FIND("假设开发法",结果表净值模拟!D4)),"假设开发法",IF(ISNUMBER(FIND("收益法",结果表净值模拟!D4)),"收益法","基准地价系数修正法"))))</f>
        <v>成本法</v>
      </c>
    </row>
    <row r="5" spans="1:12" ht="12.75">
      <c r="A5" s="3635" t="s">
        <v>1268</v>
      </c>
      <c r="B5" s="3622">
        <v>25</v>
      </c>
      <c r="C5" s="3638"/>
      <c r="D5" s="3658"/>
      <c r="E5" s="131" t="s">
        <v>1269</v>
      </c>
      <c r="F5" s="1756"/>
      <c r="G5" s="1756"/>
      <c r="H5" s="1756"/>
      <c r="I5" s="1372"/>
    </row>
    <row r="6" spans="1:12" ht="12.75">
      <c r="A6" s="3635"/>
      <c r="B6" s="3622"/>
      <c r="C6" s="3639"/>
      <c r="D6" s="3658"/>
      <c r="E6" s="131" t="s">
        <v>1270</v>
      </c>
      <c r="F6" s="1756"/>
      <c r="G6" s="1756"/>
      <c r="H6" s="1756"/>
      <c r="I6" s="1372"/>
    </row>
    <row r="7" spans="1:12" ht="12.75">
      <c r="A7" s="3635"/>
      <c r="B7" s="3622"/>
      <c r="C7" s="3640"/>
      <c r="D7" s="3658"/>
      <c r="E7" s="131" t="s">
        <v>1271</v>
      </c>
      <c r="F7" s="1756"/>
      <c r="G7" s="1756"/>
      <c r="H7" s="1756"/>
      <c r="I7" s="1372"/>
    </row>
    <row r="8" spans="1:12" ht="12.75">
      <c r="A8" s="3635" t="s">
        <v>1272</v>
      </c>
      <c r="B8" s="3622">
        <v>15</v>
      </c>
      <c r="C8" s="3638"/>
      <c r="D8" s="3658"/>
      <c r="E8" s="131" t="s">
        <v>1273</v>
      </c>
      <c r="F8" s="1756"/>
      <c r="G8" s="1756"/>
      <c r="H8" s="1756"/>
      <c r="I8" s="1372"/>
    </row>
    <row r="9" spans="1:12" ht="12.75">
      <c r="A9" s="3635"/>
      <c r="B9" s="3622"/>
      <c r="C9" s="3640"/>
      <c r="D9" s="3658"/>
      <c r="E9" s="131" t="s">
        <v>1274</v>
      </c>
      <c r="F9" s="1756"/>
      <c r="G9" s="1756"/>
      <c r="H9" s="1756"/>
      <c r="I9" s="1372"/>
    </row>
    <row r="10" spans="1:12" ht="12.75">
      <c r="A10" s="3635" t="s">
        <v>1275</v>
      </c>
      <c r="B10" s="3622">
        <v>15</v>
      </c>
      <c r="C10" s="3638"/>
      <c r="D10" s="3658"/>
      <c r="E10" s="131" t="s">
        <v>1276</v>
      </c>
      <c r="F10" s="1756"/>
      <c r="G10" s="1756"/>
      <c r="H10" s="1756"/>
      <c r="I10" s="1372"/>
    </row>
    <row r="11" spans="1:12" ht="12.75">
      <c r="A11" s="3635"/>
      <c r="B11" s="3622"/>
      <c r="C11" s="3640"/>
      <c r="D11" s="3658"/>
      <c r="E11" s="131" t="s">
        <v>1277</v>
      </c>
      <c r="F11" s="1756"/>
      <c r="G11" s="1756"/>
      <c r="H11" s="1756"/>
      <c r="I11" s="1372"/>
    </row>
    <row r="12" spans="1:12" ht="12.75">
      <c r="A12" s="3635" t="s">
        <v>1278</v>
      </c>
      <c r="B12" s="3622">
        <v>15</v>
      </c>
      <c r="C12" s="3638"/>
      <c r="D12" s="3658"/>
      <c r="E12" s="131" t="s">
        <v>1279</v>
      </c>
      <c r="F12" s="1756"/>
      <c r="G12" s="1756"/>
      <c r="H12" s="1756"/>
      <c r="I12" s="1372"/>
    </row>
    <row r="13" spans="1:12" ht="12.75">
      <c r="A13" s="3635"/>
      <c r="B13" s="3622"/>
      <c r="C13" s="3640"/>
      <c r="D13" s="3658"/>
      <c r="E13" s="131" t="s">
        <v>1280</v>
      </c>
      <c r="F13" s="1756"/>
      <c r="G13" s="1756"/>
      <c r="H13" s="1756"/>
      <c r="I13" s="1372"/>
    </row>
    <row r="14" spans="1:12" ht="12.75">
      <c r="A14" s="3635" t="s">
        <v>1281</v>
      </c>
      <c r="B14" s="3622">
        <v>30</v>
      </c>
      <c r="C14" s="3638">
        <v>5</v>
      </c>
      <c r="D14" s="3658">
        <v>5</v>
      </c>
      <c r="E14" s="131" t="s">
        <v>1282</v>
      </c>
      <c r="F14" s="1756"/>
      <c r="G14" s="1756"/>
      <c r="H14" s="1756"/>
      <c r="I14" s="1372"/>
    </row>
    <row r="15" spans="1:12" ht="12.75">
      <c r="A15" s="3635"/>
      <c r="B15" s="3622"/>
      <c r="C15" s="3639"/>
      <c r="D15" s="3658"/>
      <c r="E15" s="131" t="s">
        <v>1283</v>
      </c>
      <c r="F15" s="1756"/>
      <c r="G15" s="1756"/>
      <c r="H15" s="1756"/>
      <c r="I15" s="1372"/>
    </row>
    <row r="16" spans="1:12" ht="12.75">
      <c r="A16" s="3635"/>
      <c r="B16" s="3622"/>
      <c r="C16" s="3640"/>
      <c r="D16" s="365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5" t="s">
        <v>2130</v>
      </c>
      <c r="F18" s="3646"/>
      <c r="G18" s="3646"/>
      <c r="H18" s="3646"/>
      <c r="I18" s="3646"/>
      <c r="K18" s="302" t="s">
        <v>1289</v>
      </c>
      <c r="L18" s="302">
        <f>IF(C1="",'数据-汇总表'!E3,SUMIF(项目类型,C1,'数据-汇总表'!E17:E26)+SUMIF(项目类型,C1,'数据-汇总表'!I17:I26))</f>
        <v>19411.939999999999</v>
      </c>
      <c r="M18" s="302">
        <f>IF(C1="",'数据-汇总表'!E3,SUMIF(项目类型,C1,'数据-汇总表'!E17:E26))</f>
        <v>19411.939999999999</v>
      </c>
    </row>
    <row r="19" spans="1:36" ht="15">
      <c r="A19" s="1760" t="s">
        <v>1290</v>
      </c>
      <c r="B19" s="1761" t="s">
        <v>1291</v>
      </c>
      <c r="C19" s="134">
        <f ca="1">SUMIF(INDIRECT("'"&amp;C4&amp;"'"&amp;"!A:A"),结果表净值模拟!B19,INDIRECT("'"&amp;C4&amp;"'"&amp;"!B:B"))</f>
        <v>50835</v>
      </c>
      <c r="D19" s="135">
        <f ca="1">SUMIF(INDIRECT("'"&amp;D4&amp;"'"&amp;"!A:A"),结果表净值模拟!B19,INDIRECT("'"&amp;D4&amp;"'"&amp;"!B:B"))</f>
        <v>55637</v>
      </c>
      <c r="E19" s="1760" t="s">
        <v>1292</v>
      </c>
      <c r="F19" s="1761" t="s">
        <v>1291</v>
      </c>
      <c r="G19" s="136">
        <f ca="1">ROUND(C19*$C$18+D19*$D$18,0)</f>
        <v>53236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SUMIF(INDIRECT("'"&amp;C4&amp;"'"&amp;"!A:A"),结果表净值模拟!B20,INDIRECT("'"&amp;C4&amp;"'"&amp;"!B:B"))</f>
        <v>26187</v>
      </c>
      <c r="D20" s="138">
        <f ca="1">SUMIF(INDIRECT("'"&amp;D4&amp;"'"&amp;"!A:A"),结果表净值模拟!B20,INDIRECT("'"&amp;D4&amp;"'"&amp;"!B:B"))</f>
        <v>28661</v>
      </c>
      <c r="E20" s="1763"/>
      <c r="F20" s="1025" t="s">
        <v>1295</v>
      </c>
      <c r="G20" s="139">
        <f ca="1">ROUND(C20*$C$18+D20*$D$18,0)</f>
        <v>27424</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9.4462476640110093E-2</v>
      </c>
      <c r="E22" s="129"/>
      <c r="F22" s="129"/>
      <c r="G22" s="129"/>
      <c r="H22" s="129"/>
      <c r="I22" s="129"/>
    </row>
    <row r="23" spans="1:36" ht="13.5" thickBot="1">
      <c r="A23" s="1746"/>
      <c r="B23" s="1746"/>
      <c r="C23" s="1746"/>
      <c r="D23" s="1746"/>
      <c r="E23" s="129"/>
      <c r="F23" s="129"/>
      <c r="G23" s="129"/>
      <c r="H23" s="129"/>
      <c r="I23" s="129"/>
    </row>
    <row r="24" spans="1:36" ht="14.25">
      <c r="A24" s="3629" t="s">
        <v>1299</v>
      </c>
      <c r="B24" s="1761" t="s">
        <v>1291</v>
      </c>
      <c r="C24" s="136">
        <f>IF(B30=0,0,D30)</f>
        <v>0</v>
      </c>
      <c r="D24" s="1768"/>
      <c r="E24" s="129"/>
      <c r="F24" s="129"/>
      <c r="G24" s="129"/>
      <c r="H24" s="129"/>
      <c r="I24" s="129"/>
    </row>
    <row r="25" spans="1:36" ht="14.25">
      <c r="A25" s="363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53236</v>
      </c>
      <c r="D32" s="1774" t="s">
        <v>3419</v>
      </c>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49" t="s">
        <v>1312</v>
      </c>
      <c r="B36" s="1786" t="s">
        <v>1313</v>
      </c>
      <c r="C36" s="145"/>
      <c r="D36" s="1787"/>
      <c r="E36" s="1788"/>
      <c r="F36" s="1789"/>
      <c r="G36" s="129"/>
      <c r="H36" s="129"/>
      <c r="I36" s="129"/>
    </row>
    <row r="37" spans="1:15" ht="15.75" thickBot="1">
      <c r="A37" s="3650"/>
      <c r="B37" s="1673" t="s">
        <v>1314</v>
      </c>
      <c r="C37" s="147"/>
      <c r="D37" s="1138"/>
      <c r="E37" s="1138"/>
      <c r="F37" s="1789"/>
      <c r="G37" s="129"/>
      <c r="H37" s="129"/>
      <c r="I37" s="129"/>
    </row>
    <row r="38" spans="1:15" ht="15.75" thickBot="1">
      <c r="A38" s="365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6" t="s">
        <v>1326</v>
      </c>
      <c r="B45" s="3627"/>
      <c r="C45" s="3628"/>
      <c r="D45" s="155">
        <f ca="1">典型户型修正!V24+典型户型修正!V25+典型户型修正!V26+典型户型修正!V27</f>
        <v>50629</v>
      </c>
      <c r="E45" s="156" t="s">
        <v>1327</v>
      </c>
      <c r="F45" s="157">
        <v>1</v>
      </c>
      <c r="G45" s="158" t="s">
        <v>1328</v>
      </c>
      <c r="H45" s="129"/>
      <c r="I45" s="129"/>
      <c r="J45" s="3704" t="s">
        <v>3455</v>
      </c>
      <c r="K45" s="3704"/>
      <c r="L45" s="3704"/>
      <c r="M45" s="3704"/>
      <c r="N45" s="3704"/>
      <c r="O45" s="3704"/>
    </row>
    <row r="46" spans="1:15" ht="14.25" customHeight="1">
      <c r="A46" s="3623" t="s">
        <v>1330</v>
      </c>
      <c r="B46" s="3624"/>
      <c r="C46" s="3624"/>
      <c r="D46" s="3624"/>
      <c r="E46" s="3624"/>
      <c r="F46" s="3624"/>
      <c r="G46" s="3625"/>
      <c r="H46" s="1805"/>
      <c r="I46" s="159"/>
      <c r="J46" s="170">
        <v>1</v>
      </c>
      <c r="K46" s="3685" t="s">
        <v>3456</v>
      </c>
      <c r="L46" s="3685"/>
      <c r="M46" s="3705"/>
      <c r="N46" s="3705"/>
      <c r="O46" s="3705"/>
    </row>
    <row r="47" spans="1:15" ht="12" customHeight="1">
      <c r="A47" s="160" t="s">
        <v>1332</v>
      </c>
      <c r="B47" s="161"/>
      <c r="C47" s="162"/>
      <c r="D47" s="1086" t="s">
        <v>1333</v>
      </c>
      <c r="E47" s="302" t="s">
        <v>1334</v>
      </c>
      <c r="F47" s="163" t="s">
        <v>1335</v>
      </c>
      <c r="G47" s="2543" t="s">
        <v>1336</v>
      </c>
      <c r="H47" s="2544"/>
      <c r="I47" s="159"/>
      <c r="J47" s="170">
        <v>2</v>
      </c>
      <c r="K47" s="3685" t="s">
        <v>3457</v>
      </c>
      <c r="L47" s="3685"/>
      <c r="M47" s="3706">
        <f>'数据-取费表'!B2</f>
        <v>44944</v>
      </c>
      <c r="N47" s="3706"/>
      <c r="O47" s="3706"/>
    </row>
    <row r="48" spans="1:15" ht="25.5">
      <c r="A48" s="3654" t="s">
        <v>1338</v>
      </c>
      <c r="B48" s="3637"/>
      <c r="C48" s="3637"/>
      <c r="D48" s="3497">
        <f ca="1">IF(H48="情况1",0,IF(H48="情况2",D52,IF(H48="情况3",D53,IF(H48="情况4",D54))))</f>
        <v>844</v>
      </c>
      <c r="E48" s="3491" t="str">
        <f>IF(H48="情况4","(销售额-原购置价)×税（费）率","销售额×税（费）率")</f>
        <v>(销售额-原购置价)×税（费）率</v>
      </c>
      <c r="F48" s="2545">
        <f>IF(H48="情况1","免征",'数据-取费表'!B41)</f>
        <v>5.6000000000000001E-2</v>
      </c>
      <c r="G48" s="2546" t="s">
        <v>1339</v>
      </c>
      <c r="H48" s="2547" t="s">
        <v>3451</v>
      </c>
      <c r="I48" s="1805"/>
      <c r="J48" s="170">
        <v>3</v>
      </c>
      <c r="K48" s="3685" t="s">
        <v>3458</v>
      </c>
      <c r="L48" s="3685"/>
      <c r="M48" s="3704">
        <f ca="1">D45</f>
        <v>50629</v>
      </c>
      <c r="N48" s="3704"/>
      <c r="O48" s="3704"/>
    </row>
    <row r="49" spans="1:35" ht="25.5" customHeight="1">
      <c r="A49" s="3495" t="s">
        <v>1341</v>
      </c>
      <c r="B49" s="3621" t="s">
        <v>1342</v>
      </c>
      <c r="C49" s="3621"/>
      <c r="D49" s="1589">
        <v>0</v>
      </c>
      <c r="E49" s="324" t="s">
        <v>1343</v>
      </c>
      <c r="F49" s="3485" t="s">
        <v>28</v>
      </c>
      <c r="G49" s="3691"/>
      <c r="H49" s="2309" t="s">
        <v>2133</v>
      </c>
      <c r="I49" s="2310"/>
      <c r="J49" s="170">
        <v>4</v>
      </c>
      <c r="K49" s="3685" t="str">
        <f>IF(项目基本情况!E8="房地产抵押价值","房地产抵押价值","抵押担保权已注销时的房地产抵押价值")</f>
        <v>房地产抵押价值</v>
      </c>
      <c r="L49" s="3685"/>
      <c r="M49" s="3704">
        <f ca="1">D45</f>
        <v>50629</v>
      </c>
      <c r="N49" s="3704"/>
      <c r="O49" s="3704"/>
    </row>
    <row r="50" spans="1:35" ht="25.5" customHeight="1">
      <c r="A50" s="2548"/>
      <c r="B50" s="3621" t="s">
        <v>1344</v>
      </c>
      <c r="C50" s="3621"/>
      <c r="D50" s="2549"/>
      <c r="E50" s="332"/>
      <c r="F50" s="3485"/>
      <c r="G50" s="3692"/>
      <c r="H50" s="2311" t="s">
        <v>2134</v>
      </c>
      <c r="I50" s="2310"/>
      <c r="J50" s="3704" t="s">
        <v>3459</v>
      </c>
      <c r="K50" s="3704"/>
      <c r="L50" s="3704"/>
      <c r="M50" s="3704"/>
      <c r="N50" s="3704"/>
      <c r="O50" s="3704"/>
    </row>
    <row r="51" spans="1:35" ht="20.45" customHeight="1">
      <c r="A51" s="2550"/>
      <c r="B51" s="3621" t="s">
        <v>1346</v>
      </c>
      <c r="C51" s="3621"/>
      <c r="D51" s="1086"/>
      <c r="E51" s="327"/>
      <c r="F51" s="3485"/>
      <c r="G51" s="3693"/>
      <c r="H51" s="2311" t="s">
        <v>2135</v>
      </c>
      <c r="I51" s="2310"/>
      <c r="J51" s="174" t="s">
        <v>3460</v>
      </c>
      <c r="K51" s="3685" t="s">
        <v>3461</v>
      </c>
      <c r="L51" s="3685"/>
      <c r="M51" s="174" t="s">
        <v>3462</v>
      </c>
      <c r="N51" s="174" t="s">
        <v>3463</v>
      </c>
      <c r="O51" s="174" t="s">
        <v>3464</v>
      </c>
    </row>
    <row r="52" spans="1:35" ht="24" customHeight="1">
      <c r="A52" s="3490" t="s">
        <v>1352</v>
      </c>
      <c r="B52" s="3621" t="s">
        <v>1353</v>
      </c>
      <c r="C52" s="3621"/>
      <c r="D52" s="1086">
        <f ca="1">ROUND(D45*'数据-取费表'!B41/(1+'数据-取费表'!C42),0)</f>
        <v>2700</v>
      </c>
      <c r="E52" s="3491" t="s">
        <v>1354</v>
      </c>
      <c r="F52" s="2551">
        <f>'数据-取费表'!B41</f>
        <v>5.6000000000000001E-2</v>
      </c>
      <c r="G52" s="2552"/>
      <c r="H52" s="2541"/>
      <c r="I52" s="1806"/>
      <c r="J52" s="170">
        <v>1</v>
      </c>
      <c r="K52" s="3686" t="s">
        <v>3465</v>
      </c>
      <c r="L52" s="3686"/>
      <c r="M52" s="170">
        <f ca="1">D48</f>
        <v>844</v>
      </c>
      <c r="N52" s="170" t="str">
        <f>E48</f>
        <v>(销售额-原购置价)×税（费）率</v>
      </c>
      <c r="O52" s="3499">
        <f>F48</f>
        <v>5.6000000000000001E-2</v>
      </c>
    </row>
    <row r="53" spans="1:35" ht="12" customHeight="1">
      <c r="A53" s="3490" t="s">
        <v>1356</v>
      </c>
      <c r="B53" s="3647" t="s">
        <v>2290</v>
      </c>
      <c r="C53" s="3648"/>
      <c r="D53" s="1086">
        <f ca="1">ROUND(D45*'数据-取费表'!B41/(1+'数据-取费表'!C42),0)</f>
        <v>2700</v>
      </c>
      <c r="E53" s="3491" t="s">
        <v>1354</v>
      </c>
      <c r="F53" s="2551">
        <f>'数据-取费表'!B41</f>
        <v>5.6000000000000001E-2</v>
      </c>
      <c r="G53" s="2552"/>
      <c r="H53" s="2541"/>
      <c r="I53" s="1806"/>
      <c r="J53" s="170">
        <v>2</v>
      </c>
      <c r="K53" s="3686" t="s">
        <v>3466</v>
      </c>
      <c r="L53" s="3686"/>
      <c r="M53" s="170">
        <f t="shared" ref="M53:O54" ca="1" si="0">D55</f>
        <v>25</v>
      </c>
      <c r="N53" s="170" t="str">
        <f t="shared" si="0"/>
        <v>销售额×税（费）率</v>
      </c>
      <c r="O53" s="3499">
        <f t="shared" si="0"/>
        <v>5.0000000000000001E-4</v>
      </c>
    </row>
    <row r="54" spans="1:35" ht="12" customHeight="1">
      <c r="A54" s="3490" t="s">
        <v>1358</v>
      </c>
      <c r="B54" s="3647" t="s">
        <v>2291</v>
      </c>
      <c r="C54" s="3648"/>
      <c r="D54" s="1086">
        <f ca="1">C68</f>
        <v>844</v>
      </c>
      <c r="E54" s="327" t="s">
        <v>1359</v>
      </c>
      <c r="F54" s="2551">
        <f>'数据-取费表'!B41</f>
        <v>5.6000000000000001E-2</v>
      </c>
      <c r="G54" s="2552"/>
      <c r="H54" s="2553"/>
      <c r="I54" s="1806"/>
      <c r="J54" s="170">
        <v>3</v>
      </c>
      <c r="K54" s="3686" t="s">
        <v>3467</v>
      </c>
      <c r="L54" s="3686"/>
      <c r="M54" s="170">
        <f t="shared" ca="1" si="0"/>
        <v>4131</v>
      </c>
      <c r="N54" s="170" t="str">
        <f t="shared" si="0"/>
        <v>增值额×税（费）率</v>
      </c>
      <c r="O54" s="3500" t="str">
        <f t="shared" si="0"/>
        <v>——</v>
      </c>
    </row>
    <row r="55" spans="1:35" ht="24" customHeight="1">
      <c r="A55" s="3636" t="s">
        <v>1361</v>
      </c>
      <c r="B55" s="3637"/>
      <c r="C55" s="3637"/>
      <c r="D55" s="3497">
        <f ca="1">IF(H55="个人住宅",0,ROUND(D45*I55,0))</f>
        <v>25</v>
      </c>
      <c r="E55" s="3491" t="s">
        <v>1362</v>
      </c>
      <c r="F55" s="2551">
        <f>IF(H55="正常",I55,"免征")</f>
        <v>5.0000000000000001E-4</v>
      </c>
      <c r="G55" s="2552"/>
      <c r="H55" s="2547" t="s">
        <v>3452</v>
      </c>
      <c r="I55" s="165">
        <f>'数据-取费表'!B49</f>
        <v>5.0000000000000001E-4</v>
      </c>
      <c r="J55" s="170" t="str">
        <f>IF(H59="非个人房产","",4)</f>
        <v/>
      </c>
      <c r="K55" s="3686" t="str">
        <f>IF(H59="非个人房产","——","个人所得税")</f>
        <v>——</v>
      </c>
      <c r="L55" s="3686"/>
      <c r="M55" s="2029" t="str">
        <f>D59</f>
        <v>——</v>
      </c>
      <c r="N55" s="2029" t="str">
        <f>E59</f>
        <v>——</v>
      </c>
      <c r="O55" s="3501" t="str">
        <f>F59</f>
        <v>——</v>
      </c>
    </row>
    <row r="56" spans="1:35" ht="24.75">
      <c r="A56" s="3636" t="s">
        <v>1363</v>
      </c>
      <c r="B56" s="3637"/>
      <c r="C56" s="3637"/>
      <c r="D56" s="3497">
        <f ca="1">IF(H56="个人住宅",D57,D58)</f>
        <v>4131</v>
      </c>
      <c r="E56" s="3491" t="s">
        <v>1364</v>
      </c>
      <c r="F56" s="2551" t="str">
        <f>IF(H56="正常",F58,"免征")</f>
        <v>——</v>
      </c>
      <c r="G56" s="2554" t="s">
        <v>1365</v>
      </c>
      <c r="H56" s="2555" t="s">
        <v>3452</v>
      </c>
      <c r="I56" s="1807"/>
      <c r="J56" s="170" t="str">
        <f>IF(项目基本情况!K6="上海银行",IF(J55="",4,J55+1),"")</f>
        <v/>
      </c>
      <c r="K56" s="3708" t="str">
        <f>IF(项目基本情况!K6="上海银行","其他处置费用","")</f>
        <v/>
      </c>
      <c r="L56" s="3709"/>
      <c r="M56" s="170" t="str">
        <f>IF(项目基本情况!K6="上海银行",M69,"")</f>
        <v/>
      </c>
      <c r="N56" s="3708" t="str">
        <f>IF(项目基本情况!K6="上海银行","包含处置中涉及的律师、诉讼、拍卖、评估等费用","")</f>
        <v/>
      </c>
      <c r="O56" s="3711"/>
    </row>
    <row r="57" spans="1:35" ht="12.75">
      <c r="A57" s="3490" t="s">
        <v>1341</v>
      </c>
      <c r="B57" s="3647" t="s">
        <v>1366</v>
      </c>
      <c r="C57" s="3648"/>
      <c r="D57" s="1589">
        <v>0</v>
      </c>
      <c r="E57" s="324" t="s">
        <v>1343</v>
      </c>
      <c r="F57" s="302"/>
      <c r="G57" s="2552"/>
      <c r="H57" s="2556"/>
      <c r="I57" s="1807"/>
      <c r="J57" s="3686">
        <f>IF(AND(J55="",J56=""),4,IF(项目基本情况!K6="上海银行",结果表净值模拟!J56+1,结果表净值模拟!J55+1))</f>
        <v>4</v>
      </c>
      <c r="K57" s="3686" t="s">
        <v>3468</v>
      </c>
      <c r="L57" s="2578" t="s">
        <v>3469</v>
      </c>
      <c r="M57" s="3502"/>
      <c r="N57" s="3503">
        <f ca="1">SUMIF(M52:M56,"&lt;9e307")</f>
        <v>5000</v>
      </c>
      <c r="O57" s="3504"/>
      <c r="P57" s="2687">
        <f ca="1">N57/M49</f>
        <v>9.875762902684232E-2</v>
      </c>
    </row>
    <row r="58" spans="1:35" ht="24.75">
      <c r="A58" s="3490" t="s">
        <v>1352</v>
      </c>
      <c r="B58" s="3647" t="s">
        <v>1369</v>
      </c>
      <c r="C58" s="3621"/>
      <c r="D58" s="3497">
        <f ca="1">IF(H58="转让取得",C81,C97)</f>
        <v>4131</v>
      </c>
      <c r="E58" s="3491" t="s">
        <v>1364</v>
      </c>
      <c r="F58" s="302" t="s">
        <v>28</v>
      </c>
      <c r="G58" s="2552"/>
      <c r="H58" s="2555" t="s">
        <v>3453</v>
      </c>
      <c r="I58" s="1807"/>
      <c r="J58" s="3686"/>
      <c r="K58" s="3686"/>
      <c r="L58" s="2578" t="s">
        <v>3470</v>
      </c>
      <c r="M58" s="2578"/>
      <c r="N58" s="3505" t="str">
        <f ca="1">NUMBERSTRING(INT(N57*10000),2)&amp;"元整"</f>
        <v>伍仟万元整</v>
      </c>
      <c r="O58" s="2096"/>
    </row>
    <row r="59" spans="1:35" ht="24.75" thickBot="1">
      <c r="A59" s="3689" t="s">
        <v>1371</v>
      </c>
      <c r="B59" s="3690"/>
      <c r="C59" s="3690"/>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3" t="s">
        <v>3454</v>
      </c>
      <c r="I59" s="2312" t="s">
        <v>2136</v>
      </c>
      <c r="J59" s="3687">
        <f>J57+1</f>
        <v>5</v>
      </c>
      <c r="K59" s="3686" t="s">
        <v>3471</v>
      </c>
      <c r="L59" s="170" t="s">
        <v>3469</v>
      </c>
      <c r="M59" s="3506"/>
      <c r="N59" s="3507">
        <f ca="1">M49-N57</f>
        <v>45629</v>
      </c>
      <c r="O59" s="3508"/>
    </row>
    <row r="60" spans="1:35" ht="12" customHeight="1">
      <c r="A60" s="1808"/>
      <c r="B60" s="1746"/>
      <c r="C60" s="1746"/>
      <c r="D60" s="1746"/>
      <c r="E60" s="1577"/>
      <c r="F60" s="1807"/>
      <c r="G60" s="1807"/>
      <c r="H60" s="1809"/>
      <c r="I60" s="129"/>
      <c r="J60" s="3688"/>
      <c r="K60" s="3686"/>
      <c r="L60" s="2578" t="s">
        <v>3470</v>
      </c>
      <c r="M60" s="2578"/>
      <c r="N60" s="3505" t="str">
        <f ca="1">NUMBERSTRING(INT(N59*10000),2)&amp;"元整"</f>
        <v>肆亿伍仟陆佰贰拾玖万元整</v>
      </c>
      <c r="O60" s="2096"/>
    </row>
    <row r="61" spans="1:35" ht="13.5" thickBot="1">
      <c r="A61" s="3634" t="s">
        <v>1373</v>
      </c>
      <c r="B61" s="3634"/>
      <c r="C61" s="3634"/>
      <c r="D61" s="3634"/>
      <c r="E61" s="3634"/>
      <c r="F61" s="1807"/>
      <c r="G61" s="1807"/>
      <c r="H61" s="1809"/>
      <c r="I61" s="129"/>
      <c r="J61" s="170">
        <f>J59+1</f>
        <v>6</v>
      </c>
      <c r="K61" s="3686" t="s">
        <v>3472</v>
      </c>
      <c r="L61" s="3686"/>
      <c r="M61" s="3509"/>
      <c r="N61" s="3510">
        <f ca="1">ROUND(N59*10000/'数据-汇总表'!E3,0)</f>
        <v>23506</v>
      </c>
      <c r="O61" s="3511"/>
    </row>
    <row r="62" spans="1:35" ht="12.75">
      <c r="A62" s="3652" t="s">
        <v>1375</v>
      </c>
      <c r="B62" s="3653"/>
      <c r="C62" s="3494"/>
      <c r="D62" s="3494" t="s">
        <v>1376</v>
      </c>
      <c r="E62" s="166" t="s">
        <v>1377</v>
      </c>
      <c r="F62" s="1807"/>
      <c r="G62" s="1807"/>
      <c r="H62" s="1809"/>
      <c r="I62" s="129"/>
    </row>
    <row r="63" spans="1:35" ht="12.75">
      <c r="A63" s="173" t="s">
        <v>330</v>
      </c>
      <c r="B63" s="167" t="s">
        <v>1378</v>
      </c>
      <c r="C63" s="2561">
        <f ca="1">ROUND((C64+C65)/(1+'数据-取费表'!C42),0)</f>
        <v>48218</v>
      </c>
      <c r="D63" s="167"/>
      <c r="E63" s="168"/>
      <c r="F63" s="1807"/>
      <c r="G63" s="1807"/>
      <c r="H63" s="1809"/>
      <c r="I63" s="129"/>
      <c r="J63" s="3710" t="s">
        <v>1379</v>
      </c>
      <c r="K63" s="3498" t="s">
        <v>1380</v>
      </c>
      <c r="L63" s="3498">
        <f ca="1">IF(M49&gt;10000,M49*0.5%,IF(AND(M49&gt;1000,M49&lt;=10000),M49*1%,IF(AND(M49&gt;100,M49&lt;=1000),M49*3%,IF(AND(M49&gt;10,M49&lt;=100),M49*5%,M49*8%))))</f>
        <v>253.14500000000001</v>
      </c>
      <c r="M63" s="302">
        <f ca="1">ROUND(L63,1)</f>
        <v>253.1</v>
      </c>
      <c r="N63" s="2540"/>
      <c r="Z63" s="1751"/>
      <c r="AI63" s="1752"/>
    </row>
    <row r="64" spans="1:35" ht="14.25" customHeight="1">
      <c r="A64" s="169" t="s">
        <v>325</v>
      </c>
      <c r="B64" s="170" t="s">
        <v>1381</v>
      </c>
      <c r="C64" s="2562">
        <f ca="1">D45</f>
        <v>50629</v>
      </c>
      <c r="D64" s="170" t="s">
        <v>26</v>
      </c>
      <c r="E64" s="172"/>
      <c r="F64" s="1807"/>
      <c r="G64" s="1807"/>
      <c r="H64" s="1809"/>
      <c r="I64" s="129"/>
      <c r="J64" s="3710"/>
      <c r="K64" s="3498" t="s">
        <v>1382</v>
      </c>
      <c r="L64" s="3498">
        <f ca="1">IF(M49&gt;2000,M49*0.5%,IF(AND(M49&gt;1000,M49&lt;=2000),M49*0.6%,IF(AND(M49&gt;500,M49&lt;=1000),M49*0.7%,IF(AND(M49&gt;200,M49&lt;=500),M49*0.8%,IF(AND(M49&gt;100,M49&lt;=200),M49*0.9%,IF(AND(M49&gt;50,M49&lt;=100),M49*1%,IF(AND(M49&gt;20,M49&lt;=50),M49*1.5%,IF(AND(M49&gt;10,M49&lt;=20),M49*2%,IF(AND(M49&gt;1,M49&lt;=10),M49*2.5%)))))))))</f>
        <v>253.14500000000001</v>
      </c>
      <c r="M64" s="302">
        <f t="shared" ref="M64:M65" ca="1" si="1">ROUND(L64,1)</f>
        <v>253.1</v>
      </c>
      <c r="N64" s="2541" t="s">
        <v>1383</v>
      </c>
      <c r="Z64" s="1751"/>
      <c r="AI64" s="1752"/>
    </row>
    <row r="65" spans="1:35" ht="14.25" customHeight="1">
      <c r="A65" s="169" t="s">
        <v>326</v>
      </c>
      <c r="B65" s="170" t="s">
        <v>1384</v>
      </c>
      <c r="C65" s="2563"/>
      <c r="D65" s="170"/>
      <c r="E65" s="172"/>
      <c r="F65" s="1807"/>
      <c r="G65" s="1807"/>
      <c r="H65" s="1809"/>
      <c r="I65" s="129"/>
      <c r="J65" s="3710"/>
      <c r="K65" s="3498" t="s">
        <v>1385</v>
      </c>
      <c r="L65" s="3498">
        <f ca="1">IF(M49&gt;1000,M49*0.1%,IF(AND(M49&gt;500,M49&lt;=1000),M49*0.5%,IF(AND(M49&gt;50,M49&lt;=500),M49*1%,IF(AND(M49&gt;1,M49&lt;=50),M49*1.5%))))</f>
        <v>50.628999999999998</v>
      </c>
      <c r="M65" s="302">
        <f t="shared" ca="1" si="1"/>
        <v>50.6</v>
      </c>
      <c r="N65" s="2541" t="s">
        <v>1383</v>
      </c>
      <c r="Z65" s="1751"/>
      <c r="AI65" s="1752"/>
    </row>
    <row r="66" spans="1:35" ht="14.25" customHeight="1">
      <c r="A66" s="173" t="s">
        <v>327</v>
      </c>
      <c r="B66" s="174" t="s">
        <v>1386</v>
      </c>
      <c r="C66" s="2564">
        <f>33148.8371</f>
        <v>33148.837099999997</v>
      </c>
      <c r="D66" s="174" t="s">
        <v>26</v>
      </c>
      <c r="E66" s="1337" t="s">
        <v>671</v>
      </c>
      <c r="F66" s="1807"/>
      <c r="G66" s="1807"/>
      <c r="H66" s="1809"/>
      <c r="I66" s="129"/>
      <c r="J66" s="3710"/>
      <c r="K66" s="3498" t="s">
        <v>1387</v>
      </c>
      <c r="L66" s="3498">
        <f ca="1">M49*0.5%</f>
        <v>253.14500000000001</v>
      </c>
      <c r="M66" s="302">
        <f ca="1">IF(L66&gt;0.5,0.5,ROUND(L66,0))</f>
        <v>0.5</v>
      </c>
      <c r="N66" s="2541" t="s">
        <v>1388</v>
      </c>
      <c r="Z66" s="1751"/>
      <c r="AI66" s="1752"/>
    </row>
    <row r="67" spans="1:35" ht="14.25" customHeight="1">
      <c r="A67" s="173" t="s">
        <v>328</v>
      </c>
      <c r="B67" s="174" t="s">
        <v>1389</v>
      </c>
      <c r="C67" s="2565">
        <f ca="1">C63-C66</f>
        <v>15069.162900000003</v>
      </c>
      <c r="D67" s="170" t="s">
        <v>26</v>
      </c>
      <c r="E67" s="172"/>
      <c r="F67" s="1807"/>
      <c r="G67" s="1807"/>
      <c r="H67" s="1809"/>
      <c r="I67" s="129"/>
      <c r="J67" s="3710"/>
      <c r="K67" s="3498" t="s">
        <v>1390</v>
      </c>
      <c r="L67" s="3498">
        <f ca="1">IF(M49&gt;=10000,(8.25+(M49-10000)*0.01%),IF(AND(M49&gt;=8000,M49&lt;10000),(7.85+(M49-8000)*0.02%),IF(AND(M49&gt;=5000,M49&lt;8000),(6.65+(M49-5000)*0.04%),IF(AND(M49&gt;=2000,M49&lt;5000),(4.25+(PM49-2000)*0.08%),IF(AND(M49&gt;=1000,M49&lt;2000),(2.75+(M49-1000)*0.15%),IF(AND(M49&gt;=100,M49&lt;1000),(0.5+(M49-100)*0.25%),IF(AND(M49&gt;0,M49&lt;100),M49*0.5%)))))))</f>
        <v>12.312899999999999</v>
      </c>
      <c r="M67" s="302">
        <f ca="1">ROUND(L67*0.9,1)</f>
        <v>11.1</v>
      </c>
      <c r="N67" s="2540"/>
      <c r="Z67" s="1751"/>
      <c r="AI67" s="1752"/>
    </row>
    <row r="68" spans="1:35" ht="14.25" customHeight="1" thickBot="1">
      <c r="A68" s="176" t="s">
        <v>329</v>
      </c>
      <c r="B68" s="177" t="s">
        <v>1391</v>
      </c>
      <c r="C68" s="2566">
        <f ca="1">IF(C67&lt;=0,0,ROUND(C67*D68,0))</f>
        <v>844</v>
      </c>
      <c r="D68" s="2567">
        <f>'数据-取费表'!B41</f>
        <v>5.6000000000000001E-2</v>
      </c>
      <c r="E68" s="178"/>
      <c r="F68" s="1807"/>
      <c r="G68" s="1807"/>
      <c r="H68" s="1809"/>
      <c r="I68" s="129"/>
      <c r="J68" s="3710"/>
      <c r="K68" s="3498" t="s">
        <v>1392</v>
      </c>
      <c r="L68" s="3498">
        <f ca="1">IF(M49&gt;10000,M49*0.5%,IF(AND(M49&gt;5000,M49&lt;=10000),M49*1%,IF(AND(M49&gt;1000,M49&lt;=5000),M49*2%,IF(AND(M49&gt;200,M49&lt;=1000),M49*3%,M49*5%))))</f>
        <v>253.14500000000001</v>
      </c>
      <c r="M68" s="302">
        <f ca="1">ROUND(L68,1)</f>
        <v>253.1</v>
      </c>
      <c r="N68" s="2540"/>
      <c r="Z68" s="1751"/>
      <c r="AI68" s="1752"/>
    </row>
    <row r="69" spans="1:35" s="1771" customFormat="1" ht="16.5" customHeight="1">
      <c r="A69" s="1810"/>
      <c r="B69" s="1811"/>
      <c r="C69" s="1812"/>
      <c r="D69" s="1813"/>
      <c r="E69" s="1814"/>
      <c r="F69" s="1577"/>
      <c r="G69" s="1577"/>
      <c r="H69" s="1576"/>
      <c r="I69" s="1746"/>
      <c r="J69" s="3710"/>
      <c r="K69" s="3498" t="s">
        <v>1393</v>
      </c>
      <c r="L69" s="3498"/>
      <c r="M69" s="302">
        <f ca="1">ROUND(SUM(M63:M68),0)</f>
        <v>822</v>
      </c>
      <c r="N69" s="2542">
        <f ca="1">M69/M49</f>
        <v>1.6235754212012878E-2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73" t="s">
        <v>1394</v>
      </c>
      <c r="B70" s="3674"/>
      <c r="C70" s="3674"/>
      <c r="D70" s="3674"/>
      <c r="E70" s="3674"/>
      <c r="F70" s="3674"/>
      <c r="G70" s="3674"/>
      <c r="H70" s="367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2" t="s">
        <v>1375</v>
      </c>
      <c r="B71" s="3653"/>
      <c r="C71" s="3494"/>
      <c r="D71" s="3494"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5">
        <f ca="1">ROUND(D45/(1+'数据-取费表'!C42),0)</f>
        <v>48218</v>
      </c>
      <c r="D72" s="170" t="s">
        <v>26</v>
      </c>
      <c r="E72" s="3493"/>
      <c r="F72" s="3486"/>
      <c r="G72" s="3486"/>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f ca="1">C74+C78</f>
        <v>34449</v>
      </c>
      <c r="D73" s="170" t="s">
        <v>26</v>
      </c>
      <c r="E73" s="3493"/>
      <c r="F73" s="3486"/>
      <c r="G73" s="348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34160</v>
      </c>
      <c r="D74" s="170" t="s">
        <v>26</v>
      </c>
      <c r="E74" s="3493"/>
      <c r="F74" s="3486"/>
      <c r="G74" s="348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8">
        <f>C66</f>
        <v>33148.837099999997</v>
      </c>
      <c r="D75" s="170" t="s">
        <v>26</v>
      </c>
      <c r="E75" s="184" t="s">
        <v>1399</v>
      </c>
      <c r="F75" s="2569" t="s">
        <v>3449</v>
      </c>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647" t="s">
        <v>1402</v>
      </c>
      <c r="F76" s="3621"/>
      <c r="G76" s="3621"/>
      <c r="H76" s="367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1011</v>
      </c>
      <c r="D77" s="2572">
        <f>'数据-取费表'!B48+'数据-取费表'!B49</f>
        <v>3.0499999999999999E-2</v>
      </c>
      <c r="E77" s="3497" t="s">
        <v>1404</v>
      </c>
      <c r="F77" s="186"/>
      <c r="G77" s="1821" t="s">
        <v>3450</v>
      </c>
      <c r="H77" s="3496"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f ca="1">ROUND(D45*D78/(1+'数据-取费表'!C42),0)</f>
        <v>289</v>
      </c>
      <c r="D78" s="2574">
        <f>'数据-取费表'!B43</f>
        <v>6.000000000000001E-3</v>
      </c>
      <c r="E78" s="3631" t="s">
        <v>1406</v>
      </c>
      <c r="F78" s="3632"/>
      <c r="G78" s="3632"/>
      <c r="H78" s="364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1407</v>
      </c>
      <c r="C79" s="2565">
        <f ca="1">C72-C73</f>
        <v>13769</v>
      </c>
      <c r="D79" s="170" t="s">
        <v>26</v>
      </c>
      <c r="E79" s="3493"/>
      <c r="F79" s="3486"/>
      <c r="G79" s="348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f ca="1">IF(C79&lt;=0,0,C79/C73)</f>
        <v>0.39969229876048651</v>
      </c>
      <c r="D80" s="170" t="s">
        <v>26</v>
      </c>
      <c r="E80" s="3497" t="str">
        <f ca="1">IF(C80&gt;=200%,"增值额超过扣除项目金额200%",IF(C80&gt;=100%,"增值额超过扣除项目金额100%，未超过200%",IF(C80&gt;=50%,"增值额超过扣除项目金额50%，未超过100%",IF(C80&lt;50%,"增值额未超过扣除项目金额50%"))))</f>
        <v>增值额未超过扣除项目金额50%</v>
      </c>
      <c r="F80" s="3486"/>
      <c r="G80" s="348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f ca="1">ROUND(IF(C79&lt;=0,0,IF(C80&gt;=200%,C79*60%-C73*35%,IF(C80&gt;=100%,C79*50%-C73*15%,IF(C80&gt;=50%,C79*40%-C73*5%,IF(C80&lt;50%,C79*30%,0))))),0)</f>
        <v>4131</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73" t="s">
        <v>1410</v>
      </c>
      <c r="B83" s="3674"/>
      <c r="C83" s="3674"/>
      <c r="D83" s="3674"/>
      <c r="E83" s="3674"/>
      <c r="F83" s="3674"/>
      <c r="G83" s="3674"/>
      <c r="H83" s="367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2" t="s">
        <v>1375</v>
      </c>
      <c r="B84" s="3653"/>
      <c r="C84" s="3494"/>
      <c r="D84" s="3494"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5">
        <f ca="1">ROUND(D45/(1+'数据-取费表'!C42),0)</f>
        <v>48218</v>
      </c>
      <c r="D85" s="170" t="s">
        <v>26</v>
      </c>
      <c r="E85" s="3493"/>
      <c r="F85" s="3486"/>
      <c r="G85" s="348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f ca="1">IF(H88="仅含出让金",C87+C90+C91+C92+C93+C94,C87+C91+C92+C93+C94)</f>
        <v>289</v>
      </c>
      <c r="D86" s="2578"/>
      <c r="E86" s="3493"/>
      <c r="F86" s="3486"/>
      <c r="G86" s="348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3">
        <f>C88+C89</f>
        <v>0</v>
      </c>
      <c r="D87" s="2574"/>
      <c r="E87" s="3487"/>
      <c r="F87" s="3488"/>
      <c r="G87" s="3488"/>
      <c r="H87" s="3492"/>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9"/>
      <c r="D88" s="2574"/>
      <c r="E88" s="193" t="s">
        <v>1413</v>
      </c>
      <c r="F88" s="3488"/>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3">
        <f>ROUND(C88*D89,0)</f>
        <v>0</v>
      </c>
      <c r="D89" s="2574">
        <f>'数据-取费表'!B48+'数据-取费表'!B49</f>
        <v>3.0499999999999999E-2</v>
      </c>
      <c r="E89" s="193" t="s">
        <v>1415</v>
      </c>
      <c r="F89" s="3488"/>
      <c r="G89" s="3488"/>
      <c r="H89" s="3492"/>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9"/>
      <c r="D90" s="2574"/>
      <c r="E90" s="193" t="str">
        <f>IF(H88="-","土地取得成本中已包含该笔费用"," ")</f>
        <v xml:space="preserve"> </v>
      </c>
      <c r="F90" s="3488"/>
      <c r="G90" s="3712" t="s">
        <v>2128</v>
      </c>
      <c r="H90" s="371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631" t="s">
        <v>1419</v>
      </c>
      <c r="F91" s="3632"/>
      <c r="G91" s="363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631" t="s">
        <v>1422</v>
      </c>
      <c r="F92" s="3632"/>
      <c r="G92" s="3632"/>
      <c r="H92" s="364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f ca="1">ROUND(D45*D93/(1+'数据-取费表'!C42),0)</f>
        <v>289</v>
      </c>
      <c r="D93" s="2574">
        <f>'数据-取费表'!B43</f>
        <v>6.000000000000001E-3</v>
      </c>
      <c r="E93" s="3631" t="s">
        <v>1406</v>
      </c>
      <c r="F93" s="3632"/>
      <c r="G93" s="3632"/>
      <c r="H93" s="364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642" t="s">
        <v>1426</v>
      </c>
      <c r="F94" s="3643"/>
      <c r="G94" s="3643"/>
      <c r="H94" s="364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1407</v>
      </c>
      <c r="C95" s="2565">
        <f ca="1">ROUND(C85-C86,0)</f>
        <v>47929</v>
      </c>
      <c r="D95" s="170" t="s">
        <v>26</v>
      </c>
      <c r="E95" s="3493"/>
      <c r="F95" s="3486"/>
      <c r="G95" s="348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f ca="1">IF(C95&lt;=0,0,C95/C86)</f>
        <v>165.84429065743944</v>
      </c>
      <c r="D96" s="170" t="s">
        <v>26</v>
      </c>
      <c r="E96" s="3497" t="str">
        <f ca="1">IF(C96&gt;=200%,"增值额超过扣除项目金额200%",IF(C96&gt;=100%,"增值额超过扣除项目金额100%，未超过200%",IF(C96&gt;=50%,"增值额超过扣除项目金额50%，未超过100%",IF(C96&lt;50%,"增值额未超过扣除项目金额50%"))))</f>
        <v>增值额超过扣除项目金额200%</v>
      </c>
      <c r="F96" s="3486"/>
      <c r="G96" s="348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f ca="1">ROUND(IF(C95&lt;=0,0,IF(C96&gt;=200%,C95*60%-C86*35%,IF(C96&gt;=100%,C95*50%-C86*15%,IF(C96&gt;=50%,C95*40%-C86*5%,IF(C96&lt;50%,C95*30%,0))))),0)</f>
        <v>28656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15" t="s">
        <v>1428</v>
      </c>
      <c r="B100" s="3616"/>
      <c r="C100" s="3616"/>
      <c r="D100" s="3633"/>
      <c r="E100" s="3616" t="s">
        <v>1429</v>
      </c>
      <c r="F100" s="3616"/>
      <c r="G100" s="3616"/>
      <c r="H100" s="3633"/>
      <c r="I100" s="129"/>
    </row>
    <row r="101" spans="1:35" ht="18.75" customHeight="1">
      <c r="A101" s="3694" t="s">
        <v>1430</v>
      </c>
      <c r="B101" s="3695"/>
      <c r="C101" s="2582" t="str">
        <f>C4</f>
        <v>典型户型修正</v>
      </c>
      <c r="D101" s="2583" t="str">
        <f>D4</f>
        <v>成本法</v>
      </c>
      <c r="E101" s="3707" t="s">
        <v>1431</v>
      </c>
      <c r="F101" s="3665"/>
      <c r="G101" s="1826" t="s">
        <v>1432</v>
      </c>
      <c r="H101" s="2592">
        <f ca="1">H118</f>
        <v>53236</v>
      </c>
      <c r="I101" s="129"/>
    </row>
    <row r="102" spans="1:35" ht="18.75" customHeight="1">
      <c r="A102" s="3667" t="s">
        <v>1433</v>
      </c>
      <c r="B102" s="2581" t="s">
        <v>1432</v>
      </c>
      <c r="C102" s="2582">
        <f ca="1">IF(D32="楼面单价",ROUND(C19,0),C19)</f>
        <v>50835</v>
      </c>
      <c r="D102" s="2583">
        <f ca="1">IF(D32="楼面单价",ROUND(D19,0),D19)</f>
        <v>55637</v>
      </c>
      <c r="E102" s="3707"/>
      <c r="F102" s="3665"/>
      <c r="G102" s="1826" t="s">
        <v>1434</v>
      </c>
      <c r="H102" s="2552">
        <f ca="1">I118</f>
        <v>27424</v>
      </c>
      <c r="I102" s="129"/>
    </row>
    <row r="103" spans="1:35" ht="42.75" customHeight="1">
      <c r="A103" s="3667"/>
      <c r="B103" s="2581" t="s">
        <v>1434</v>
      </c>
      <c r="C103" s="2584">
        <f ca="1">C20</f>
        <v>26187</v>
      </c>
      <c r="D103" s="2585">
        <f ca="1">D20</f>
        <v>28661</v>
      </c>
      <c r="E103" s="3702" t="s">
        <v>1435</v>
      </c>
      <c r="F103" s="3703"/>
      <c r="G103" s="1827" t="s">
        <v>1436</v>
      </c>
      <c r="H103" s="2592">
        <f>IF(D36="正常操作",H104+H105+H106,H105+H106)</f>
        <v>0</v>
      </c>
      <c r="I103" s="129"/>
    </row>
    <row r="104" spans="1:35" ht="18.75" customHeight="1">
      <c r="A104" s="3667" t="s">
        <v>1437</v>
      </c>
      <c r="B104" s="2586" t="s">
        <v>1432</v>
      </c>
      <c r="C104" s="2587">
        <f ca="1">H118</f>
        <v>53236</v>
      </c>
      <c r="D104" s="2588"/>
      <c r="E104" s="1673" t="s">
        <v>1438</v>
      </c>
      <c r="F104" s="1665"/>
      <c r="G104" s="1827" t="s">
        <v>1436</v>
      </c>
      <c r="H104" s="2593">
        <f>IF(D36="同一抵押权人同一抵押物续贷",C36&amp;"（续贷，未扣减，详见特别提示）",C36)</f>
        <v>0</v>
      </c>
      <c r="I104" s="129"/>
    </row>
    <row r="105" spans="1:35" ht="18.75" customHeight="1" thickBot="1">
      <c r="A105" s="3668"/>
      <c r="B105" s="2589" t="s">
        <v>1434</v>
      </c>
      <c r="C105" s="2590">
        <f ca="1">I118</f>
        <v>27424</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64" t="str">
        <f>IF(项目基本情况!E8="已注销","——","3.房地产抵押价值")</f>
        <v>3.房地产抵押价值</v>
      </c>
      <c r="F107" s="3665"/>
      <c r="G107" s="1826" t="s">
        <v>1432</v>
      </c>
      <c r="H107" s="2592">
        <f ca="1">IF(E107="——","——",H101-H103)</f>
        <v>53236</v>
      </c>
      <c r="I107" s="129"/>
    </row>
    <row r="108" spans="1:35" ht="18.75" customHeight="1">
      <c r="A108" s="129"/>
      <c r="B108" s="129"/>
      <c r="C108" s="129"/>
      <c r="D108" s="129"/>
      <c r="E108" s="3664"/>
      <c r="F108" s="3665"/>
      <c r="G108" s="1826" t="s">
        <v>1434</v>
      </c>
      <c r="H108" s="2552">
        <f ca="1">IF(H107=H101,H102,ROUND(H107*10000/'数据-汇总表'!E3,0))</f>
        <v>27424</v>
      </c>
      <c r="I108" s="129"/>
    </row>
    <row r="109" spans="1:35" ht="18.75" customHeight="1">
      <c r="A109" s="129"/>
      <c r="B109" s="129"/>
      <c r="C109" s="129"/>
      <c r="D109" s="129"/>
      <c r="E109" s="3664" t="str">
        <f>IF(项目基本情况!E8="已注销及未注销","4.抵押担保权已注销时的房地产抵押价值",IF(项目基本情况!E8="已注销","3.抵押担保权已注销时的房地产抵押价值","——"))</f>
        <v>——</v>
      </c>
      <c r="F109" s="3665"/>
      <c r="G109" s="1826" t="s">
        <v>1432</v>
      </c>
      <c r="H109" s="2595" t="str">
        <f>IF(E109="——","——",H101-H105-H106)</f>
        <v>——</v>
      </c>
      <c r="I109" s="129"/>
    </row>
    <row r="110" spans="1:35" ht="18.75" customHeight="1">
      <c r="A110" s="129"/>
      <c r="B110" s="129"/>
      <c r="C110" s="129"/>
      <c r="D110" s="129"/>
      <c r="E110" s="3664"/>
      <c r="F110" s="3665"/>
      <c r="G110" s="1826" t="s">
        <v>1434</v>
      </c>
      <c r="H110" s="2552" t="str">
        <f>IF(H109="——","——",ROUND(H109*10000/'数据-汇总表'!E3,0))</f>
        <v>——</v>
      </c>
      <c r="I110" s="129"/>
    </row>
    <row r="111" spans="1:35" ht="18.75" customHeight="1">
      <c r="A111" s="129"/>
      <c r="B111" s="129"/>
      <c r="C111" s="129"/>
      <c r="D111" s="129"/>
      <c r="E111" s="3696" t="str">
        <f>IF(项目基本情况!E9="抵押净值",IF(OR(项目基本情况!E8="已注销",项目基本情况!E8="房地产抵押价值"),"4.抵押净值","5.抵押净值"),"——")</f>
        <v>4.抵押净值</v>
      </c>
      <c r="F111" s="3666"/>
      <c r="G111" s="1826" t="s">
        <v>1432</v>
      </c>
      <c r="H111" s="2592">
        <f ca="1">IF(E111="——","——",N59)</f>
        <v>45629</v>
      </c>
      <c r="I111" s="129"/>
    </row>
    <row r="112" spans="1:35" ht="18.75" customHeight="1" thickBot="1">
      <c r="A112" s="129"/>
      <c r="B112" s="129"/>
      <c r="C112" s="129"/>
      <c r="D112" s="129"/>
      <c r="E112" s="3697"/>
      <c r="F112" s="3698"/>
      <c r="G112" s="1829" t="s">
        <v>1434</v>
      </c>
      <c r="H112" s="2596">
        <f ca="1">IF(E111="——","——",N61)</f>
        <v>23506</v>
      </c>
      <c r="I112" s="129"/>
    </row>
    <row r="113" spans="1:27" ht="18.75" customHeight="1">
      <c r="A113" s="129"/>
      <c r="B113" s="129"/>
      <c r="C113" s="129"/>
      <c r="D113" s="129"/>
      <c r="E113" s="3669" t="s">
        <v>1440</v>
      </c>
      <c r="F113" s="3669"/>
      <c r="G113" s="3669"/>
      <c r="H113" s="3669"/>
      <c r="I113" s="129"/>
    </row>
    <row r="114" spans="1:27" ht="3.75" customHeight="1">
      <c r="A114" s="1746"/>
      <c r="B114" s="1746"/>
      <c r="C114" s="1746"/>
      <c r="D114" s="1746"/>
      <c r="E114" s="1808"/>
      <c r="F114" s="1808"/>
      <c r="G114" s="1808"/>
      <c r="H114" s="1808"/>
      <c r="I114" s="1746"/>
    </row>
    <row r="115" spans="1:27" ht="18.75" customHeight="1">
      <c r="A115" s="3679" t="s">
        <v>1442</v>
      </c>
      <c r="B115" s="3680"/>
      <c r="C115" s="3680"/>
      <c r="D115" s="3680"/>
      <c r="E115" s="3680"/>
      <c r="F115" s="3680"/>
      <c r="G115" s="3680"/>
      <c r="H115" s="3680"/>
      <c r="I115" s="3681"/>
    </row>
    <row r="116" spans="1:27" ht="27" customHeight="1">
      <c r="A116" s="3635" t="s">
        <v>1443</v>
      </c>
      <c r="B116" s="3670" t="s">
        <v>1444</v>
      </c>
      <c r="C116" s="3670" t="s">
        <v>1445</v>
      </c>
      <c r="D116" s="3683" t="s">
        <v>1446</v>
      </c>
      <c r="E116" s="3684"/>
      <c r="F116" s="3678" t="s">
        <v>1447</v>
      </c>
      <c r="G116" s="3678"/>
      <c r="H116" s="3635" t="s">
        <v>1448</v>
      </c>
      <c r="I116" s="3635"/>
    </row>
    <row r="117" spans="1:27" ht="18.75" customHeight="1">
      <c r="A117" s="3635"/>
      <c r="B117" s="3671"/>
      <c r="C117" s="3671"/>
      <c r="D117" s="3489" t="s">
        <v>1449</v>
      </c>
      <c r="E117" s="3489" t="s">
        <v>1450</v>
      </c>
      <c r="F117" s="3489" t="s">
        <v>1449</v>
      </c>
      <c r="G117" s="3489" t="s">
        <v>1451</v>
      </c>
      <c r="H117" s="3489" t="s">
        <v>1449</v>
      </c>
      <c r="I117" s="3489" t="s">
        <v>1451</v>
      </c>
    </row>
    <row r="118" spans="1:27" ht="24.75" customHeight="1">
      <c r="A118" s="2597" t="str">
        <f>项目基本情况!S2</f>
        <v>北京市房地产</v>
      </c>
      <c r="B118" s="3489">
        <f>M18</f>
        <v>19411.939999999999</v>
      </c>
      <c r="C118" s="3489">
        <f>M19</f>
        <v>0</v>
      </c>
      <c r="D118" s="3489" t="e">
        <f ca="1">ROUND(IF(D32="总价",C34,E118*B118/10000),0)</f>
        <v>#REF!</v>
      </c>
      <c r="E118" s="3489" t="e">
        <f ca="1">ROUND(IF(C33="自定义",IF(D32="楼面单价",C34,D118*10000/B118),I118-G118),0)</f>
        <v>#REF!</v>
      </c>
      <c r="F118" s="3489" t="e">
        <f ca="1">ROUND(IF(D32="总价",C35,G118*B118/10000),0)</f>
        <v>#REF!</v>
      </c>
      <c r="G118" s="3489" t="e">
        <f ca="1">ROUND(IF(D32="楼面单价",C35,F118*10000/B118),0)</f>
        <v>#REF!</v>
      </c>
      <c r="H118" s="3489">
        <f ca="1">ROUND(IF(D32="总价",C32,I118*B118/10000),0)</f>
        <v>53236</v>
      </c>
      <c r="I118" s="3489">
        <f ca="1">ROUND(IF(D32="楼面单价",C32,H118*10000/B118),0)</f>
        <v>27424</v>
      </c>
    </row>
    <row r="119" spans="1:27" ht="18.75" customHeight="1">
      <c r="A119" s="3635" t="s">
        <v>1452</v>
      </c>
      <c r="B119" s="3635"/>
      <c r="C119" s="3635"/>
      <c r="D119" s="3675" t="e">
        <f ca="1">NUMBERSTRING(INT(D118*10000),2)&amp;"元整"</f>
        <v>#REF!</v>
      </c>
      <c r="E119" s="3677"/>
      <c r="F119" s="3675" t="e">
        <f ca="1">NUMBERSTRING(INT(F118*10000),2)&amp;"元整"</f>
        <v>#REF!</v>
      </c>
      <c r="G119" s="3677"/>
      <c r="H119" s="3675" t="str">
        <f ca="1">NUMBERSTRING(INT(H118*10000),2)&amp;"元整"</f>
        <v>伍亿叁仟贰佰叁拾陆万元整</v>
      </c>
      <c r="I119" s="3677"/>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75" t="s">
        <v>1452</v>
      </c>
      <c r="B121" s="3676"/>
      <c r="C121" s="3677"/>
      <c r="D121" s="3675" t="str">
        <f>IF(D120=0,"零元整",NUMBERSTRING(INT(D120*10000),2)&amp;"元整")</f>
        <v>零元整</v>
      </c>
      <c r="E121" s="3676"/>
      <c r="F121" s="3676"/>
      <c r="G121" s="3676"/>
      <c r="H121" s="3676"/>
      <c r="I121" s="3677"/>
      <c r="AA121" s="724"/>
    </row>
    <row r="122" spans="1:27" ht="18.75" customHeight="1">
      <c r="A122" s="3666" t="str">
        <f>IF(项目基本情况!B9="房地产市场价值","",MID(E107,3,LEN(E107)-2))</f>
        <v>房地产抵押价值</v>
      </c>
      <c r="B122" s="3666"/>
      <c r="C122" s="3666"/>
      <c r="D122" s="3699">
        <f ca="1">H107</f>
        <v>53236</v>
      </c>
      <c r="E122" s="3700"/>
      <c r="F122" s="3700"/>
      <c r="G122" s="3700"/>
      <c r="H122" s="3700"/>
      <c r="I122" s="3701"/>
      <c r="AA122" s="724"/>
    </row>
    <row r="123" spans="1:27" ht="18.75" customHeight="1">
      <c r="A123" s="3635" t="s">
        <v>1452</v>
      </c>
      <c r="B123" s="3635"/>
      <c r="C123" s="3635"/>
      <c r="D123" s="3675" t="str">
        <f ca="1">NUMBERSTRING(INT(D122*10000),2)&amp;"元整"</f>
        <v>伍亿叁仟贰佰叁拾陆万元整</v>
      </c>
      <c r="E123" s="3676"/>
      <c r="F123" s="3676"/>
      <c r="G123" s="3676"/>
      <c r="H123" s="3676"/>
      <c r="I123" s="3677"/>
      <c r="AA123" s="724"/>
    </row>
    <row r="124" spans="1:27" ht="18.75" customHeight="1">
      <c r="A124" s="3666" t="str">
        <f>IF(项目基本情况!B9="房地产市场价值","",MID(E109,3,LEN(E109)-2))</f>
        <v/>
      </c>
      <c r="B124" s="3666"/>
      <c r="C124" s="3666"/>
      <c r="D124" s="3699" t="str">
        <f>H109</f>
        <v>——</v>
      </c>
      <c r="E124" s="3700"/>
      <c r="F124" s="3700"/>
      <c r="G124" s="3700"/>
      <c r="H124" s="3700"/>
      <c r="I124" s="3701"/>
      <c r="AA124" s="724"/>
    </row>
    <row r="125" spans="1:27" ht="18.75" customHeight="1">
      <c r="A125" s="3635" t="s">
        <v>1452</v>
      </c>
      <c r="B125" s="3635"/>
      <c r="C125" s="3635"/>
      <c r="D125" s="3675" t="e">
        <f>NUMBERSTRING(INT(D124*10000),2)&amp;"元整"</f>
        <v>#VALUE!</v>
      </c>
      <c r="E125" s="3676"/>
      <c r="F125" s="3676"/>
      <c r="G125" s="3676"/>
      <c r="H125" s="3676"/>
      <c r="I125" s="3677"/>
      <c r="AA125" s="724"/>
    </row>
    <row r="126" spans="1:27" ht="18.75" customHeight="1">
      <c r="A126" s="3666" t="str">
        <f>IF(项目基本情况!B9="房地产市场价值","",MID(E111,3,LEN(E111)-2))</f>
        <v>抵押净值</v>
      </c>
      <c r="B126" s="3666"/>
      <c r="C126" s="3666"/>
      <c r="D126" s="3699">
        <f ca="1">H111</f>
        <v>45629</v>
      </c>
      <c r="E126" s="3700"/>
      <c r="F126" s="3700"/>
      <c r="G126" s="3700"/>
      <c r="H126" s="3700"/>
      <c r="I126" s="3701"/>
      <c r="AA126" s="724"/>
    </row>
    <row r="127" spans="1:27" ht="18.75" customHeight="1">
      <c r="A127" s="3635" t="s">
        <v>1452</v>
      </c>
      <c r="B127" s="3635"/>
      <c r="C127" s="3635"/>
      <c r="D127" s="3675" t="str">
        <f ca="1">NUMBERSTRING(INT(D126*10000),2)&amp;"元整"</f>
        <v>肆亿伍仟陆佰贰拾玖万元整</v>
      </c>
      <c r="E127" s="3676"/>
      <c r="F127" s="3676"/>
      <c r="G127" s="3676"/>
      <c r="H127" s="3676"/>
      <c r="I127" s="3677"/>
      <c r="AA127" s="724"/>
    </row>
    <row r="128" spans="1:27" ht="21.75" customHeight="1">
      <c r="A128" s="3682" t="s">
        <v>1453</v>
      </c>
      <c r="B128" s="3682"/>
      <c r="C128" s="3682"/>
      <c r="D128" s="3682"/>
      <c r="E128" s="3682"/>
      <c r="F128" s="3682"/>
      <c r="G128" s="3682"/>
      <c r="H128" s="3682"/>
      <c r="I128" s="368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8" zoomScale="80" zoomScaleNormal="100" zoomScaleSheetLayoutView="80" zoomScalePageLayoutView="80" workbookViewId="0">
      <selection activeCell="A71" sqref="A71:B7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2.75">
      <c r="A3" s="3659" t="s">
        <v>1264</v>
      </c>
      <c r="B3" s="3660"/>
      <c r="C3" s="3660"/>
      <c r="D3" s="3660"/>
      <c r="E3" s="3660"/>
      <c r="F3" s="3660"/>
      <c r="G3" s="3660"/>
      <c r="H3" s="3660"/>
      <c r="I3" s="3660"/>
    </row>
    <row r="4" spans="1:12" ht="14.25">
      <c r="A4" s="1753" t="s">
        <v>1265</v>
      </c>
      <c r="B4" s="1754" t="s">
        <v>1266</v>
      </c>
      <c r="C4" s="1755" t="s">
        <v>3448</v>
      </c>
      <c r="D4" s="1755" t="s">
        <v>3407</v>
      </c>
      <c r="E4" s="3661" t="s">
        <v>1267</v>
      </c>
      <c r="F4" s="3662"/>
      <c r="G4" s="3662"/>
      <c r="H4" s="3662"/>
      <c r="I4" s="3663"/>
      <c r="K4" s="146" t="str">
        <f>IF(ISNUMBER(FIND("比较法",'结果表净值模拟 (2)'!C4)),"比较法",IF(ISNUMBER(FIND("成本法",'结果表净值模拟 (2)'!C4)),"成本法",IF(ISNUMBER(FIND("假设开发法",'结果表净值模拟 (2)'!C4)),"假设开发法",IF(ISNUMBER(FIND("收益法",'结果表净值模拟 (2)'!C4)),"收益法","基准地价系数修正法"))))</f>
        <v>基准地价系数修正法</v>
      </c>
      <c r="L4" s="146" t="str">
        <f>IF(ISNUMBER(FIND("比较法",'结果表净值模拟 (2)'!D4)),"比较法",IF(ISNUMBER(FIND("成本法",'结果表净值模拟 (2)'!D4)),"成本法",IF(ISNUMBER(FIND("假设开发法",'结果表净值模拟 (2)'!D4)),"假设开发法",IF(ISNUMBER(FIND("收益法",'结果表净值模拟 (2)'!D4)),"收益法","基准地价系数修正法"))))</f>
        <v>成本法</v>
      </c>
    </row>
    <row r="5" spans="1:12" ht="12.75">
      <c r="A5" s="3635" t="s">
        <v>1268</v>
      </c>
      <c r="B5" s="3622">
        <v>25</v>
      </c>
      <c r="C5" s="3638"/>
      <c r="D5" s="3658"/>
      <c r="E5" s="131" t="s">
        <v>1269</v>
      </c>
      <c r="F5" s="1756"/>
      <c r="G5" s="1756"/>
      <c r="H5" s="1756"/>
      <c r="I5" s="1372"/>
    </row>
    <row r="6" spans="1:12" ht="12.75">
      <c r="A6" s="3635"/>
      <c r="B6" s="3622"/>
      <c r="C6" s="3639"/>
      <c r="D6" s="3658"/>
      <c r="E6" s="131" t="s">
        <v>1270</v>
      </c>
      <c r="F6" s="1756"/>
      <c r="G6" s="1756"/>
      <c r="H6" s="1756"/>
      <c r="I6" s="1372"/>
    </row>
    <row r="7" spans="1:12" ht="12.75">
      <c r="A7" s="3635"/>
      <c r="B7" s="3622"/>
      <c r="C7" s="3640"/>
      <c r="D7" s="3658"/>
      <c r="E7" s="131" t="s">
        <v>1271</v>
      </c>
      <c r="F7" s="1756"/>
      <c r="G7" s="1756"/>
      <c r="H7" s="1756"/>
      <c r="I7" s="1372"/>
    </row>
    <row r="8" spans="1:12" ht="12.75">
      <c r="A8" s="3635" t="s">
        <v>1272</v>
      </c>
      <c r="B8" s="3622">
        <v>15</v>
      </c>
      <c r="C8" s="3638"/>
      <c r="D8" s="3658"/>
      <c r="E8" s="131" t="s">
        <v>1273</v>
      </c>
      <c r="F8" s="1756"/>
      <c r="G8" s="1756"/>
      <c r="H8" s="1756"/>
      <c r="I8" s="1372"/>
    </row>
    <row r="9" spans="1:12" ht="12.75">
      <c r="A9" s="3635"/>
      <c r="B9" s="3622"/>
      <c r="C9" s="3640"/>
      <c r="D9" s="3658"/>
      <c r="E9" s="131" t="s">
        <v>1274</v>
      </c>
      <c r="F9" s="1756"/>
      <c r="G9" s="1756"/>
      <c r="H9" s="1756"/>
      <c r="I9" s="1372"/>
    </row>
    <row r="10" spans="1:12" ht="12.75">
      <c r="A10" s="3635" t="s">
        <v>1275</v>
      </c>
      <c r="B10" s="3622">
        <v>15</v>
      </c>
      <c r="C10" s="3638"/>
      <c r="D10" s="3658"/>
      <c r="E10" s="131" t="s">
        <v>1276</v>
      </c>
      <c r="F10" s="1756"/>
      <c r="G10" s="1756"/>
      <c r="H10" s="1756"/>
      <c r="I10" s="1372"/>
    </row>
    <row r="11" spans="1:12" ht="12.75">
      <c r="A11" s="3635"/>
      <c r="B11" s="3622"/>
      <c r="C11" s="3640"/>
      <c r="D11" s="3658"/>
      <c r="E11" s="131" t="s">
        <v>1277</v>
      </c>
      <c r="F11" s="1756"/>
      <c r="G11" s="1756"/>
      <c r="H11" s="1756"/>
      <c r="I11" s="1372"/>
    </row>
    <row r="12" spans="1:12" ht="12.75">
      <c r="A12" s="3635" t="s">
        <v>1278</v>
      </c>
      <c r="B12" s="3622">
        <v>15</v>
      </c>
      <c r="C12" s="3638"/>
      <c r="D12" s="3658"/>
      <c r="E12" s="131" t="s">
        <v>1279</v>
      </c>
      <c r="F12" s="1756"/>
      <c r="G12" s="1756"/>
      <c r="H12" s="1756"/>
      <c r="I12" s="1372"/>
    </row>
    <row r="13" spans="1:12" ht="12.75">
      <c r="A13" s="3635"/>
      <c r="B13" s="3622"/>
      <c r="C13" s="3640"/>
      <c r="D13" s="3658"/>
      <c r="E13" s="131" t="s">
        <v>1280</v>
      </c>
      <c r="F13" s="1756"/>
      <c r="G13" s="1756"/>
      <c r="H13" s="1756"/>
      <c r="I13" s="1372"/>
    </row>
    <row r="14" spans="1:12" ht="12.75">
      <c r="A14" s="3635" t="s">
        <v>1281</v>
      </c>
      <c r="B14" s="3622">
        <v>30</v>
      </c>
      <c r="C14" s="3638">
        <v>5</v>
      </c>
      <c r="D14" s="3658">
        <v>5</v>
      </c>
      <c r="E14" s="131" t="s">
        <v>1282</v>
      </c>
      <c r="F14" s="1756"/>
      <c r="G14" s="1756"/>
      <c r="H14" s="1756"/>
      <c r="I14" s="1372"/>
    </row>
    <row r="15" spans="1:12" ht="12.75">
      <c r="A15" s="3635"/>
      <c r="B15" s="3622"/>
      <c r="C15" s="3639"/>
      <c r="D15" s="3658"/>
      <c r="E15" s="131" t="s">
        <v>1283</v>
      </c>
      <c r="F15" s="1756"/>
      <c r="G15" s="1756"/>
      <c r="H15" s="1756"/>
      <c r="I15" s="1372"/>
    </row>
    <row r="16" spans="1:12" ht="12.75">
      <c r="A16" s="3635"/>
      <c r="B16" s="3622"/>
      <c r="C16" s="3640"/>
      <c r="D16" s="365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5" t="s">
        <v>2130</v>
      </c>
      <c r="F18" s="3646"/>
      <c r="G18" s="3646"/>
      <c r="H18" s="3646"/>
      <c r="I18" s="3646"/>
      <c r="K18" s="302" t="s">
        <v>1289</v>
      </c>
      <c r="L18" s="302">
        <f>IF(C1="",'数据-汇总表'!E3,SUMIF(项目类型,C1,'数据-汇总表'!E17:E26)+SUMIF(项目类型,C1,'数据-汇总表'!I17:I26))</f>
        <v>19411.939999999999</v>
      </c>
      <c r="M18" s="302">
        <f>IF(C1="",'数据-汇总表'!E3,SUMIF(项目类型,C1,'数据-汇总表'!E17:E26))</f>
        <v>19411.939999999999</v>
      </c>
    </row>
    <row r="19" spans="1:36" ht="15">
      <c r="A19" s="1760" t="s">
        <v>1290</v>
      </c>
      <c r="B19" s="1761" t="s">
        <v>1291</v>
      </c>
      <c r="C19" s="134">
        <f ca="1">SUMIF(INDIRECT("'"&amp;C4&amp;"'"&amp;"!A:A"),'结果表净值模拟 (2)'!B19,INDIRECT("'"&amp;C4&amp;"'"&amp;"!B:B"))</f>
        <v>50835</v>
      </c>
      <c r="D19" s="135">
        <f ca="1">SUMIF(INDIRECT("'"&amp;D4&amp;"'"&amp;"!A:A"),'结果表净值模拟 (2)'!B19,INDIRECT("'"&amp;D4&amp;"'"&amp;"!B:B"))</f>
        <v>55637</v>
      </c>
      <c r="E19" s="1760" t="s">
        <v>1292</v>
      </c>
      <c r="F19" s="1761" t="s">
        <v>1291</v>
      </c>
      <c r="G19" s="136">
        <f ca="1">ROUND(C19*$C$18+D19*$D$18,0)</f>
        <v>53236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SUMIF(INDIRECT("'"&amp;C4&amp;"'"&amp;"!A:A"),'结果表净值模拟 (2)'!B20,INDIRECT("'"&amp;C4&amp;"'"&amp;"!B:B"))</f>
        <v>26187</v>
      </c>
      <c r="D20" s="138">
        <f ca="1">SUMIF(INDIRECT("'"&amp;D4&amp;"'"&amp;"!A:A"),'结果表净值模拟 (2)'!B20,INDIRECT("'"&amp;D4&amp;"'"&amp;"!B:B"))</f>
        <v>28661</v>
      </c>
      <c r="E20" s="1763"/>
      <c r="F20" s="1025" t="s">
        <v>1295</v>
      </c>
      <c r="G20" s="139">
        <f ca="1">ROUND(C20*$C$18+D20*$D$18,0)</f>
        <v>27424</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9.4462476640110093E-2</v>
      </c>
      <c r="E22" s="129"/>
      <c r="F22" s="129"/>
      <c r="G22" s="129"/>
      <c r="H22" s="129"/>
      <c r="I22" s="129"/>
    </row>
    <row r="23" spans="1:36" ht="13.5" thickBot="1">
      <c r="A23" s="1746"/>
      <c r="B23" s="1746"/>
      <c r="C23" s="1746"/>
      <c r="D23" s="1746"/>
      <c r="E23" s="129"/>
      <c r="F23" s="129"/>
      <c r="G23" s="129"/>
      <c r="H23" s="129"/>
      <c r="I23" s="129"/>
    </row>
    <row r="24" spans="1:36" ht="14.25">
      <c r="A24" s="3629" t="s">
        <v>1299</v>
      </c>
      <c r="B24" s="1761" t="s">
        <v>1291</v>
      </c>
      <c r="C24" s="136">
        <f>IF(B30=0,0,D30)</f>
        <v>0</v>
      </c>
      <c r="D24" s="1768"/>
      <c r="E24" s="129"/>
      <c r="F24" s="129"/>
      <c r="G24" s="129"/>
      <c r="H24" s="129"/>
      <c r="I24" s="129"/>
    </row>
    <row r="25" spans="1:36" ht="14.25">
      <c r="A25" s="363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53236</v>
      </c>
      <c r="D32" s="1774" t="s">
        <v>3419</v>
      </c>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49" t="s">
        <v>1312</v>
      </c>
      <c r="B36" s="1786" t="s">
        <v>1313</v>
      </c>
      <c r="C36" s="145"/>
      <c r="D36" s="1787"/>
      <c r="E36" s="1788"/>
      <c r="F36" s="1789"/>
      <c r="G36" s="129"/>
      <c r="H36" s="129"/>
      <c r="I36" s="129"/>
    </row>
    <row r="37" spans="1:15" ht="15.75" thickBot="1">
      <c r="A37" s="3650"/>
      <c r="B37" s="1673" t="s">
        <v>1314</v>
      </c>
      <c r="C37" s="147"/>
      <c r="D37" s="1138"/>
      <c r="E37" s="1138"/>
      <c r="F37" s="1789"/>
      <c r="G37" s="129"/>
      <c r="H37" s="129"/>
      <c r="I37" s="129"/>
    </row>
    <row r="38" spans="1:15" ht="15.75" thickBot="1">
      <c r="A38" s="365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6" t="s">
        <v>1326</v>
      </c>
      <c r="B45" s="3627"/>
      <c r="C45" s="3628"/>
      <c r="D45" s="155">
        <f ca="1">典型户型修正!V28</f>
        <v>2607</v>
      </c>
      <c r="E45" s="156" t="s">
        <v>1327</v>
      </c>
      <c r="F45" s="157">
        <v>1</v>
      </c>
      <c r="G45" s="158" t="s">
        <v>1328</v>
      </c>
      <c r="H45" s="129"/>
      <c r="I45" s="129"/>
      <c r="J45" s="3704" t="s">
        <v>3455</v>
      </c>
      <c r="K45" s="3704"/>
      <c r="L45" s="3704"/>
      <c r="M45" s="3704"/>
      <c r="N45" s="3704"/>
      <c r="O45" s="3704"/>
    </row>
    <row r="46" spans="1:15" ht="14.25" customHeight="1">
      <c r="A46" s="3623" t="s">
        <v>1330</v>
      </c>
      <c r="B46" s="3624"/>
      <c r="C46" s="3624"/>
      <c r="D46" s="3624"/>
      <c r="E46" s="3624"/>
      <c r="F46" s="3624"/>
      <c r="G46" s="3625"/>
      <c r="H46" s="1805"/>
      <c r="I46" s="159"/>
      <c r="J46" s="3526">
        <v>1</v>
      </c>
      <c r="K46" s="3685" t="s">
        <v>3456</v>
      </c>
      <c r="L46" s="3685"/>
      <c r="M46" s="3705"/>
      <c r="N46" s="3705"/>
      <c r="O46" s="3705"/>
    </row>
    <row r="47" spans="1:15" ht="12" customHeight="1">
      <c r="A47" s="160" t="s">
        <v>1332</v>
      </c>
      <c r="B47" s="161"/>
      <c r="C47" s="162"/>
      <c r="D47" s="1086" t="s">
        <v>1333</v>
      </c>
      <c r="E47" s="302" t="s">
        <v>1334</v>
      </c>
      <c r="F47" s="163" t="s">
        <v>1335</v>
      </c>
      <c r="G47" s="2543" t="s">
        <v>1336</v>
      </c>
      <c r="H47" s="2544"/>
      <c r="I47" s="159"/>
      <c r="J47" s="3526">
        <v>2</v>
      </c>
      <c r="K47" s="3685" t="s">
        <v>3457</v>
      </c>
      <c r="L47" s="3685"/>
      <c r="M47" s="3706">
        <f>'数据-取费表'!B2</f>
        <v>44944</v>
      </c>
      <c r="N47" s="3706"/>
      <c r="O47" s="3706"/>
    </row>
    <row r="48" spans="1:15" ht="25.5">
      <c r="A48" s="3654" t="s">
        <v>1338</v>
      </c>
      <c r="B48" s="3637"/>
      <c r="C48" s="3637"/>
      <c r="D48" s="3531">
        <f ca="1">IF(H48="情况1",0,IF(H48="情况2",D52,IF(H48="情况3",D53,IF(H48="情况4",D54))))</f>
        <v>39</v>
      </c>
      <c r="E48" s="3519" t="str">
        <f>IF(H48="情况4","(销售额-原购置价)×税（费）率","销售额×税（费）率")</f>
        <v>(销售额-原购置价)×税（费）率</v>
      </c>
      <c r="F48" s="2545">
        <f>IF(H48="情况1","免征",'数据-取费表'!B41)</f>
        <v>5.6000000000000001E-2</v>
      </c>
      <c r="G48" s="2546" t="s">
        <v>1339</v>
      </c>
      <c r="H48" s="2547" t="s">
        <v>3451</v>
      </c>
      <c r="I48" s="1805"/>
      <c r="J48" s="3526">
        <v>3</v>
      </c>
      <c r="K48" s="3685" t="s">
        <v>3458</v>
      </c>
      <c r="L48" s="3685"/>
      <c r="M48" s="3704">
        <f ca="1">D45</f>
        <v>2607</v>
      </c>
      <c r="N48" s="3704"/>
      <c r="O48" s="3704"/>
    </row>
    <row r="49" spans="1:35" ht="25.5" customHeight="1">
      <c r="A49" s="3523" t="s">
        <v>1341</v>
      </c>
      <c r="B49" s="3621" t="s">
        <v>1342</v>
      </c>
      <c r="C49" s="3621"/>
      <c r="D49" s="1589">
        <v>0</v>
      </c>
      <c r="E49" s="324" t="s">
        <v>1343</v>
      </c>
      <c r="F49" s="3513" t="s">
        <v>28</v>
      </c>
      <c r="G49" s="3691"/>
      <c r="H49" s="2309" t="s">
        <v>2133</v>
      </c>
      <c r="I49" s="2310"/>
      <c r="J49" s="3526">
        <v>4</v>
      </c>
      <c r="K49" s="3685" t="str">
        <f>IF(项目基本情况!E8="房地产抵押价值","房地产抵押价值","抵押担保权已注销时的房地产抵押价值")</f>
        <v>房地产抵押价值</v>
      </c>
      <c r="L49" s="3685"/>
      <c r="M49" s="3704">
        <f ca="1">D45</f>
        <v>2607</v>
      </c>
      <c r="N49" s="3704"/>
      <c r="O49" s="3704"/>
    </row>
    <row r="50" spans="1:35" ht="25.5" customHeight="1">
      <c r="A50" s="2548"/>
      <c r="B50" s="3621" t="s">
        <v>1344</v>
      </c>
      <c r="C50" s="3621"/>
      <c r="D50" s="2549"/>
      <c r="E50" s="332"/>
      <c r="F50" s="3513"/>
      <c r="G50" s="3692"/>
      <c r="H50" s="2311" t="s">
        <v>2134</v>
      </c>
      <c r="I50" s="2310"/>
      <c r="J50" s="3704" t="s">
        <v>3459</v>
      </c>
      <c r="K50" s="3704"/>
      <c r="L50" s="3704"/>
      <c r="M50" s="3704"/>
      <c r="N50" s="3704"/>
      <c r="O50" s="3704"/>
    </row>
    <row r="51" spans="1:35" ht="20.45" customHeight="1">
      <c r="A51" s="2550"/>
      <c r="B51" s="3621" t="s">
        <v>1346</v>
      </c>
      <c r="C51" s="3621"/>
      <c r="D51" s="1086"/>
      <c r="E51" s="327"/>
      <c r="F51" s="3513"/>
      <c r="G51" s="3693"/>
      <c r="H51" s="2311" t="s">
        <v>2135</v>
      </c>
      <c r="I51" s="2310"/>
      <c r="J51" s="3525" t="s">
        <v>3460</v>
      </c>
      <c r="K51" s="3685" t="s">
        <v>3461</v>
      </c>
      <c r="L51" s="3685"/>
      <c r="M51" s="3525" t="s">
        <v>3462</v>
      </c>
      <c r="N51" s="3525" t="s">
        <v>3463</v>
      </c>
      <c r="O51" s="3525" t="s">
        <v>3464</v>
      </c>
    </row>
    <row r="52" spans="1:35" ht="24" customHeight="1">
      <c r="A52" s="3518" t="s">
        <v>1352</v>
      </c>
      <c r="B52" s="3621" t="s">
        <v>1353</v>
      </c>
      <c r="C52" s="3621"/>
      <c r="D52" s="1086">
        <f ca="1">ROUND(D45*'数据-取费表'!B41/(1+'数据-取费表'!C42),0)</f>
        <v>139</v>
      </c>
      <c r="E52" s="3519" t="s">
        <v>1354</v>
      </c>
      <c r="F52" s="2551">
        <f>'数据-取费表'!B41</f>
        <v>5.6000000000000001E-2</v>
      </c>
      <c r="G52" s="2552"/>
      <c r="H52" s="2541"/>
      <c r="I52" s="1806"/>
      <c r="J52" s="3526">
        <v>1</v>
      </c>
      <c r="K52" s="3686" t="s">
        <v>3465</v>
      </c>
      <c r="L52" s="3686"/>
      <c r="M52" s="3526">
        <f ca="1">D48</f>
        <v>39</v>
      </c>
      <c r="N52" s="3526" t="str">
        <f>E48</f>
        <v>(销售额-原购置价)×税（费）率</v>
      </c>
      <c r="O52" s="3499">
        <f>F48</f>
        <v>5.6000000000000001E-2</v>
      </c>
    </row>
    <row r="53" spans="1:35" ht="12" customHeight="1">
      <c r="A53" s="3518" t="s">
        <v>1356</v>
      </c>
      <c r="B53" s="3647" t="s">
        <v>2290</v>
      </c>
      <c r="C53" s="3648"/>
      <c r="D53" s="1086">
        <f ca="1">ROUND(D45*'数据-取费表'!B41/(1+'数据-取费表'!C42),0)</f>
        <v>139</v>
      </c>
      <c r="E53" s="3519" t="s">
        <v>1354</v>
      </c>
      <c r="F53" s="2551">
        <f>'数据-取费表'!B41</f>
        <v>5.6000000000000001E-2</v>
      </c>
      <c r="G53" s="2552"/>
      <c r="H53" s="2541"/>
      <c r="I53" s="1806"/>
      <c r="J53" s="3526">
        <v>2</v>
      </c>
      <c r="K53" s="3686" t="s">
        <v>3466</v>
      </c>
      <c r="L53" s="3686"/>
      <c r="M53" s="3526">
        <f t="shared" ref="M53:O54" ca="1" si="0">D55</f>
        <v>1</v>
      </c>
      <c r="N53" s="3526" t="str">
        <f t="shared" si="0"/>
        <v>销售额×税（费）率</v>
      </c>
      <c r="O53" s="3499">
        <f t="shared" si="0"/>
        <v>5.0000000000000001E-4</v>
      </c>
    </row>
    <row r="54" spans="1:35" ht="12" customHeight="1">
      <c r="A54" s="3518" t="s">
        <v>1358</v>
      </c>
      <c r="B54" s="3647" t="s">
        <v>2291</v>
      </c>
      <c r="C54" s="3648"/>
      <c r="D54" s="1086">
        <f ca="1">C68</f>
        <v>39</v>
      </c>
      <c r="E54" s="327" t="s">
        <v>1359</v>
      </c>
      <c r="F54" s="2551">
        <f>'数据-取费表'!B41</f>
        <v>5.6000000000000001E-2</v>
      </c>
      <c r="G54" s="2552"/>
      <c r="H54" s="2553"/>
      <c r="I54" s="1806"/>
      <c r="J54" s="3526">
        <v>3</v>
      </c>
      <c r="K54" s="3686" t="s">
        <v>3467</v>
      </c>
      <c r="L54" s="3686"/>
      <c r="M54" s="3526">
        <f t="shared" ca="1" si="0"/>
        <v>186</v>
      </c>
      <c r="N54" s="3526" t="str">
        <f t="shared" si="0"/>
        <v>增值额×税（费）率</v>
      </c>
      <c r="O54" s="3500" t="str">
        <f t="shared" si="0"/>
        <v>——</v>
      </c>
    </row>
    <row r="55" spans="1:35" ht="24" customHeight="1">
      <c r="A55" s="3636" t="s">
        <v>1361</v>
      </c>
      <c r="B55" s="3637"/>
      <c r="C55" s="3637"/>
      <c r="D55" s="3531">
        <f ca="1">IF(H55="个人住宅",0,ROUND(D45*I55,0))</f>
        <v>1</v>
      </c>
      <c r="E55" s="3519" t="s">
        <v>1362</v>
      </c>
      <c r="F55" s="2551">
        <f>IF(H55="正常",I55,"免征")</f>
        <v>5.0000000000000001E-4</v>
      </c>
      <c r="G55" s="2552"/>
      <c r="H55" s="2547" t="s">
        <v>3452</v>
      </c>
      <c r="I55" s="165">
        <f>'数据-取费表'!B49</f>
        <v>5.0000000000000001E-4</v>
      </c>
      <c r="J55" s="3526" t="str">
        <f>IF(H59="非个人房产","",4)</f>
        <v/>
      </c>
      <c r="K55" s="3686" t="str">
        <f>IF(H59="非个人房产","——","个人所得税")</f>
        <v>——</v>
      </c>
      <c r="L55" s="3686"/>
      <c r="M55" s="3527" t="str">
        <f>D59</f>
        <v>——</v>
      </c>
      <c r="N55" s="3527" t="str">
        <f>E59</f>
        <v>——</v>
      </c>
      <c r="O55" s="3501" t="str">
        <f>F59</f>
        <v>——</v>
      </c>
    </row>
    <row r="56" spans="1:35" ht="24.75">
      <c r="A56" s="3636" t="s">
        <v>1363</v>
      </c>
      <c r="B56" s="3637"/>
      <c r="C56" s="3637"/>
      <c r="D56" s="3531">
        <f ca="1">IF(H56="个人住宅",D57,D58)</f>
        <v>186</v>
      </c>
      <c r="E56" s="3519" t="s">
        <v>1364</v>
      </c>
      <c r="F56" s="2551" t="str">
        <f>IF(H56="正常",F58,"免征")</f>
        <v>——</v>
      </c>
      <c r="G56" s="2554" t="s">
        <v>1365</v>
      </c>
      <c r="H56" s="2555" t="s">
        <v>3452</v>
      </c>
      <c r="I56" s="1807"/>
      <c r="J56" s="3526" t="str">
        <f>IF(项目基本情况!K6="上海银行",IF(J55="",4,J55+1),"")</f>
        <v/>
      </c>
      <c r="K56" s="3708" t="str">
        <f>IF(项目基本情况!K6="上海银行","其他处置费用","")</f>
        <v/>
      </c>
      <c r="L56" s="3709"/>
      <c r="M56" s="3526" t="str">
        <f>IF(项目基本情况!K6="上海银行",M69,"")</f>
        <v/>
      </c>
      <c r="N56" s="3708" t="str">
        <f>IF(项目基本情况!K6="上海银行","包含处置中涉及的律师、诉讼、拍卖、评估等费用","")</f>
        <v/>
      </c>
      <c r="O56" s="3711"/>
    </row>
    <row r="57" spans="1:35" ht="12.75">
      <c r="A57" s="3518" t="s">
        <v>1341</v>
      </c>
      <c r="B57" s="3647" t="s">
        <v>1366</v>
      </c>
      <c r="C57" s="3648"/>
      <c r="D57" s="1589">
        <v>0</v>
      </c>
      <c r="E57" s="324" t="s">
        <v>1343</v>
      </c>
      <c r="F57" s="302"/>
      <c r="G57" s="2552"/>
      <c r="H57" s="2556"/>
      <c r="I57" s="1807"/>
      <c r="J57" s="3686">
        <f>IF(AND(J55="",J56=""),4,IF(项目基本情况!K6="上海银行",'结果表净值模拟 (2)'!J56+1,'结果表净值模拟 (2)'!J55+1))</f>
        <v>4</v>
      </c>
      <c r="K57" s="3686" t="s">
        <v>3468</v>
      </c>
      <c r="L57" s="2578" t="s">
        <v>3469</v>
      </c>
      <c r="M57" s="3502"/>
      <c r="N57" s="3503">
        <f ca="1">SUMIF(M52:M56,"&lt;9e307")</f>
        <v>226</v>
      </c>
      <c r="O57" s="3504"/>
      <c r="P57" s="2687">
        <f ca="1">N57/M49</f>
        <v>8.6689681626390486E-2</v>
      </c>
    </row>
    <row r="58" spans="1:35" ht="24.75">
      <c r="A58" s="3518" t="s">
        <v>1352</v>
      </c>
      <c r="B58" s="3647" t="s">
        <v>1369</v>
      </c>
      <c r="C58" s="3621"/>
      <c r="D58" s="3531">
        <f ca="1">IF(H58="转让取得",C81,C97)</f>
        <v>186</v>
      </c>
      <c r="E58" s="3519" t="s">
        <v>1364</v>
      </c>
      <c r="F58" s="302" t="s">
        <v>28</v>
      </c>
      <c r="G58" s="2552"/>
      <c r="H58" s="2555" t="s">
        <v>3453</v>
      </c>
      <c r="I58" s="1807"/>
      <c r="J58" s="3686"/>
      <c r="K58" s="3686"/>
      <c r="L58" s="2578" t="s">
        <v>3470</v>
      </c>
      <c r="M58" s="2578"/>
      <c r="N58" s="3529" t="str">
        <f ca="1">NUMBERSTRING(INT(N57*10000),2)&amp;"元整"</f>
        <v>贰佰贰拾陆万元整</v>
      </c>
      <c r="O58" s="2096"/>
    </row>
    <row r="59" spans="1:35" ht="24.75" thickBot="1">
      <c r="A59" s="3689" t="s">
        <v>1371</v>
      </c>
      <c r="B59" s="3690"/>
      <c r="C59" s="3690"/>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3" t="s">
        <v>3454</v>
      </c>
      <c r="I59" s="2312" t="s">
        <v>2136</v>
      </c>
      <c r="J59" s="3687">
        <f>J57+1</f>
        <v>5</v>
      </c>
      <c r="K59" s="3686" t="s">
        <v>3471</v>
      </c>
      <c r="L59" s="3526" t="s">
        <v>3469</v>
      </c>
      <c r="M59" s="3506"/>
      <c r="N59" s="3507">
        <f ca="1">M49-N57</f>
        <v>2381</v>
      </c>
      <c r="O59" s="3508"/>
    </row>
    <row r="60" spans="1:35" ht="12" customHeight="1">
      <c r="A60" s="1808"/>
      <c r="B60" s="1746"/>
      <c r="C60" s="1746"/>
      <c r="D60" s="1746"/>
      <c r="E60" s="1577"/>
      <c r="F60" s="1807"/>
      <c r="G60" s="1807"/>
      <c r="H60" s="1809"/>
      <c r="I60" s="129"/>
      <c r="J60" s="3688"/>
      <c r="K60" s="3686"/>
      <c r="L60" s="2578" t="s">
        <v>3470</v>
      </c>
      <c r="M60" s="2578"/>
      <c r="N60" s="3529" t="str">
        <f ca="1">NUMBERSTRING(INT(N59*10000),2)&amp;"元整"</f>
        <v>贰仟叁佰捌拾壹万元整</v>
      </c>
      <c r="O60" s="2096"/>
    </row>
    <row r="61" spans="1:35" ht="13.5" thickBot="1">
      <c r="A61" s="3634" t="s">
        <v>1373</v>
      </c>
      <c r="B61" s="3634"/>
      <c r="C61" s="3634"/>
      <c r="D61" s="3634"/>
      <c r="E61" s="3634"/>
      <c r="F61" s="1807"/>
      <c r="G61" s="1807"/>
      <c r="H61" s="1809"/>
      <c r="I61" s="129"/>
      <c r="J61" s="3526">
        <f>J59+1</f>
        <v>6</v>
      </c>
      <c r="K61" s="3686" t="s">
        <v>3472</v>
      </c>
      <c r="L61" s="3686"/>
      <c r="M61" s="3509"/>
      <c r="N61" s="3510">
        <f ca="1">ROUND(N59*10000/'数据-汇总表'!E3,0)</f>
        <v>1227</v>
      </c>
      <c r="O61" s="3511"/>
    </row>
    <row r="62" spans="1:35" ht="12.75">
      <c r="A62" s="3652" t="s">
        <v>1375</v>
      </c>
      <c r="B62" s="3653"/>
      <c r="C62" s="3522"/>
      <c r="D62" s="3522" t="s">
        <v>1376</v>
      </c>
      <c r="E62" s="166" t="s">
        <v>1377</v>
      </c>
      <c r="F62" s="1807"/>
      <c r="G62" s="1807"/>
      <c r="H62" s="1809"/>
      <c r="I62" s="129"/>
    </row>
    <row r="63" spans="1:35" ht="12.75">
      <c r="A63" s="173" t="s">
        <v>330</v>
      </c>
      <c r="B63" s="167" t="s">
        <v>1378</v>
      </c>
      <c r="C63" s="2561">
        <f ca="1">ROUND((C64+C65)/(1+'数据-取费表'!C42),0)</f>
        <v>2483</v>
      </c>
      <c r="D63" s="167"/>
      <c r="E63" s="168"/>
      <c r="F63" s="1807"/>
      <c r="G63" s="1807"/>
      <c r="H63" s="1809"/>
      <c r="I63" s="129"/>
      <c r="J63" s="3710" t="s">
        <v>1379</v>
      </c>
      <c r="K63" s="3530" t="s">
        <v>1380</v>
      </c>
      <c r="L63" s="3530">
        <f ca="1">IF(M49&gt;10000,M49*0.5%,IF(AND(M49&gt;1000,M49&lt;=10000),M49*1%,IF(AND(M49&gt;100,M49&lt;=1000),M49*3%,IF(AND(M49&gt;10,M49&lt;=100),M49*5%,M49*8%))))</f>
        <v>26.07</v>
      </c>
      <c r="M63" s="302">
        <f ca="1">ROUND(L63,1)</f>
        <v>26.1</v>
      </c>
      <c r="N63" s="2540"/>
      <c r="Z63" s="1751"/>
      <c r="AI63" s="1752"/>
    </row>
    <row r="64" spans="1:35" ht="14.25" customHeight="1">
      <c r="A64" s="169" t="s">
        <v>325</v>
      </c>
      <c r="B64" s="3526" t="s">
        <v>1381</v>
      </c>
      <c r="C64" s="2562">
        <f ca="1">D45</f>
        <v>2607</v>
      </c>
      <c r="D64" s="3526" t="s">
        <v>26</v>
      </c>
      <c r="E64" s="172"/>
      <c r="F64" s="1807"/>
      <c r="G64" s="1807"/>
      <c r="H64" s="1809"/>
      <c r="I64" s="129"/>
      <c r="J64" s="3710"/>
      <c r="K64" s="3530" t="s">
        <v>1382</v>
      </c>
      <c r="L64" s="3530">
        <f ca="1">IF(M49&gt;2000,M49*0.5%,IF(AND(M49&gt;1000,M49&lt;=2000),M49*0.6%,IF(AND(M49&gt;500,M49&lt;=1000),M49*0.7%,IF(AND(M49&gt;200,M49&lt;=500),M49*0.8%,IF(AND(M49&gt;100,M49&lt;=200),M49*0.9%,IF(AND(M49&gt;50,M49&lt;=100),M49*1%,IF(AND(M49&gt;20,M49&lt;=50),M49*1.5%,IF(AND(M49&gt;10,M49&lt;=20),M49*2%,IF(AND(M49&gt;1,M49&lt;=10),M49*2.5%)))))))))</f>
        <v>13.035</v>
      </c>
      <c r="M64" s="302">
        <f t="shared" ref="M64:M65" ca="1" si="1">ROUND(L64,1)</f>
        <v>13</v>
      </c>
      <c r="N64" s="2541" t="s">
        <v>1383</v>
      </c>
      <c r="Z64" s="1751"/>
      <c r="AI64" s="1752"/>
    </row>
    <row r="65" spans="1:35" ht="14.25" customHeight="1">
      <c r="A65" s="169" t="s">
        <v>326</v>
      </c>
      <c r="B65" s="3526" t="s">
        <v>1384</v>
      </c>
      <c r="C65" s="2563"/>
      <c r="D65" s="3526"/>
      <c r="E65" s="172"/>
      <c r="F65" s="1807"/>
      <c r="G65" s="1807"/>
      <c r="H65" s="1809"/>
      <c r="I65" s="129"/>
      <c r="J65" s="3710"/>
      <c r="K65" s="3530" t="s">
        <v>1385</v>
      </c>
      <c r="L65" s="3530">
        <f ca="1">IF(M49&gt;1000,M49*0.1%,IF(AND(M49&gt;500,M49&lt;=1000),M49*0.5%,IF(AND(M49&gt;50,M49&lt;=500),M49*1%,IF(AND(M49&gt;1,M49&lt;=50),M49*1.5%))))</f>
        <v>2.6070000000000002</v>
      </c>
      <c r="M65" s="302">
        <f t="shared" ca="1" si="1"/>
        <v>2.6</v>
      </c>
      <c r="N65" s="2541" t="s">
        <v>1383</v>
      </c>
      <c r="Z65" s="1751"/>
      <c r="AI65" s="1752"/>
    </row>
    <row r="66" spans="1:35" ht="14.25" customHeight="1">
      <c r="A66" s="173" t="s">
        <v>327</v>
      </c>
      <c r="B66" s="3525" t="s">
        <v>1386</v>
      </c>
      <c r="C66" s="2564">
        <f>1792.6356</f>
        <v>1792.6356000000001</v>
      </c>
      <c r="D66" s="3525" t="s">
        <v>26</v>
      </c>
      <c r="E66" s="1337" t="s">
        <v>671</v>
      </c>
      <c r="F66" s="1807"/>
      <c r="G66" s="1807"/>
      <c r="H66" s="1809"/>
      <c r="I66" s="129"/>
      <c r="J66" s="3710"/>
      <c r="K66" s="3530" t="s">
        <v>1387</v>
      </c>
      <c r="L66" s="3530">
        <f ca="1">M49*0.5%</f>
        <v>13.035</v>
      </c>
      <c r="M66" s="302">
        <f ca="1">IF(L66&gt;0.5,0.5,ROUND(L66,0))</f>
        <v>0.5</v>
      </c>
      <c r="N66" s="2541" t="s">
        <v>1388</v>
      </c>
      <c r="Z66" s="1751"/>
      <c r="AI66" s="1752"/>
    </row>
    <row r="67" spans="1:35" ht="14.25" customHeight="1">
      <c r="A67" s="173" t="s">
        <v>328</v>
      </c>
      <c r="B67" s="3525" t="s">
        <v>1389</v>
      </c>
      <c r="C67" s="2565">
        <f ca="1">C63-C66</f>
        <v>690.36439999999993</v>
      </c>
      <c r="D67" s="3526" t="s">
        <v>26</v>
      </c>
      <c r="E67" s="172"/>
      <c r="F67" s="1807"/>
      <c r="G67" s="1807"/>
      <c r="H67" s="1809"/>
      <c r="I67" s="129"/>
      <c r="J67" s="3710"/>
      <c r="K67" s="3530" t="s">
        <v>1390</v>
      </c>
      <c r="L67" s="3530">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1"/>
      <c r="AI67" s="1752"/>
    </row>
    <row r="68" spans="1:35" ht="14.25" customHeight="1" thickBot="1">
      <c r="A68" s="176" t="s">
        <v>329</v>
      </c>
      <c r="B68" s="177" t="s">
        <v>1391</v>
      </c>
      <c r="C68" s="2566">
        <f ca="1">IF(C67&lt;=0,0,ROUND(C67*D68,0))</f>
        <v>39</v>
      </c>
      <c r="D68" s="2567">
        <f>'数据-取费表'!B41</f>
        <v>5.6000000000000001E-2</v>
      </c>
      <c r="E68" s="178"/>
      <c r="F68" s="1807"/>
      <c r="G68" s="1807"/>
      <c r="H68" s="1809"/>
      <c r="I68" s="129"/>
      <c r="J68" s="3710"/>
      <c r="K68" s="3530" t="s">
        <v>1392</v>
      </c>
      <c r="L68" s="3530">
        <f ca="1">IF(M49&gt;10000,M49*0.5%,IF(AND(M49&gt;5000,M49&lt;=10000),M49*1%,IF(AND(M49&gt;1000,M49&lt;=5000),M49*2%,IF(AND(M49&gt;200,M49&lt;=1000),M49*3%,M49*5%))))</f>
        <v>52.14</v>
      </c>
      <c r="M68" s="302">
        <f ca="1">ROUND(L68,1)</f>
        <v>52.1</v>
      </c>
      <c r="N68" s="2540"/>
      <c r="Z68" s="1751"/>
      <c r="AI68" s="1752"/>
    </row>
    <row r="69" spans="1:35" s="1771" customFormat="1" ht="16.5" customHeight="1">
      <c r="A69" s="1810"/>
      <c r="B69" s="1811"/>
      <c r="C69" s="1812"/>
      <c r="D69" s="1813"/>
      <c r="E69" s="1814"/>
      <c r="F69" s="1577"/>
      <c r="G69" s="1577"/>
      <c r="H69" s="1576"/>
      <c r="I69" s="1746"/>
      <c r="J69" s="3710"/>
      <c r="K69" s="3530" t="s">
        <v>1393</v>
      </c>
      <c r="L69" s="3530"/>
      <c r="M69" s="302">
        <f ca="1">ROUND(SUM(M63:M68),0)</f>
        <v>97</v>
      </c>
      <c r="N69" s="2542">
        <f ca="1">M69/M49</f>
        <v>3.7207518220176448E-2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73" t="s">
        <v>1394</v>
      </c>
      <c r="B70" s="3674"/>
      <c r="C70" s="3674"/>
      <c r="D70" s="3674"/>
      <c r="E70" s="3674"/>
      <c r="F70" s="3674"/>
      <c r="G70" s="3674"/>
      <c r="H70" s="367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2" t="s">
        <v>1375</v>
      </c>
      <c r="B71" s="3653"/>
      <c r="C71" s="3522"/>
      <c r="D71" s="3522"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3525" t="s">
        <v>1395</v>
      </c>
      <c r="C72" s="2565">
        <f ca="1">ROUND(D45/(1+'数据-取费表'!C42),0)</f>
        <v>2483</v>
      </c>
      <c r="D72" s="3526" t="s">
        <v>26</v>
      </c>
      <c r="E72" s="3521"/>
      <c r="F72" s="3514"/>
      <c r="G72" s="3514"/>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5">
        <f ca="1">C74+C78</f>
        <v>1863</v>
      </c>
      <c r="D73" s="3526" t="s">
        <v>26</v>
      </c>
      <c r="E73" s="3521"/>
      <c r="F73" s="3514"/>
      <c r="G73" s="3514"/>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3526" t="s">
        <v>1397</v>
      </c>
      <c r="C74" s="3526">
        <f>ROUND(IF(G77="2016年5月1日后购买",C75/(1+'数据-取费表'!C42)+C76+C77,C75+C76+C77),0)</f>
        <v>1848</v>
      </c>
      <c r="D74" s="3526" t="s">
        <v>26</v>
      </c>
      <c r="E74" s="3521"/>
      <c r="F74" s="3514"/>
      <c r="G74" s="3514"/>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3526" t="s">
        <v>1398</v>
      </c>
      <c r="C75" s="2568">
        <f>C66</f>
        <v>1792.6356000000001</v>
      </c>
      <c r="D75" s="3526" t="s">
        <v>26</v>
      </c>
      <c r="E75" s="184" t="s">
        <v>1399</v>
      </c>
      <c r="F75" s="2569" t="s">
        <v>3449</v>
      </c>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3528" t="s">
        <v>1401</v>
      </c>
      <c r="C76" s="3526">
        <f>IF(F75="购房发票",ROUND(C75*H75*D76,0),0)</f>
        <v>0</v>
      </c>
      <c r="D76" s="2571">
        <v>0.05</v>
      </c>
      <c r="E76" s="3647" t="s">
        <v>1402</v>
      </c>
      <c r="F76" s="3621"/>
      <c r="G76" s="3621"/>
      <c r="H76" s="367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3526" t="s">
        <v>1403</v>
      </c>
      <c r="C77" s="3526">
        <f>ROUND(IF(G77="个人住宅",0,IF(G77="2016年5月1日前购买",C75*D77,C75*D77/(1+'数据-取费表'!C42))),0)</f>
        <v>55</v>
      </c>
      <c r="D77" s="2572">
        <f>'数据-取费表'!B48+'数据-取费表'!B49</f>
        <v>3.0499999999999999E-2</v>
      </c>
      <c r="E77" s="3531" t="s">
        <v>1404</v>
      </c>
      <c r="F77" s="186"/>
      <c r="G77" s="1821" t="s">
        <v>3450</v>
      </c>
      <c r="H77" s="3524"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3526" t="s">
        <v>1405</v>
      </c>
      <c r="C78" s="2573">
        <f ca="1">ROUND(D45*D78/(1+'数据-取费表'!C42),0)</f>
        <v>15</v>
      </c>
      <c r="D78" s="2574">
        <f>'数据-取费表'!B43</f>
        <v>6.000000000000001E-3</v>
      </c>
      <c r="E78" s="3631" t="s">
        <v>1406</v>
      </c>
      <c r="F78" s="3632"/>
      <c r="G78" s="3632"/>
      <c r="H78" s="364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3525" t="s">
        <v>1407</v>
      </c>
      <c r="C79" s="2565">
        <f ca="1">C72-C73</f>
        <v>620</v>
      </c>
      <c r="D79" s="3526" t="s">
        <v>26</v>
      </c>
      <c r="E79" s="3521"/>
      <c r="F79" s="3514"/>
      <c r="G79" s="3514"/>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3525" t="s">
        <v>1408</v>
      </c>
      <c r="C80" s="2575">
        <f ca="1">IF(C79&lt;=0,0,C79/C73)</f>
        <v>0.33279656468062263</v>
      </c>
      <c r="D80" s="3526" t="s">
        <v>26</v>
      </c>
      <c r="E80" s="3531" t="str">
        <f ca="1">IF(C80&gt;=200%,"增值额超过扣除项目金额200%",IF(C80&gt;=100%,"增值额超过扣除项目金额100%，未超过200%",IF(C80&gt;=50%,"增值额超过扣除项目金额50%，未超过100%",IF(C80&lt;50%,"增值额未超过扣除项目金额50%"))))</f>
        <v>增值额未超过扣除项目金额50%</v>
      </c>
      <c r="F80" s="3514"/>
      <c r="G80" s="3514"/>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6">
        <f ca="1">ROUND(IF(C79&lt;=0,0,IF(C80&gt;=200%,C79*60%-C73*35%,IF(C80&gt;=100%,C79*50%-C73*15%,IF(C80&gt;=50%,C79*40%-C73*5%,IF(C80&lt;50%,C79*30%,0))))),0)</f>
        <v>186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73" t="s">
        <v>1410</v>
      </c>
      <c r="B83" s="3674"/>
      <c r="C83" s="3674"/>
      <c r="D83" s="3674"/>
      <c r="E83" s="3674"/>
      <c r="F83" s="3674"/>
      <c r="G83" s="3674"/>
      <c r="H83" s="367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2" t="s">
        <v>1375</v>
      </c>
      <c r="B84" s="3653"/>
      <c r="C84" s="3522"/>
      <c r="D84" s="3522"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3525" t="s">
        <v>1395</v>
      </c>
      <c r="C85" s="2565">
        <f ca="1">ROUND(D45/(1+'数据-取费表'!C42),0)</f>
        <v>2483</v>
      </c>
      <c r="D85" s="3526" t="s">
        <v>26</v>
      </c>
      <c r="E85" s="3521"/>
      <c r="F85" s="3514"/>
      <c r="G85" s="3514"/>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5">
        <f ca="1">IF(H88="仅含出让金",C87+C90+C91+C92+C93+C94,C87+C91+C92+C93+C94)</f>
        <v>15</v>
      </c>
      <c r="D86" s="2578"/>
      <c r="E86" s="3521"/>
      <c r="F86" s="3514"/>
      <c r="G86" s="3514"/>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3526" t="s">
        <v>1411</v>
      </c>
      <c r="C87" s="2573">
        <f>C88+C89</f>
        <v>0</v>
      </c>
      <c r="D87" s="2574"/>
      <c r="E87" s="3515"/>
      <c r="F87" s="3516"/>
      <c r="G87" s="3516"/>
      <c r="H87" s="3520"/>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3526" t="s">
        <v>1412</v>
      </c>
      <c r="C88" s="2579"/>
      <c r="D88" s="2574"/>
      <c r="E88" s="193" t="s">
        <v>1413</v>
      </c>
      <c r="F88" s="351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3526" t="s">
        <v>1403</v>
      </c>
      <c r="C89" s="2573">
        <f>ROUND(C88*D89,0)</f>
        <v>0</v>
      </c>
      <c r="D89" s="2574">
        <f>'数据-取费表'!B48+'数据-取费表'!B49</f>
        <v>3.0499999999999999E-2</v>
      </c>
      <c r="E89" s="193" t="s">
        <v>1415</v>
      </c>
      <c r="F89" s="3516"/>
      <c r="G89" s="3516"/>
      <c r="H89" s="3520"/>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3526" t="s">
        <v>1416</v>
      </c>
      <c r="C90" s="2579"/>
      <c r="D90" s="2574"/>
      <c r="E90" s="193" t="str">
        <f>IF(H88="-","土地取得成本中已包含该笔费用"," ")</f>
        <v xml:space="preserve"> </v>
      </c>
      <c r="F90" s="3516"/>
      <c r="G90" s="3712" t="s">
        <v>2128</v>
      </c>
      <c r="H90" s="371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3526" t="s">
        <v>1418</v>
      </c>
      <c r="C91" s="2573">
        <f>IF(H91="——",成本法!C33,I91)</f>
        <v>0</v>
      </c>
      <c r="D91" s="2574"/>
      <c r="E91" s="3631" t="s">
        <v>1419</v>
      </c>
      <c r="F91" s="3632"/>
      <c r="G91" s="363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3526" t="s">
        <v>1421</v>
      </c>
      <c r="C92" s="2573">
        <f>ROUND((C87+C90+C91)*D92,0)</f>
        <v>0</v>
      </c>
      <c r="D92" s="2580"/>
      <c r="E92" s="3631" t="s">
        <v>1422</v>
      </c>
      <c r="F92" s="3632"/>
      <c r="G92" s="3632"/>
      <c r="H92" s="364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3526" t="s">
        <v>1405</v>
      </c>
      <c r="C93" s="2573">
        <f ca="1">ROUND(D45*D93/(1+'数据-取费表'!C42),0)</f>
        <v>15</v>
      </c>
      <c r="D93" s="2574">
        <f>'数据-取费表'!B43</f>
        <v>6.000000000000001E-3</v>
      </c>
      <c r="E93" s="3631" t="s">
        <v>1406</v>
      </c>
      <c r="F93" s="3632"/>
      <c r="G93" s="3632"/>
      <c r="H93" s="364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3526" t="s">
        <v>1425</v>
      </c>
      <c r="C94" s="2579">
        <f>ROUND((C87+C90+C91)*D94,0)</f>
        <v>0</v>
      </c>
      <c r="D94" s="2574">
        <v>0.2</v>
      </c>
      <c r="E94" s="3642" t="s">
        <v>1426</v>
      </c>
      <c r="F94" s="3643"/>
      <c r="G94" s="3643"/>
      <c r="H94" s="364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3525" t="s">
        <v>1407</v>
      </c>
      <c r="C95" s="2565">
        <f ca="1">ROUND(C85-C86,0)</f>
        <v>2468</v>
      </c>
      <c r="D95" s="3526" t="s">
        <v>26</v>
      </c>
      <c r="E95" s="3521"/>
      <c r="F95" s="3514"/>
      <c r="G95" s="3514"/>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3525" t="s">
        <v>1408</v>
      </c>
      <c r="C96" s="2575">
        <f ca="1">IF(C95&lt;=0,0,C95/C86)</f>
        <v>164.53333333333333</v>
      </c>
      <c r="D96" s="3526" t="s">
        <v>26</v>
      </c>
      <c r="E96" s="3531" t="str">
        <f ca="1">IF(C96&gt;=200%,"增值额超过扣除项目金额200%",IF(C96&gt;=100%,"增值额超过扣除项目金额100%，未超过200%",IF(C96&gt;=50%,"增值额超过扣除项目金额50%，未超过100%",IF(C96&lt;50%,"增值额未超过扣除项目金额50%"))))</f>
        <v>增值额超过扣除项目金额200%</v>
      </c>
      <c r="F96" s="3514"/>
      <c r="G96" s="3514"/>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6">
        <f ca="1">ROUND(IF(C95&lt;=0,0,IF(C96&gt;=200%,C95*60%-C86*35%,IF(C96&gt;=100%,C95*50%-C86*15%,IF(C96&gt;=50%,C95*40%-C86*5%,IF(C96&lt;50%,C95*30%,0))))),0)</f>
        <v>1476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15" t="s">
        <v>1428</v>
      </c>
      <c r="B100" s="3616"/>
      <c r="C100" s="3616"/>
      <c r="D100" s="3633"/>
      <c r="E100" s="3616" t="s">
        <v>1429</v>
      </c>
      <c r="F100" s="3616"/>
      <c r="G100" s="3616"/>
      <c r="H100" s="3633"/>
      <c r="I100" s="129"/>
    </row>
    <row r="101" spans="1:35" ht="18.75" customHeight="1">
      <c r="A101" s="3694" t="s">
        <v>1430</v>
      </c>
      <c r="B101" s="3695"/>
      <c r="C101" s="2582" t="str">
        <f>C4</f>
        <v>典型户型修正</v>
      </c>
      <c r="D101" s="2583" t="str">
        <f>D4</f>
        <v>成本法</v>
      </c>
      <c r="E101" s="3707" t="s">
        <v>1431</v>
      </c>
      <c r="F101" s="3665"/>
      <c r="G101" s="1826" t="s">
        <v>1432</v>
      </c>
      <c r="H101" s="2592">
        <f ca="1">H118</f>
        <v>53236</v>
      </c>
      <c r="I101" s="129"/>
    </row>
    <row r="102" spans="1:35" ht="18.75" customHeight="1">
      <c r="A102" s="3667" t="s">
        <v>1433</v>
      </c>
      <c r="B102" s="2581" t="s">
        <v>1432</v>
      </c>
      <c r="C102" s="2582">
        <f ca="1">IF(D32="楼面单价",ROUND(C19,0),C19)</f>
        <v>50835</v>
      </c>
      <c r="D102" s="2583">
        <f ca="1">IF(D32="楼面单价",ROUND(D19,0),D19)</f>
        <v>55637</v>
      </c>
      <c r="E102" s="3707"/>
      <c r="F102" s="3665"/>
      <c r="G102" s="1826" t="s">
        <v>1434</v>
      </c>
      <c r="H102" s="2552">
        <f ca="1">I118</f>
        <v>27424</v>
      </c>
      <c r="I102" s="129"/>
    </row>
    <row r="103" spans="1:35" ht="42.75" customHeight="1">
      <c r="A103" s="3667"/>
      <c r="B103" s="2581" t="s">
        <v>1434</v>
      </c>
      <c r="C103" s="2584">
        <f ca="1">C20</f>
        <v>26187</v>
      </c>
      <c r="D103" s="2585">
        <f ca="1">D20</f>
        <v>28661</v>
      </c>
      <c r="E103" s="3702" t="s">
        <v>1435</v>
      </c>
      <c r="F103" s="3703"/>
      <c r="G103" s="1827" t="s">
        <v>1436</v>
      </c>
      <c r="H103" s="2592">
        <f>IF(D36="正常操作",H104+H105+H106,H105+H106)</f>
        <v>0</v>
      </c>
      <c r="I103" s="129"/>
    </row>
    <row r="104" spans="1:35" ht="18.75" customHeight="1">
      <c r="A104" s="3667" t="s">
        <v>1437</v>
      </c>
      <c r="B104" s="2586" t="s">
        <v>1432</v>
      </c>
      <c r="C104" s="2587">
        <f ca="1">H118</f>
        <v>53236</v>
      </c>
      <c r="D104" s="2588"/>
      <c r="E104" s="1673" t="s">
        <v>1438</v>
      </c>
      <c r="F104" s="1665"/>
      <c r="G104" s="1827" t="s">
        <v>1436</v>
      </c>
      <c r="H104" s="2593">
        <f>IF(D36="同一抵押权人同一抵押物续贷",C36&amp;"（续贷，未扣减，详见特别提示）",C36)</f>
        <v>0</v>
      </c>
      <c r="I104" s="129"/>
    </row>
    <row r="105" spans="1:35" ht="18.75" customHeight="1" thickBot="1">
      <c r="A105" s="3668"/>
      <c r="B105" s="2589" t="s">
        <v>1434</v>
      </c>
      <c r="C105" s="2590">
        <f ca="1">I118</f>
        <v>27424</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64" t="str">
        <f>IF(项目基本情况!E8="已注销","——","3.房地产抵押价值")</f>
        <v>3.房地产抵押价值</v>
      </c>
      <c r="F107" s="3665"/>
      <c r="G107" s="1826" t="s">
        <v>1432</v>
      </c>
      <c r="H107" s="2592">
        <f ca="1">IF(E107="——","——",H101-H103)</f>
        <v>53236</v>
      </c>
      <c r="I107" s="129"/>
    </row>
    <row r="108" spans="1:35" ht="18.75" customHeight="1">
      <c r="A108" s="129"/>
      <c r="B108" s="129"/>
      <c r="C108" s="129"/>
      <c r="D108" s="129"/>
      <c r="E108" s="3664"/>
      <c r="F108" s="3665"/>
      <c r="G108" s="1826" t="s">
        <v>1434</v>
      </c>
      <c r="H108" s="2552">
        <f ca="1">IF(H107=H101,H102,ROUND(H107*10000/'数据-汇总表'!E3,0))</f>
        <v>27424</v>
      </c>
      <c r="I108" s="129"/>
    </row>
    <row r="109" spans="1:35" ht="18.75" customHeight="1">
      <c r="A109" s="129"/>
      <c r="B109" s="129"/>
      <c r="C109" s="129"/>
      <c r="D109" s="129"/>
      <c r="E109" s="3664" t="str">
        <f>IF(项目基本情况!E8="已注销及未注销","4.抵押担保权已注销时的房地产抵押价值",IF(项目基本情况!E8="已注销","3.抵押担保权已注销时的房地产抵押价值","——"))</f>
        <v>——</v>
      </c>
      <c r="F109" s="3665"/>
      <c r="G109" s="1826" t="s">
        <v>1432</v>
      </c>
      <c r="H109" s="2595" t="str">
        <f>IF(E109="——","——",H101-H105-H106)</f>
        <v>——</v>
      </c>
      <c r="I109" s="129"/>
    </row>
    <row r="110" spans="1:35" ht="18.75" customHeight="1">
      <c r="A110" s="129"/>
      <c r="B110" s="129"/>
      <c r="C110" s="129"/>
      <c r="D110" s="129"/>
      <c r="E110" s="3664"/>
      <c r="F110" s="3665"/>
      <c r="G110" s="1826" t="s">
        <v>1434</v>
      </c>
      <c r="H110" s="2552" t="str">
        <f>IF(H109="——","——",ROUND(H109*10000/'数据-汇总表'!E3,0))</f>
        <v>——</v>
      </c>
      <c r="I110" s="129"/>
    </row>
    <row r="111" spans="1:35" ht="18.75" customHeight="1">
      <c r="A111" s="129"/>
      <c r="B111" s="129"/>
      <c r="C111" s="129"/>
      <c r="D111" s="129"/>
      <c r="E111" s="3696" t="str">
        <f>IF(项目基本情况!E9="抵押净值",IF(OR(项目基本情况!E8="已注销",项目基本情况!E8="房地产抵押价值"),"4.抵押净值","5.抵押净值"),"——")</f>
        <v>4.抵押净值</v>
      </c>
      <c r="F111" s="3666"/>
      <c r="G111" s="1826" t="s">
        <v>1432</v>
      </c>
      <c r="H111" s="2592">
        <f ca="1">IF(E111="——","——",N59)</f>
        <v>2381</v>
      </c>
      <c r="I111" s="129"/>
    </row>
    <row r="112" spans="1:35" ht="18.75" customHeight="1" thickBot="1">
      <c r="A112" s="129"/>
      <c r="B112" s="129"/>
      <c r="C112" s="129"/>
      <c r="D112" s="129"/>
      <c r="E112" s="3697"/>
      <c r="F112" s="3698"/>
      <c r="G112" s="1829" t="s">
        <v>1434</v>
      </c>
      <c r="H112" s="2596">
        <f ca="1">IF(E111="——","——",N61)</f>
        <v>1227</v>
      </c>
      <c r="I112" s="129"/>
    </row>
    <row r="113" spans="1:27" ht="18.75" customHeight="1">
      <c r="A113" s="129"/>
      <c r="B113" s="129"/>
      <c r="C113" s="129"/>
      <c r="D113" s="129"/>
      <c r="E113" s="3669" t="s">
        <v>1440</v>
      </c>
      <c r="F113" s="3669"/>
      <c r="G113" s="3669"/>
      <c r="H113" s="3669"/>
      <c r="I113" s="129"/>
    </row>
    <row r="114" spans="1:27" ht="3.75" customHeight="1">
      <c r="A114" s="1746"/>
      <c r="B114" s="1746"/>
      <c r="C114" s="1746"/>
      <c r="D114" s="1746"/>
      <c r="E114" s="1808"/>
      <c r="F114" s="1808"/>
      <c r="G114" s="1808"/>
      <c r="H114" s="1808"/>
      <c r="I114" s="1746"/>
    </row>
    <row r="115" spans="1:27" ht="18.75" customHeight="1">
      <c r="A115" s="3679" t="s">
        <v>1442</v>
      </c>
      <c r="B115" s="3680"/>
      <c r="C115" s="3680"/>
      <c r="D115" s="3680"/>
      <c r="E115" s="3680"/>
      <c r="F115" s="3680"/>
      <c r="G115" s="3680"/>
      <c r="H115" s="3680"/>
      <c r="I115" s="3681"/>
    </row>
    <row r="116" spans="1:27" ht="27" customHeight="1">
      <c r="A116" s="3635" t="s">
        <v>1443</v>
      </c>
      <c r="B116" s="3670" t="s">
        <v>1444</v>
      </c>
      <c r="C116" s="3670" t="s">
        <v>1445</v>
      </c>
      <c r="D116" s="3683" t="s">
        <v>1446</v>
      </c>
      <c r="E116" s="3684"/>
      <c r="F116" s="3678" t="s">
        <v>1447</v>
      </c>
      <c r="G116" s="3678"/>
      <c r="H116" s="3635" t="s">
        <v>1448</v>
      </c>
      <c r="I116" s="3635"/>
    </row>
    <row r="117" spans="1:27" ht="18.75" customHeight="1">
      <c r="A117" s="3635"/>
      <c r="B117" s="3671"/>
      <c r="C117" s="3671"/>
      <c r="D117" s="3517" t="s">
        <v>1449</v>
      </c>
      <c r="E117" s="3517" t="s">
        <v>1450</v>
      </c>
      <c r="F117" s="3517" t="s">
        <v>1449</v>
      </c>
      <c r="G117" s="3517" t="s">
        <v>1451</v>
      </c>
      <c r="H117" s="3517" t="s">
        <v>1449</v>
      </c>
      <c r="I117" s="3517" t="s">
        <v>1451</v>
      </c>
    </row>
    <row r="118" spans="1:27" ht="24.75" customHeight="1">
      <c r="A118" s="2597" t="str">
        <f>项目基本情况!S2</f>
        <v>北京市房地产</v>
      </c>
      <c r="B118" s="3517">
        <f>M18</f>
        <v>19411.939999999999</v>
      </c>
      <c r="C118" s="3517">
        <f>M19</f>
        <v>0</v>
      </c>
      <c r="D118" s="3517" t="e">
        <f ca="1">ROUND(IF(D32="总价",C34,E118*B118/10000),0)</f>
        <v>#REF!</v>
      </c>
      <c r="E118" s="3517" t="e">
        <f ca="1">ROUND(IF(C33="自定义",IF(D32="楼面单价",C34,D118*10000/B118),I118-G118),0)</f>
        <v>#REF!</v>
      </c>
      <c r="F118" s="3517" t="e">
        <f ca="1">ROUND(IF(D32="总价",C35,G118*B118/10000),0)</f>
        <v>#REF!</v>
      </c>
      <c r="G118" s="3517" t="e">
        <f ca="1">ROUND(IF(D32="楼面单价",C35,F118*10000/B118),0)</f>
        <v>#REF!</v>
      </c>
      <c r="H118" s="3517">
        <f ca="1">ROUND(IF(D32="总价",C32,I118*B118/10000),0)</f>
        <v>53236</v>
      </c>
      <c r="I118" s="3517">
        <f ca="1">ROUND(IF(D32="楼面单价",C32,H118*10000/B118),0)</f>
        <v>27424</v>
      </c>
    </row>
    <row r="119" spans="1:27" ht="18.75" customHeight="1">
      <c r="A119" s="3635" t="s">
        <v>1452</v>
      </c>
      <c r="B119" s="3635"/>
      <c r="C119" s="3635"/>
      <c r="D119" s="3675" t="e">
        <f ca="1">NUMBERSTRING(INT(D118*10000),2)&amp;"元整"</f>
        <v>#REF!</v>
      </c>
      <c r="E119" s="3677"/>
      <c r="F119" s="3675" t="e">
        <f ca="1">NUMBERSTRING(INT(F118*10000),2)&amp;"元整"</f>
        <v>#REF!</v>
      </c>
      <c r="G119" s="3677"/>
      <c r="H119" s="3675" t="str">
        <f ca="1">NUMBERSTRING(INT(H118*10000),2)&amp;"元整"</f>
        <v>伍亿叁仟贰佰叁拾陆万元整</v>
      </c>
      <c r="I119" s="3677"/>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75" t="s">
        <v>1452</v>
      </c>
      <c r="B121" s="3676"/>
      <c r="C121" s="3677"/>
      <c r="D121" s="3675" t="str">
        <f>IF(D120=0,"零元整",NUMBERSTRING(INT(D120*10000),2)&amp;"元整")</f>
        <v>零元整</v>
      </c>
      <c r="E121" s="3676"/>
      <c r="F121" s="3676"/>
      <c r="G121" s="3676"/>
      <c r="H121" s="3676"/>
      <c r="I121" s="3677"/>
      <c r="AA121" s="724"/>
    </row>
    <row r="122" spans="1:27" ht="18.75" customHeight="1">
      <c r="A122" s="3666" t="str">
        <f>IF(项目基本情况!B9="房地产市场价值","",MID(E107,3,LEN(E107)-2))</f>
        <v>房地产抵押价值</v>
      </c>
      <c r="B122" s="3666"/>
      <c r="C122" s="3666"/>
      <c r="D122" s="3699">
        <f ca="1">H107</f>
        <v>53236</v>
      </c>
      <c r="E122" s="3700"/>
      <c r="F122" s="3700"/>
      <c r="G122" s="3700"/>
      <c r="H122" s="3700"/>
      <c r="I122" s="3701"/>
      <c r="AA122" s="724"/>
    </row>
    <row r="123" spans="1:27" ht="18.75" customHeight="1">
      <c r="A123" s="3635" t="s">
        <v>1452</v>
      </c>
      <c r="B123" s="3635"/>
      <c r="C123" s="3635"/>
      <c r="D123" s="3675" t="str">
        <f ca="1">NUMBERSTRING(INT(D122*10000),2)&amp;"元整"</f>
        <v>伍亿叁仟贰佰叁拾陆万元整</v>
      </c>
      <c r="E123" s="3676"/>
      <c r="F123" s="3676"/>
      <c r="G123" s="3676"/>
      <c r="H123" s="3676"/>
      <c r="I123" s="3677"/>
      <c r="AA123" s="724"/>
    </row>
    <row r="124" spans="1:27" ht="18.75" customHeight="1">
      <c r="A124" s="3666" t="str">
        <f>IF(项目基本情况!B9="房地产市场价值","",MID(E109,3,LEN(E109)-2))</f>
        <v/>
      </c>
      <c r="B124" s="3666"/>
      <c r="C124" s="3666"/>
      <c r="D124" s="3699" t="str">
        <f>H109</f>
        <v>——</v>
      </c>
      <c r="E124" s="3700"/>
      <c r="F124" s="3700"/>
      <c r="G124" s="3700"/>
      <c r="H124" s="3700"/>
      <c r="I124" s="3701"/>
      <c r="AA124" s="724"/>
    </row>
    <row r="125" spans="1:27" ht="18.75" customHeight="1">
      <c r="A125" s="3635" t="s">
        <v>1452</v>
      </c>
      <c r="B125" s="3635"/>
      <c r="C125" s="3635"/>
      <c r="D125" s="3675" t="e">
        <f>NUMBERSTRING(INT(D124*10000),2)&amp;"元整"</f>
        <v>#VALUE!</v>
      </c>
      <c r="E125" s="3676"/>
      <c r="F125" s="3676"/>
      <c r="G125" s="3676"/>
      <c r="H125" s="3676"/>
      <c r="I125" s="3677"/>
      <c r="AA125" s="724"/>
    </row>
    <row r="126" spans="1:27" ht="18.75" customHeight="1">
      <c r="A126" s="3666" t="str">
        <f>IF(项目基本情况!B9="房地产市场价值","",MID(E111,3,LEN(E111)-2))</f>
        <v>抵押净值</v>
      </c>
      <c r="B126" s="3666"/>
      <c r="C126" s="3666"/>
      <c r="D126" s="3699">
        <f ca="1">H111</f>
        <v>2381</v>
      </c>
      <c r="E126" s="3700"/>
      <c r="F126" s="3700"/>
      <c r="G126" s="3700"/>
      <c r="H126" s="3700"/>
      <c r="I126" s="3701"/>
      <c r="AA126" s="724"/>
    </row>
    <row r="127" spans="1:27" ht="18.75" customHeight="1">
      <c r="A127" s="3635" t="s">
        <v>1452</v>
      </c>
      <c r="B127" s="3635"/>
      <c r="C127" s="3635"/>
      <c r="D127" s="3675" t="str">
        <f ca="1">NUMBERSTRING(INT(D126*10000),2)&amp;"元整"</f>
        <v>贰仟叁佰捌拾壹万元整</v>
      </c>
      <c r="E127" s="3676"/>
      <c r="F127" s="3676"/>
      <c r="G127" s="3676"/>
      <c r="H127" s="3676"/>
      <c r="I127" s="3677"/>
      <c r="AA127" s="724"/>
    </row>
    <row r="128" spans="1:27" ht="21.75" customHeight="1">
      <c r="A128" s="3682" t="s">
        <v>1453</v>
      </c>
      <c r="B128" s="3682"/>
      <c r="C128" s="3682"/>
      <c r="D128" s="3682"/>
      <c r="E128" s="3682"/>
      <c r="F128" s="3682"/>
      <c r="G128" s="3682"/>
      <c r="H128" s="3682"/>
      <c r="I128" s="368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D11"/>
  <sheetViews>
    <sheetView workbookViewId="0">
      <selection activeCell="H19" sqref="H19"/>
    </sheetView>
  </sheetViews>
  <sheetFormatPr defaultRowHeight="13.5"/>
  <sheetData>
    <row r="8" spans="1:4">
      <c r="B8" s="3470" t="s">
        <v>3481</v>
      </c>
      <c r="C8" s="3470" t="s">
        <v>3482</v>
      </c>
      <c r="D8" s="3470" t="s">
        <v>3483</v>
      </c>
    </row>
    <row r="9" spans="1:4">
      <c r="A9" s="3470" t="s">
        <v>3479</v>
      </c>
      <c r="B9">
        <f ca="1">结果表净值模拟!N59</f>
        <v>45629</v>
      </c>
      <c r="C9">
        <f ca="1">'结果表净值模拟 (2)'!H111</f>
        <v>2381</v>
      </c>
      <c r="D9">
        <f ca="1">SUM(B9:C9)</f>
        <v>48010</v>
      </c>
    </row>
    <row r="10" spans="1:4">
      <c r="A10" s="3470" t="s">
        <v>3480</v>
      </c>
      <c r="B10">
        <f>典型户型修正!B24+典型户型修正!B25+典型户型修正!B26+典型户型修正!B27</f>
        <v>17619.28</v>
      </c>
      <c r="C10">
        <f>典型户型修正!B28</f>
        <v>1792.66</v>
      </c>
      <c r="D10">
        <f t="shared" ref="D10:D11" si="0">SUM(B10:C10)</f>
        <v>19411.939999999999</v>
      </c>
    </row>
    <row r="11" spans="1:4">
      <c r="B11">
        <f ca="1">ROUND(B9/B10*10000,0)</f>
        <v>25897</v>
      </c>
      <c r="C11">
        <f ca="1">ROUND(C9/C10*10000,0)</f>
        <v>13282</v>
      </c>
      <c r="D11">
        <f ca="1">ROUND(D9/D10*10000,0)</f>
        <v>24732</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58" t="s">
        <v>949</v>
      </c>
      <c r="B1" s="3558"/>
      <c r="C1" s="3558"/>
      <c r="D1" s="3558"/>
    </row>
    <row r="2" spans="1:4" ht="18">
      <c r="A2" s="3559" t="s">
        <v>933</v>
      </c>
      <c r="B2" s="3559"/>
      <c r="C2" s="3559"/>
      <c r="D2" s="355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59" t="s">
        <v>939</v>
      </c>
      <c r="B6" s="3559"/>
      <c r="C6" s="3559"/>
      <c r="D6" s="355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60" t="s">
        <v>942</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7"/>
      <c r="C12" s="3557"/>
      <c r="D12" s="3557"/>
    </row>
    <row r="13" spans="1:4" ht="30" customHeight="1">
      <c r="A13" s="3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7"/>
      <c r="C13" s="3557"/>
      <c r="D13" s="3557"/>
    </row>
    <row r="14" spans="1:4" ht="15.75" customHeight="1">
      <c r="A14" s="3552" t="str">
        <f>IF(项目基本情况!B8="抵押","4.本次评估估价师所知悉的法定优先受偿款情况说明如下：","——")</f>
        <v>4.本次评估估价师所知悉的法定优先受偿款情况说明如下：</v>
      </c>
      <c r="B14" s="3557"/>
      <c r="C14" s="3557"/>
      <c r="D14" s="3557"/>
    </row>
    <row r="15" spans="1:4" ht="42" customHeight="1">
      <c r="A15" s="35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2"/>
      <c r="C15" s="3552"/>
      <c r="D15" s="3552"/>
    </row>
    <row r="16" spans="1:4" ht="30" customHeight="1">
      <c r="A16" s="3554" t="s">
        <v>943</v>
      </c>
      <c r="B16" s="3554"/>
      <c r="C16" s="3554"/>
      <c r="D16" s="3554"/>
    </row>
    <row r="17" spans="1:4" ht="144" customHeight="1">
      <c r="A17" s="3554" t="s">
        <v>944</v>
      </c>
      <c r="B17" s="3554"/>
      <c r="C17" s="3554"/>
      <c r="D17" s="3554"/>
    </row>
    <row r="18" spans="1:4" ht="15.75" customHeight="1">
      <c r="A18" s="3552" t="str">
        <f>IF(项目基本情况!B8="抵押",结果表!K120,"——")</f>
        <v>故，本次评估不存在估价师知悉的法定优先受偿款</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2"/>
      <c r="C20" s="3552"/>
      <c r="D20" s="3552"/>
    </row>
    <row r="21" spans="1:4" ht="57.75" customHeight="1">
      <c r="A21" s="3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5"/>
      <c r="C21" s="3555"/>
      <c r="D21" s="3555"/>
    </row>
    <row r="22" spans="1:4" ht="18.75" customHeight="1">
      <c r="A22" s="3556" t="s">
        <v>945</v>
      </c>
      <c r="B22" s="3556"/>
      <c r="C22" s="3556"/>
      <c r="D22" s="355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53">
        <v>42551</v>
      </c>
      <c r="D31" s="35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66" t="s">
        <v>956</v>
      </c>
      <c r="B15" s="3561" t="s">
        <v>109</v>
      </c>
      <c r="C15" s="3562"/>
    </row>
    <row r="16" spans="1:7" ht="13.5">
      <c r="A16" s="3567"/>
      <c r="B16" s="3561" t="s">
        <v>42</v>
      </c>
      <c r="C16" s="3562"/>
    </row>
    <row r="17" spans="1:3" ht="13.5">
      <c r="A17" s="3567"/>
      <c r="B17" s="3564" t="s">
        <v>957</v>
      </c>
      <c r="C17" s="1531" t="s">
        <v>956</v>
      </c>
    </row>
    <row r="18" spans="1:3" ht="13.5">
      <c r="A18" s="3567"/>
      <c r="B18" s="3564"/>
      <c r="C18" s="1531" t="s">
        <v>958</v>
      </c>
    </row>
    <row r="19" spans="1:3" ht="13.5">
      <c r="A19" s="3567"/>
      <c r="B19" s="3564"/>
      <c r="C19" s="1531" t="s">
        <v>959</v>
      </c>
    </row>
    <row r="20" spans="1:3" ht="13.5">
      <c r="A20" s="3568"/>
      <c r="B20" s="3563" t="s">
        <v>960</v>
      </c>
      <c r="C20" s="3562"/>
    </row>
    <row r="21" spans="1:3" ht="13.5">
      <c r="A21" s="1532" t="s">
        <v>961</v>
      </c>
      <c r="B21" s="1533"/>
      <c r="C21" s="1534"/>
    </row>
    <row r="22" spans="1:3" ht="13.5">
      <c r="A22" s="3565" t="s">
        <v>962</v>
      </c>
      <c r="B22" s="3563" t="s">
        <v>963</v>
      </c>
      <c r="C22" s="3562"/>
    </row>
    <row r="23" spans="1:3" ht="13.5">
      <c r="A23" s="3565"/>
      <c r="B23" s="3563" t="s">
        <v>964</v>
      </c>
      <c r="C23" s="3562"/>
    </row>
    <row r="24" spans="1:3" ht="13.5">
      <c r="A24" s="3565"/>
      <c r="B24" s="3563" t="s">
        <v>965</v>
      </c>
      <c r="C24" s="3562"/>
    </row>
    <row r="25" spans="1:3" ht="13.5">
      <c r="A25" s="3565"/>
      <c r="B25" s="3564" t="s">
        <v>966</v>
      </c>
      <c r="C25" s="1531" t="s">
        <v>967</v>
      </c>
    </row>
    <row r="26" spans="1:3" ht="13.5">
      <c r="A26" s="3565"/>
      <c r="B26" s="3564"/>
      <c r="C26" s="1531" t="s">
        <v>968</v>
      </c>
    </row>
    <row r="27" spans="1:3" ht="13.5">
      <c r="A27" s="3565"/>
      <c r="B27" s="3564"/>
      <c r="C27" s="1531" t="s">
        <v>969</v>
      </c>
    </row>
    <row r="28" spans="1:3" ht="13.5">
      <c r="A28" s="3565"/>
      <c r="B28" s="3564"/>
      <c r="C28" s="1531" t="s">
        <v>970</v>
      </c>
    </row>
    <row r="29" spans="1:3" ht="13.5">
      <c r="A29" s="3565"/>
      <c r="B29" s="3564"/>
      <c r="C29" s="1531" t="s">
        <v>971</v>
      </c>
    </row>
    <row r="30" spans="1:3" ht="13.5">
      <c r="A30" s="3565"/>
      <c r="B30" s="3564"/>
      <c r="C30" s="1531" t="s">
        <v>972</v>
      </c>
    </row>
    <row r="31" spans="1:3" ht="13.5">
      <c r="A31" s="3565"/>
      <c r="B31" s="3564"/>
      <c r="C31" s="1531" t="s">
        <v>973</v>
      </c>
    </row>
    <row r="32" spans="1:3" ht="13.5">
      <c r="A32" s="3565"/>
      <c r="B32" s="3564"/>
      <c r="C32" s="1531" t="s">
        <v>974</v>
      </c>
    </row>
    <row r="33" spans="1:3" ht="13.5">
      <c r="A33" s="3565"/>
      <c r="B33" s="356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44955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f ca="1">IF(C14&lt;B2,"已过期",1119980106)</f>
        <v>1119980106</v>
      </c>
      <c r="C14" s="2349">
        <v>44969</v>
      </c>
      <c r="D14" s="2345" t="str">
        <f t="shared" ca="1" si="0"/>
        <v>刘俊财（注册号：1119980106）</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69" t="s">
        <v>2159</v>
      </c>
      <c r="B17" s="3569"/>
      <c r="C17" s="3569"/>
      <c r="D17" s="3569"/>
      <c r="E17" s="3569"/>
      <c r="F17" s="3569"/>
      <c r="G17" s="3569"/>
      <c r="H17" s="3569"/>
    </row>
    <row r="18" spans="1:8" ht="24" customHeight="1">
      <c r="A18" s="3570" t="s">
        <v>2160</v>
      </c>
      <c r="B18" s="3570"/>
      <c r="C18" s="3570"/>
      <c r="D18" s="2342"/>
      <c r="E18" s="3571" t="s">
        <v>2161</v>
      </c>
      <c r="F18" s="3570"/>
      <c r="G18" s="357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典型户型修正</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结果表-车库</vt:lpstr>
      <vt:lpstr>成本法-车库</vt:lpstr>
      <vt:lpstr>收益法-车库</vt:lpstr>
      <vt:lpstr>修正</vt:lpstr>
      <vt:lpstr>容积率修正</vt:lpstr>
      <vt:lpstr>成本法（废）</vt:lpstr>
      <vt:lpstr>区片价</vt:lpstr>
      <vt:lpstr>因素修正幅度</vt:lpstr>
      <vt:lpstr>区片价（范围）</vt:lpstr>
      <vt:lpstr>地价-分区</vt:lpstr>
      <vt:lpstr>地价</vt:lpstr>
      <vt:lpstr>存贷款利率</vt:lpstr>
      <vt:lpstr>市调</vt:lpstr>
      <vt:lpstr>结果表净值模拟</vt:lpstr>
      <vt:lpstr>结果表净值模拟 (2)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结果表净值模拟!Print_Area</vt:lpstr>
      <vt:lpstr>'结果表净值模拟 (2)'!Print_Area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2023-01-29T03:04:20Z</dcterms:modified>
</cp:coreProperties>
</file>