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我的资料库\Documents\WeChat Files\vickycc0312\Files\"/>
    </mc:Choice>
  </mc:AlternateContent>
  <bookViews>
    <workbookView minimized="1" xWindow="9468" yWindow="-12" windowWidth="9516" windowHeight="10692" tabRatio="899" firstSheet="13"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租约" sheetId="81" r:id="rId11"/>
    <sheet name="面积" sheetId="80" state="hidden"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state="hidden" r:id="rId20"/>
    <sheet name="成本法 (元)" sheetId="69" state="hidden" r:id="rId21"/>
    <sheet name="假设开发法" sheetId="12" state="hidden" r:id="rId22"/>
    <sheet name="收益法（汇总）" sheetId="70" r:id="rId23"/>
    <sheet name="收益法-办公未出租" sheetId="82" r:id="rId24"/>
    <sheet name="收益法-办公出租" sheetId="77" r:id="rId25"/>
    <sheet name="收益法 (元)" sheetId="67" state="hidden" r:id="rId26"/>
    <sheet name="结果表 (2)" sheetId="85" r:id="rId27"/>
    <sheet name="收益法-酒店" sheetId="15"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成本法" sheetId="68" state="hidden" r:id="rId38"/>
    <sheet name="成本法 (2)" sheetId="83" r:id="rId39"/>
    <sheet name="基准地价修正商业" sheetId="43" r:id="rId40"/>
    <sheet name="结果表 (3)" sheetId="86" r:id="rId41"/>
    <sheet name="收益法-车库" sheetId="78" r:id="rId42"/>
    <sheet name="成本法 (3)" sheetId="84" r:id="rId43"/>
    <sheet name="基准地价修正办公" sheetId="79"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 r:id="rId56"/>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8">估价师及机构信息!$A$1:$F$29</definedName>
    <definedName name="_xlnm.Print_Area" localSheetId="25">'收益法 (元)'!$A$1:$AK$69</definedName>
    <definedName name="_xlnm.Print_Area" localSheetId="24">'收益法-办公出租'!$A$1:$AK$69</definedName>
    <definedName name="_xlnm.Print_Area" localSheetId="23">'收益法-办公未出租'!$A$1:$AK$69</definedName>
    <definedName name="_xlnm.Print_Area" localSheetId="41">'收益法-车库'!$A$1:$AK$69</definedName>
    <definedName name="_xlnm.Print_Area" localSheetId="27">'收益法-酒店'!$A$1:$AK$69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43">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6" i="84" l="1"/>
  <c r="I69" i="15" l="1"/>
  <c r="A120" i="86" l="1"/>
  <c r="E111" i="86"/>
  <c r="H112" i="86" s="1"/>
  <c r="E109" i="86"/>
  <c r="A124" i="86" s="1"/>
  <c r="E107" i="86"/>
  <c r="A122" i="86" s="1"/>
  <c r="H106" i="86"/>
  <c r="H105" i="86"/>
  <c r="H104" i="86"/>
  <c r="D101" i="86"/>
  <c r="C101" i="86"/>
  <c r="C91" i="86"/>
  <c r="E90" i="86"/>
  <c r="D89" i="86"/>
  <c r="C89" i="86"/>
  <c r="C87" i="86" s="1"/>
  <c r="H77" i="86"/>
  <c r="D77" i="86"/>
  <c r="C76" i="86"/>
  <c r="F59" i="86"/>
  <c r="E59" i="86"/>
  <c r="D59" i="86"/>
  <c r="F56" i="86"/>
  <c r="O55" i="86"/>
  <c r="N55" i="86"/>
  <c r="M55" i="86"/>
  <c r="K55" i="86"/>
  <c r="J55" i="86"/>
  <c r="I55" i="86"/>
  <c r="F55" i="86" s="1"/>
  <c r="O53" i="86" s="1"/>
  <c r="O54" i="86"/>
  <c r="N54" i="86"/>
  <c r="N53" i="86"/>
  <c r="K49" i="86"/>
  <c r="F48" i="86"/>
  <c r="O52" i="86" s="1"/>
  <c r="E48" i="86"/>
  <c r="N52" i="86" s="1"/>
  <c r="D48" i="86"/>
  <c r="M52" i="86" s="1"/>
  <c r="F33" i="86"/>
  <c r="D27" i="86"/>
  <c r="C25" i="86"/>
  <c r="C24" i="86"/>
  <c r="D17" i="86"/>
  <c r="C17" i="86"/>
  <c r="C18" i="86" s="1"/>
  <c r="D18" i="86" s="1"/>
  <c r="L4" i="86"/>
  <c r="K4" i="86"/>
  <c r="H1" i="86"/>
  <c r="A120" i="85"/>
  <c r="E111" i="85"/>
  <c r="A126" i="85" s="1"/>
  <c r="E109" i="85"/>
  <c r="A124" i="85" s="1"/>
  <c r="E107" i="85"/>
  <c r="A122" i="85" s="1"/>
  <c r="H106" i="85"/>
  <c r="H105" i="85"/>
  <c r="H104" i="85"/>
  <c r="D101" i="85"/>
  <c r="C101" i="85"/>
  <c r="C91" i="85"/>
  <c r="E90" i="85"/>
  <c r="D89" i="85"/>
  <c r="C89" i="85" s="1"/>
  <c r="C87" i="85" s="1"/>
  <c r="H77" i="85"/>
  <c r="D77" i="85"/>
  <c r="C76" i="85"/>
  <c r="F59" i="85"/>
  <c r="E59" i="85"/>
  <c r="D59" i="85"/>
  <c r="F56" i="85"/>
  <c r="O54" i="85" s="1"/>
  <c r="O55" i="85"/>
  <c r="N55" i="85"/>
  <c r="M55" i="85"/>
  <c r="K55" i="85"/>
  <c r="J55" i="85"/>
  <c r="I55" i="85"/>
  <c r="F55" i="85" s="1"/>
  <c r="O53" i="85" s="1"/>
  <c r="N54" i="85"/>
  <c r="N53" i="85"/>
  <c r="K49" i="85"/>
  <c r="F48" i="85"/>
  <c r="O52" i="85" s="1"/>
  <c r="E48" i="85"/>
  <c r="N52" i="85" s="1"/>
  <c r="D48" i="85"/>
  <c r="M52" i="85" s="1"/>
  <c r="F33" i="85"/>
  <c r="D27" i="85"/>
  <c r="C25" i="85"/>
  <c r="C24" i="85"/>
  <c r="D17" i="85"/>
  <c r="C17" i="85"/>
  <c r="L4" i="85"/>
  <c r="K4" i="85"/>
  <c r="H1" i="85"/>
  <c r="H103" i="85" l="1"/>
  <c r="D120" i="85" s="1"/>
  <c r="H111" i="85"/>
  <c r="D126" i="85" s="1"/>
  <c r="D127" i="85" s="1"/>
  <c r="H103" i="86"/>
  <c r="D120" i="86" s="1"/>
  <c r="K120" i="86" s="1"/>
  <c r="H111" i="86"/>
  <c r="D126" i="86" s="1"/>
  <c r="D127" i="86" s="1"/>
  <c r="A126" i="86"/>
  <c r="D121" i="86"/>
  <c r="C92" i="86"/>
  <c r="C94" i="86"/>
  <c r="H109" i="86"/>
  <c r="C18" i="85"/>
  <c r="D18" i="85" s="1"/>
  <c r="K120" i="85"/>
  <c r="D121" i="85"/>
  <c r="C92" i="85"/>
  <c r="C94" i="85"/>
  <c r="H109" i="85"/>
  <c r="H112" i="85"/>
  <c r="F38" i="84"/>
  <c r="E37" i="84"/>
  <c r="F36" i="84"/>
  <c r="F35" i="84"/>
  <c r="F21" i="84"/>
  <c r="C21" i="84" s="1"/>
  <c r="F20" i="84"/>
  <c r="C19" i="84"/>
  <c r="E10" i="84"/>
  <c r="E9" i="84"/>
  <c r="F7" i="84"/>
  <c r="F38" i="83"/>
  <c r="E37" i="83"/>
  <c r="F36" i="83"/>
  <c r="F35" i="83"/>
  <c r="F21" i="83"/>
  <c r="C21" i="83" s="1"/>
  <c r="F20" i="83"/>
  <c r="C19" i="83"/>
  <c r="E10" i="83"/>
  <c r="E9" i="83"/>
  <c r="F7" i="83"/>
  <c r="D124" i="86" l="1"/>
  <c r="D125" i="86" s="1"/>
  <c r="H110" i="86"/>
  <c r="D124" i="85"/>
  <c r="D125" i="85" s="1"/>
  <c r="H110" i="85"/>
  <c r="C40" i="84"/>
  <c r="C40" i="83"/>
  <c r="Q95" i="81"/>
  <c r="Q92" i="81"/>
  <c r="Q87" i="81"/>
  <c r="Q84" i="81"/>
  <c r="Q81" i="81"/>
  <c r="Q78" i="81"/>
  <c r="Q75" i="81"/>
  <c r="Q72" i="81"/>
  <c r="Q69" i="81"/>
  <c r="Q66" i="81"/>
  <c r="Q62" i="81"/>
  <c r="Q58" i="81"/>
  <c r="Q55" i="81"/>
  <c r="Q52" i="81"/>
  <c r="Q49" i="81"/>
  <c r="Q46" i="81"/>
  <c r="Q43" i="81"/>
  <c r="Q40" i="81"/>
  <c r="Q36" i="81"/>
  <c r="Q32" i="81"/>
  <c r="Q28" i="81"/>
  <c r="Q24" i="81"/>
  <c r="Q19" i="81"/>
  <c r="Q14" i="81"/>
  <c r="Q9" i="81"/>
  <c r="Q98" i="81" l="1"/>
  <c r="Q103" i="81" l="1"/>
  <c r="Q104" i="81" s="1"/>
  <c r="U8" i="1" s="1"/>
  <c r="P103" i="81"/>
  <c r="O9" i="81"/>
  <c r="O14" i="81"/>
  <c r="O19" i="81"/>
  <c r="O24" i="81"/>
  <c r="O29" i="81"/>
  <c r="O33" i="81"/>
  <c r="O37" i="81"/>
  <c r="O63" i="81"/>
  <c r="O84" i="81"/>
  <c r="O87" i="81"/>
  <c r="O92" i="81"/>
  <c r="O95" i="81"/>
  <c r="C38" i="39" l="1"/>
  <c r="I38" i="39"/>
  <c r="G38" i="39"/>
  <c r="E38" i="39"/>
  <c r="I46" i="39"/>
  <c r="G46" i="39"/>
  <c r="E46" i="39"/>
  <c r="D5" i="79" l="1"/>
  <c r="K48" i="43"/>
  <c r="D48" i="43"/>
  <c r="K49" i="43"/>
  <c r="D49" i="43"/>
  <c r="K50" i="43"/>
  <c r="D50" i="43"/>
  <c r="K51" i="43"/>
  <c r="D51" i="43"/>
  <c r="K52" i="43"/>
  <c r="J52" i="43"/>
  <c r="D52" i="43" s="1"/>
  <c r="K53" i="43"/>
  <c r="D53" i="43" s="1"/>
  <c r="K54" i="43"/>
  <c r="D54" i="43" s="1"/>
  <c r="K55" i="43"/>
  <c r="D55" i="43" s="1"/>
  <c r="K56" i="43"/>
  <c r="D56" i="43" s="1"/>
  <c r="E48" i="43"/>
  <c r="B46" i="43" s="1"/>
  <c r="C24" i="43" s="1"/>
  <c r="AD8" i="1"/>
  <c r="N7" i="1"/>
  <c r="N8" i="1"/>
  <c r="N9" i="1"/>
  <c r="N6" i="1"/>
  <c r="I5" i="3"/>
  <c r="B16" i="74" s="1"/>
  <c r="G19" i="6"/>
  <c r="E19" i="6" s="1"/>
  <c r="O17" i="3"/>
  <c r="K17" i="3" s="1"/>
  <c r="K5" i="3"/>
  <c r="G20" i="6"/>
  <c r="J40" i="81"/>
  <c r="J104" i="81" s="1"/>
  <c r="F21" i="6" s="1"/>
  <c r="M5" i="3"/>
  <c r="B14" i="74" s="1"/>
  <c r="E23" i="6"/>
  <c r="E24" i="6"/>
  <c r="E25" i="6"/>
  <c r="E26" i="6"/>
  <c r="BB13" i="3"/>
  <c r="BC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A16" i="3"/>
  <c r="BB17" i="3"/>
  <c r="BC17" i="3"/>
  <c r="BD17" i="3"/>
  <c r="BE17" i="3"/>
  <c r="BF17" i="3"/>
  <c r="BG17" i="3"/>
  <c r="BH17" i="3"/>
  <c r="BI17" i="3"/>
  <c r="BJ17" i="3"/>
  <c r="BK17" i="3"/>
  <c r="BB18" i="3"/>
  <c r="BC18" i="3"/>
  <c r="BD18" i="3"/>
  <c r="BE18" i="3"/>
  <c r="BF18" i="3"/>
  <c r="BG18" i="3"/>
  <c r="BH18" i="3"/>
  <c r="BI18" i="3"/>
  <c r="BJ18" i="3"/>
  <c r="BK18" i="3"/>
  <c r="BA18" i="3"/>
  <c r="BB19" i="3"/>
  <c r="BC19" i="3"/>
  <c r="BD19" i="3"/>
  <c r="BE19" i="3"/>
  <c r="BF19" i="3"/>
  <c r="BG19" i="3"/>
  <c r="BH19" i="3"/>
  <c r="BI19" i="3"/>
  <c r="BJ19" i="3"/>
  <c r="BK19" i="3"/>
  <c r="BB20" i="3"/>
  <c r="BC20" i="3"/>
  <c r="BD20" i="3"/>
  <c r="BE20" i="3"/>
  <c r="BF20" i="3"/>
  <c r="BG20" i="3"/>
  <c r="BH20" i="3"/>
  <c r="BI20" i="3"/>
  <c r="BJ20" i="3"/>
  <c r="BK20" i="3"/>
  <c r="BA20" i="3"/>
  <c r="BB21" i="3"/>
  <c r="BC21" i="3"/>
  <c r="BD21" i="3"/>
  <c r="BE21" i="3"/>
  <c r="BF21" i="3"/>
  <c r="BG21" i="3"/>
  <c r="BH21" i="3"/>
  <c r="BI21" i="3"/>
  <c r="BJ21" i="3"/>
  <c r="BK21" i="3"/>
  <c r="BB22" i="3"/>
  <c r="BC22" i="3"/>
  <c r="BD22" i="3"/>
  <c r="BE22" i="3"/>
  <c r="BF22" i="3"/>
  <c r="BG22" i="3"/>
  <c r="BH22" i="3"/>
  <c r="BI22" i="3"/>
  <c r="BJ22" i="3"/>
  <c r="BK22" i="3"/>
  <c r="BA22" i="3"/>
  <c r="BB23" i="3"/>
  <c r="BC23" i="3"/>
  <c r="BD23" i="3"/>
  <c r="BE23" i="3"/>
  <c r="BF23" i="3"/>
  <c r="BG23" i="3"/>
  <c r="BH23" i="3"/>
  <c r="BI23" i="3"/>
  <c r="BJ23" i="3"/>
  <c r="BK23" i="3"/>
  <c r="BB24" i="3"/>
  <c r="BC24" i="3"/>
  <c r="BD24" i="3"/>
  <c r="BE24" i="3"/>
  <c r="BF24" i="3"/>
  <c r="BG24" i="3"/>
  <c r="BH24" i="3"/>
  <c r="BI24" i="3"/>
  <c r="BJ24" i="3"/>
  <c r="BK24" i="3"/>
  <c r="BA24" i="3"/>
  <c r="BB25" i="3"/>
  <c r="BC25" i="3"/>
  <c r="BD25" i="3"/>
  <c r="BE25" i="3"/>
  <c r="BF25" i="3"/>
  <c r="BG25" i="3"/>
  <c r="BH25" i="3"/>
  <c r="BI25" i="3"/>
  <c r="BJ25" i="3"/>
  <c r="BK25" i="3"/>
  <c r="BB26" i="3"/>
  <c r="BC26" i="3"/>
  <c r="BD26" i="3"/>
  <c r="BE26" i="3"/>
  <c r="BF26" i="3"/>
  <c r="BG26" i="3"/>
  <c r="BH26" i="3"/>
  <c r="BI26" i="3"/>
  <c r="BJ26" i="3"/>
  <c r="BK26" i="3"/>
  <c r="BA26" i="3"/>
  <c r="BB27" i="3"/>
  <c r="BC27" i="3"/>
  <c r="BD27" i="3"/>
  <c r="BE27" i="3"/>
  <c r="BF27" i="3"/>
  <c r="BG27" i="3"/>
  <c r="BH27" i="3"/>
  <c r="BI27" i="3"/>
  <c r="BJ27" i="3"/>
  <c r="BK27" i="3"/>
  <c r="BB28" i="3"/>
  <c r="BC28" i="3"/>
  <c r="BD28" i="3"/>
  <c r="BE28" i="3"/>
  <c r="BF28" i="3"/>
  <c r="BG28" i="3"/>
  <c r="BH28" i="3"/>
  <c r="BI28" i="3"/>
  <c r="BJ28" i="3"/>
  <c r="BK28" i="3"/>
  <c r="BA28" i="3"/>
  <c r="BB29" i="3"/>
  <c r="BC29" i="3"/>
  <c r="BD29" i="3"/>
  <c r="BE29" i="3"/>
  <c r="BF29" i="3"/>
  <c r="BG29" i="3"/>
  <c r="BH29" i="3"/>
  <c r="BI29" i="3"/>
  <c r="BJ29" i="3"/>
  <c r="BK29" i="3"/>
  <c r="BB30" i="3"/>
  <c r="BC30" i="3"/>
  <c r="BD30" i="3"/>
  <c r="BE30" i="3"/>
  <c r="BF30" i="3"/>
  <c r="BG30" i="3"/>
  <c r="BH30" i="3"/>
  <c r="BI30" i="3"/>
  <c r="BJ30" i="3"/>
  <c r="BK30" i="3"/>
  <c r="BA30" i="3"/>
  <c r="BB31" i="3"/>
  <c r="BC31" i="3"/>
  <c r="BD31" i="3"/>
  <c r="BE31" i="3"/>
  <c r="BF31" i="3"/>
  <c r="BG31" i="3"/>
  <c r="BH31" i="3"/>
  <c r="BI31" i="3"/>
  <c r="BJ31" i="3"/>
  <c r="BK31" i="3"/>
  <c r="BB32" i="3"/>
  <c r="BC32" i="3"/>
  <c r="BD32" i="3"/>
  <c r="BE32" i="3"/>
  <c r="BF32" i="3"/>
  <c r="BG32" i="3"/>
  <c r="BH32" i="3"/>
  <c r="BI32" i="3"/>
  <c r="BJ32" i="3"/>
  <c r="BK32" i="3"/>
  <c r="BA32" i="3"/>
  <c r="BB33" i="3"/>
  <c r="BC33" i="3"/>
  <c r="BD33" i="3"/>
  <c r="BE33" i="3"/>
  <c r="BF33" i="3"/>
  <c r="BG33" i="3"/>
  <c r="BH33" i="3"/>
  <c r="BI33" i="3"/>
  <c r="BJ33" i="3"/>
  <c r="BK33" i="3"/>
  <c r="BB34" i="3"/>
  <c r="BC34" i="3"/>
  <c r="BD34" i="3"/>
  <c r="BE34" i="3"/>
  <c r="BF34" i="3"/>
  <c r="BG34" i="3"/>
  <c r="BH34" i="3"/>
  <c r="BI34" i="3"/>
  <c r="BJ34" i="3"/>
  <c r="BK34" i="3"/>
  <c r="BA34" i="3"/>
  <c r="BB35" i="3"/>
  <c r="BC35" i="3"/>
  <c r="BD35" i="3"/>
  <c r="BE35" i="3"/>
  <c r="BF35" i="3"/>
  <c r="BG35" i="3"/>
  <c r="BH35" i="3"/>
  <c r="BI35" i="3"/>
  <c r="BJ35" i="3"/>
  <c r="BK35" i="3"/>
  <c r="BB36" i="3"/>
  <c r="BC36" i="3"/>
  <c r="BD36" i="3"/>
  <c r="BE36" i="3"/>
  <c r="BF36" i="3"/>
  <c r="BG36" i="3"/>
  <c r="BH36" i="3"/>
  <c r="BI36" i="3"/>
  <c r="BJ36" i="3"/>
  <c r="BK36" i="3"/>
  <c r="BA36" i="3"/>
  <c r="BB37" i="3"/>
  <c r="BC37" i="3"/>
  <c r="BD37" i="3"/>
  <c r="BE37" i="3"/>
  <c r="BF37" i="3"/>
  <c r="BG37" i="3"/>
  <c r="BH37" i="3"/>
  <c r="BI37" i="3"/>
  <c r="BJ37" i="3"/>
  <c r="BK37" i="3"/>
  <c r="BB38" i="3"/>
  <c r="BC38" i="3"/>
  <c r="BD38" i="3"/>
  <c r="BE38" i="3"/>
  <c r="BF38" i="3"/>
  <c r="BG38" i="3"/>
  <c r="BH38" i="3"/>
  <c r="BI38" i="3"/>
  <c r="BJ38" i="3"/>
  <c r="BK38" i="3"/>
  <c r="BA38" i="3"/>
  <c r="BB39" i="3"/>
  <c r="BC39" i="3"/>
  <c r="BD39" i="3"/>
  <c r="BE39" i="3"/>
  <c r="BF39" i="3"/>
  <c r="BG39" i="3"/>
  <c r="BH39" i="3"/>
  <c r="BI39" i="3"/>
  <c r="BJ39" i="3"/>
  <c r="BK39" i="3"/>
  <c r="BB40" i="3"/>
  <c r="BC40" i="3"/>
  <c r="BD40" i="3"/>
  <c r="BE40" i="3"/>
  <c r="BF40" i="3"/>
  <c r="BG40" i="3"/>
  <c r="BH40" i="3"/>
  <c r="BI40" i="3"/>
  <c r="BJ40" i="3"/>
  <c r="BK40" i="3"/>
  <c r="BA40" i="3"/>
  <c r="BB41" i="3"/>
  <c r="BC41" i="3"/>
  <c r="BD41" i="3"/>
  <c r="BE41" i="3"/>
  <c r="BF41" i="3"/>
  <c r="BG41" i="3"/>
  <c r="BH41" i="3"/>
  <c r="BI41" i="3"/>
  <c r="BJ41" i="3"/>
  <c r="BK41" i="3"/>
  <c r="BB42" i="3"/>
  <c r="BC42" i="3"/>
  <c r="BD42" i="3"/>
  <c r="BE42" i="3"/>
  <c r="BF42" i="3"/>
  <c r="BG42" i="3"/>
  <c r="BH42" i="3"/>
  <c r="BI42" i="3"/>
  <c r="BJ42" i="3"/>
  <c r="BK42" i="3"/>
  <c r="BA42" i="3"/>
  <c r="BB43" i="3"/>
  <c r="BC43" i="3"/>
  <c r="BD43" i="3"/>
  <c r="BE43" i="3"/>
  <c r="BF43" i="3"/>
  <c r="BG43" i="3"/>
  <c r="BH43" i="3"/>
  <c r="BI43" i="3"/>
  <c r="BJ43" i="3"/>
  <c r="BK43" i="3"/>
  <c r="BB44" i="3"/>
  <c r="BC44" i="3"/>
  <c r="BD44" i="3"/>
  <c r="BE44" i="3"/>
  <c r="BF44" i="3"/>
  <c r="BG44" i="3"/>
  <c r="BH44" i="3"/>
  <c r="BI44" i="3"/>
  <c r="BJ44" i="3"/>
  <c r="BK44" i="3"/>
  <c r="BA44" i="3"/>
  <c r="BB45" i="3"/>
  <c r="BC45" i="3"/>
  <c r="BD45" i="3"/>
  <c r="BE45" i="3"/>
  <c r="BF45" i="3"/>
  <c r="BG45" i="3"/>
  <c r="BH45" i="3"/>
  <c r="BI45" i="3"/>
  <c r="BJ45" i="3"/>
  <c r="BK45" i="3"/>
  <c r="BB46" i="3"/>
  <c r="BC46" i="3"/>
  <c r="BD46" i="3"/>
  <c r="BE46" i="3"/>
  <c r="BF46" i="3"/>
  <c r="BG46" i="3"/>
  <c r="BH46" i="3"/>
  <c r="BI46" i="3"/>
  <c r="BJ46" i="3"/>
  <c r="BK46" i="3"/>
  <c r="BA46" i="3"/>
  <c r="BB47" i="3"/>
  <c r="BC47" i="3"/>
  <c r="BD47" i="3"/>
  <c r="BE47" i="3"/>
  <c r="BF47" i="3"/>
  <c r="BG47" i="3"/>
  <c r="BH47" i="3"/>
  <c r="BI47" i="3"/>
  <c r="BJ47" i="3"/>
  <c r="BK47" i="3"/>
  <c r="BB48" i="3"/>
  <c r="BC48" i="3"/>
  <c r="BD48" i="3"/>
  <c r="BE48" i="3"/>
  <c r="BF48" i="3"/>
  <c r="BG48" i="3"/>
  <c r="BH48" i="3"/>
  <c r="BI48" i="3"/>
  <c r="BJ48" i="3"/>
  <c r="BK48" i="3"/>
  <c r="BA48" i="3"/>
  <c r="BB49" i="3"/>
  <c r="BC49" i="3"/>
  <c r="BD49" i="3"/>
  <c r="BE49" i="3"/>
  <c r="BF49" i="3"/>
  <c r="BG49" i="3"/>
  <c r="BH49" i="3"/>
  <c r="BI49" i="3"/>
  <c r="BJ49" i="3"/>
  <c r="BK49" i="3"/>
  <c r="BB50" i="3"/>
  <c r="BC50" i="3"/>
  <c r="BD50" i="3"/>
  <c r="BE50" i="3"/>
  <c r="BF50" i="3"/>
  <c r="BG50" i="3"/>
  <c r="BH50" i="3"/>
  <c r="BI50" i="3"/>
  <c r="BJ50" i="3"/>
  <c r="BK50" i="3"/>
  <c r="BA50" i="3"/>
  <c r="BB51" i="3"/>
  <c r="BC51" i="3"/>
  <c r="BD51" i="3"/>
  <c r="BE51" i="3"/>
  <c r="BF51" i="3"/>
  <c r="BG51" i="3"/>
  <c r="BH51" i="3"/>
  <c r="BI51" i="3"/>
  <c r="BJ51" i="3"/>
  <c r="BK51" i="3"/>
  <c r="BB52" i="3"/>
  <c r="BC52" i="3"/>
  <c r="BD52" i="3"/>
  <c r="BE52" i="3"/>
  <c r="BF52" i="3"/>
  <c r="BG52" i="3"/>
  <c r="BH52" i="3"/>
  <c r="BI52" i="3"/>
  <c r="BJ52" i="3"/>
  <c r="BK52" i="3"/>
  <c r="BA52" i="3"/>
  <c r="BB53" i="3"/>
  <c r="BC53" i="3"/>
  <c r="BD53" i="3"/>
  <c r="BE53" i="3"/>
  <c r="BF53" i="3"/>
  <c r="BG53" i="3"/>
  <c r="BH53" i="3"/>
  <c r="BI53" i="3"/>
  <c r="BJ53" i="3"/>
  <c r="BK53" i="3"/>
  <c r="BB54" i="3"/>
  <c r="BC54" i="3"/>
  <c r="BD54" i="3"/>
  <c r="BE54" i="3"/>
  <c r="BF54" i="3"/>
  <c r="BG54" i="3"/>
  <c r="BH54" i="3"/>
  <c r="BI54" i="3"/>
  <c r="BJ54" i="3"/>
  <c r="BK54" i="3"/>
  <c r="BA54" i="3"/>
  <c r="BB55" i="3"/>
  <c r="BC55" i="3"/>
  <c r="BD55" i="3"/>
  <c r="BE55" i="3"/>
  <c r="BF55" i="3"/>
  <c r="BG55" i="3"/>
  <c r="BH55" i="3"/>
  <c r="BI55" i="3"/>
  <c r="BJ55" i="3"/>
  <c r="BK55" i="3"/>
  <c r="BB56" i="3"/>
  <c r="BC56" i="3"/>
  <c r="BD56" i="3"/>
  <c r="BE56" i="3"/>
  <c r="BF56" i="3"/>
  <c r="BG56" i="3"/>
  <c r="BH56" i="3"/>
  <c r="BI56" i="3"/>
  <c r="BJ56" i="3"/>
  <c r="BK56" i="3"/>
  <c r="BA56" i="3"/>
  <c r="BB57" i="3"/>
  <c r="BC57" i="3"/>
  <c r="BD57" i="3"/>
  <c r="BE57" i="3"/>
  <c r="BF57" i="3"/>
  <c r="BG57" i="3"/>
  <c r="BH57" i="3"/>
  <c r="BI57" i="3"/>
  <c r="BJ57" i="3"/>
  <c r="BK57" i="3"/>
  <c r="BB58" i="3"/>
  <c r="BC58" i="3"/>
  <c r="BD58" i="3"/>
  <c r="BE58" i="3"/>
  <c r="BF58" i="3"/>
  <c r="BG58" i="3"/>
  <c r="BH58" i="3"/>
  <c r="BI58" i="3"/>
  <c r="BJ58" i="3"/>
  <c r="BK58" i="3"/>
  <c r="BA58" i="3"/>
  <c r="BB59" i="3"/>
  <c r="BC59" i="3"/>
  <c r="BD59" i="3"/>
  <c r="BE59" i="3"/>
  <c r="BF59" i="3"/>
  <c r="BG59" i="3"/>
  <c r="BH59" i="3"/>
  <c r="BI59" i="3"/>
  <c r="BJ59" i="3"/>
  <c r="BK59" i="3"/>
  <c r="BB60" i="3"/>
  <c r="BC60" i="3"/>
  <c r="BD60" i="3"/>
  <c r="BE60" i="3"/>
  <c r="BF60" i="3"/>
  <c r="BG60" i="3"/>
  <c r="BH60" i="3"/>
  <c r="BI60" i="3"/>
  <c r="BJ60" i="3"/>
  <c r="BK60" i="3"/>
  <c r="BA60" i="3"/>
  <c r="BB61" i="3"/>
  <c r="BC61" i="3"/>
  <c r="BD61" i="3"/>
  <c r="BE61" i="3"/>
  <c r="BF61" i="3"/>
  <c r="BG61" i="3"/>
  <c r="BH61" i="3"/>
  <c r="BI61" i="3"/>
  <c r="BJ61" i="3"/>
  <c r="BK61" i="3"/>
  <c r="BB62" i="3"/>
  <c r="BC62" i="3"/>
  <c r="BD62" i="3"/>
  <c r="BE62" i="3"/>
  <c r="BF62" i="3"/>
  <c r="BG62" i="3"/>
  <c r="BH62" i="3"/>
  <c r="BI62" i="3"/>
  <c r="BJ62" i="3"/>
  <c r="BK62" i="3"/>
  <c r="BA62" i="3"/>
  <c r="BB63" i="3"/>
  <c r="BC63" i="3"/>
  <c r="BD63" i="3"/>
  <c r="BE63" i="3"/>
  <c r="BF63" i="3"/>
  <c r="BG63" i="3"/>
  <c r="BH63" i="3"/>
  <c r="BI63" i="3"/>
  <c r="BJ63" i="3"/>
  <c r="BK63" i="3"/>
  <c r="BB64" i="3"/>
  <c r="BC64" i="3"/>
  <c r="BD64" i="3"/>
  <c r="BE64" i="3"/>
  <c r="BF64" i="3"/>
  <c r="BG64" i="3"/>
  <c r="BH64" i="3"/>
  <c r="BI64" i="3"/>
  <c r="BJ64" i="3"/>
  <c r="BK64" i="3"/>
  <c r="BA64" i="3"/>
  <c r="BB65" i="3"/>
  <c r="BC65" i="3"/>
  <c r="BD65" i="3"/>
  <c r="BE65" i="3"/>
  <c r="BF65" i="3"/>
  <c r="BG65" i="3"/>
  <c r="BH65" i="3"/>
  <c r="BI65" i="3"/>
  <c r="BJ65" i="3"/>
  <c r="BK65" i="3"/>
  <c r="BB66" i="3"/>
  <c r="BC66" i="3"/>
  <c r="BD66" i="3"/>
  <c r="BE66" i="3"/>
  <c r="BF66" i="3"/>
  <c r="BG66" i="3"/>
  <c r="BH66" i="3"/>
  <c r="BI66" i="3"/>
  <c r="BJ66" i="3"/>
  <c r="BK66" i="3"/>
  <c r="BA66" i="3"/>
  <c r="BB67" i="3"/>
  <c r="BC67" i="3"/>
  <c r="BD67" i="3"/>
  <c r="BE67" i="3"/>
  <c r="BF67" i="3"/>
  <c r="BG67" i="3"/>
  <c r="BH67" i="3"/>
  <c r="BI67" i="3"/>
  <c r="BJ67" i="3"/>
  <c r="BK67" i="3"/>
  <c r="BB68" i="3"/>
  <c r="BC68" i="3"/>
  <c r="BD68" i="3"/>
  <c r="BE68" i="3"/>
  <c r="BF68" i="3"/>
  <c r="BG68" i="3"/>
  <c r="BH68" i="3"/>
  <c r="BI68" i="3"/>
  <c r="BJ68" i="3"/>
  <c r="BK68" i="3"/>
  <c r="BA68" i="3"/>
  <c r="BB69" i="3"/>
  <c r="BC69" i="3"/>
  <c r="BD69" i="3"/>
  <c r="BE69" i="3"/>
  <c r="BF69" i="3"/>
  <c r="BG69" i="3"/>
  <c r="BH69" i="3"/>
  <c r="BI69" i="3"/>
  <c r="BJ69" i="3"/>
  <c r="BK69" i="3"/>
  <c r="BB70" i="3"/>
  <c r="BC70" i="3"/>
  <c r="BD70" i="3"/>
  <c r="BE70" i="3"/>
  <c r="BF70" i="3"/>
  <c r="BG70" i="3"/>
  <c r="BH70" i="3"/>
  <c r="BI70" i="3"/>
  <c r="BJ70" i="3"/>
  <c r="BK70" i="3"/>
  <c r="BA70" i="3"/>
  <c r="BB71" i="3"/>
  <c r="BC71" i="3"/>
  <c r="BD71" i="3"/>
  <c r="BE71" i="3"/>
  <c r="BF71" i="3"/>
  <c r="BG71" i="3"/>
  <c r="BH71" i="3"/>
  <c r="BI71" i="3"/>
  <c r="BJ71" i="3"/>
  <c r="BK71" i="3"/>
  <c r="BB72" i="3"/>
  <c r="BC72" i="3"/>
  <c r="BD72" i="3"/>
  <c r="BE72" i="3"/>
  <c r="BF72" i="3"/>
  <c r="BG72" i="3"/>
  <c r="BH72" i="3"/>
  <c r="BI72" i="3"/>
  <c r="BJ72" i="3"/>
  <c r="BK72" i="3"/>
  <c r="BA72" i="3"/>
  <c r="BB73" i="3"/>
  <c r="BC73" i="3"/>
  <c r="BD73" i="3"/>
  <c r="BE73" i="3"/>
  <c r="BF73" i="3"/>
  <c r="BG73" i="3"/>
  <c r="BH73" i="3"/>
  <c r="BI73" i="3"/>
  <c r="BJ73" i="3"/>
  <c r="BK73" i="3"/>
  <c r="BB74" i="3"/>
  <c r="BC74" i="3"/>
  <c r="BD74" i="3"/>
  <c r="BE74" i="3"/>
  <c r="BF74" i="3"/>
  <c r="BG74" i="3"/>
  <c r="BH74" i="3"/>
  <c r="BI74" i="3"/>
  <c r="BJ74" i="3"/>
  <c r="BK74" i="3"/>
  <c r="BA74" i="3"/>
  <c r="BB75" i="3"/>
  <c r="BC75" i="3"/>
  <c r="BD75" i="3"/>
  <c r="BE75" i="3"/>
  <c r="BF75" i="3"/>
  <c r="BG75" i="3"/>
  <c r="BH75" i="3"/>
  <c r="BI75" i="3"/>
  <c r="BJ75" i="3"/>
  <c r="BK75" i="3"/>
  <c r="BB76" i="3"/>
  <c r="BC76" i="3"/>
  <c r="BD76" i="3"/>
  <c r="BE76" i="3"/>
  <c r="BF76" i="3"/>
  <c r="BG76" i="3"/>
  <c r="BH76" i="3"/>
  <c r="BI76" i="3"/>
  <c r="BJ76" i="3"/>
  <c r="BK76" i="3"/>
  <c r="BA76" i="3"/>
  <c r="BB77" i="3"/>
  <c r="BC77" i="3"/>
  <c r="BD77" i="3"/>
  <c r="BE77" i="3"/>
  <c r="BF77" i="3"/>
  <c r="BG77" i="3"/>
  <c r="BH77" i="3"/>
  <c r="BI77" i="3"/>
  <c r="BJ77" i="3"/>
  <c r="BK77" i="3"/>
  <c r="BB78" i="3"/>
  <c r="BC78" i="3"/>
  <c r="BD78" i="3"/>
  <c r="BE78" i="3"/>
  <c r="BF78" i="3"/>
  <c r="BG78" i="3"/>
  <c r="BH78" i="3"/>
  <c r="BI78" i="3"/>
  <c r="BJ78" i="3"/>
  <c r="BK78" i="3"/>
  <c r="BA78" i="3"/>
  <c r="BB79" i="3"/>
  <c r="BC79" i="3"/>
  <c r="BD79" i="3"/>
  <c r="BE79" i="3"/>
  <c r="BF79" i="3"/>
  <c r="BG79" i="3"/>
  <c r="BH79" i="3"/>
  <c r="BI79" i="3"/>
  <c r="BJ79" i="3"/>
  <c r="BK79" i="3"/>
  <c r="BB80" i="3"/>
  <c r="BC80" i="3"/>
  <c r="BD80" i="3"/>
  <c r="BE80" i="3"/>
  <c r="BF80" i="3"/>
  <c r="BG80" i="3"/>
  <c r="BH80" i="3"/>
  <c r="BI80" i="3"/>
  <c r="BJ80" i="3"/>
  <c r="BK80" i="3"/>
  <c r="BA80" i="3"/>
  <c r="BB81" i="3"/>
  <c r="BC81" i="3"/>
  <c r="BD81" i="3"/>
  <c r="BE81" i="3"/>
  <c r="BF81" i="3"/>
  <c r="BG81" i="3"/>
  <c r="BH81" i="3"/>
  <c r="BI81" i="3"/>
  <c r="BJ81" i="3"/>
  <c r="BK81" i="3"/>
  <c r="BB82" i="3"/>
  <c r="BC82" i="3"/>
  <c r="BD82" i="3"/>
  <c r="BE82" i="3"/>
  <c r="BF82" i="3"/>
  <c r="BG82" i="3"/>
  <c r="BH82" i="3"/>
  <c r="BI82" i="3"/>
  <c r="BJ82" i="3"/>
  <c r="BK82" i="3"/>
  <c r="BA82" i="3"/>
  <c r="BB83" i="3"/>
  <c r="BC83" i="3"/>
  <c r="BD83" i="3"/>
  <c r="BE83" i="3"/>
  <c r="BF83" i="3"/>
  <c r="BG83" i="3"/>
  <c r="BH83" i="3"/>
  <c r="BI83" i="3"/>
  <c r="BJ83" i="3"/>
  <c r="BK83" i="3"/>
  <c r="BB84" i="3"/>
  <c r="BC84" i="3"/>
  <c r="BD84" i="3"/>
  <c r="BE84" i="3"/>
  <c r="BF84" i="3"/>
  <c r="BG84" i="3"/>
  <c r="BH84" i="3"/>
  <c r="BI84" i="3"/>
  <c r="BJ84" i="3"/>
  <c r="BK84" i="3"/>
  <c r="BA84" i="3"/>
  <c r="BB85" i="3"/>
  <c r="BC85" i="3"/>
  <c r="BD85" i="3"/>
  <c r="BE85" i="3"/>
  <c r="BF85" i="3"/>
  <c r="BG85" i="3"/>
  <c r="BH85" i="3"/>
  <c r="BI85" i="3"/>
  <c r="BJ85" i="3"/>
  <c r="BK85" i="3"/>
  <c r="BB86" i="3"/>
  <c r="BC86" i="3"/>
  <c r="BD86" i="3"/>
  <c r="BE86" i="3"/>
  <c r="BF86" i="3"/>
  <c r="BG86" i="3"/>
  <c r="BH86" i="3"/>
  <c r="BI86" i="3"/>
  <c r="BJ86" i="3"/>
  <c r="BK86" i="3"/>
  <c r="BA86" i="3"/>
  <c r="BB87" i="3"/>
  <c r="BC87" i="3"/>
  <c r="BD87" i="3"/>
  <c r="BE87" i="3"/>
  <c r="BF87" i="3"/>
  <c r="BG87" i="3"/>
  <c r="BH87" i="3"/>
  <c r="BI87" i="3"/>
  <c r="BJ87" i="3"/>
  <c r="BK87" i="3"/>
  <c r="BB88" i="3"/>
  <c r="BC88" i="3"/>
  <c r="BD88" i="3"/>
  <c r="BE88" i="3"/>
  <c r="BF88" i="3"/>
  <c r="BG88" i="3"/>
  <c r="BH88" i="3"/>
  <c r="BI88" i="3"/>
  <c r="BJ88" i="3"/>
  <c r="BK88" i="3"/>
  <c r="BA88" i="3"/>
  <c r="BB89" i="3"/>
  <c r="BC89" i="3"/>
  <c r="BD89" i="3"/>
  <c r="BE89" i="3"/>
  <c r="BF89" i="3"/>
  <c r="BG89" i="3"/>
  <c r="BH89" i="3"/>
  <c r="BI89" i="3"/>
  <c r="BJ89" i="3"/>
  <c r="BK89" i="3"/>
  <c r="BB90" i="3"/>
  <c r="BC90" i="3"/>
  <c r="BD90" i="3"/>
  <c r="BE90" i="3"/>
  <c r="BF90" i="3"/>
  <c r="BG90" i="3"/>
  <c r="BH90" i="3"/>
  <c r="BI90" i="3"/>
  <c r="BJ90" i="3"/>
  <c r="BK90" i="3"/>
  <c r="BA90" i="3"/>
  <c r="BB91" i="3"/>
  <c r="BC91" i="3"/>
  <c r="BD91" i="3"/>
  <c r="BE91" i="3"/>
  <c r="BF91" i="3"/>
  <c r="BG91" i="3"/>
  <c r="BH91" i="3"/>
  <c r="BI91" i="3"/>
  <c r="BJ91" i="3"/>
  <c r="BK91" i="3"/>
  <c r="BB92" i="3"/>
  <c r="BC92" i="3"/>
  <c r="BD92" i="3"/>
  <c r="BE92" i="3"/>
  <c r="BF92" i="3"/>
  <c r="BG92" i="3"/>
  <c r="BH92" i="3"/>
  <c r="BI92" i="3"/>
  <c r="BJ92" i="3"/>
  <c r="BK92" i="3"/>
  <c r="BA92" i="3"/>
  <c r="BB93" i="3"/>
  <c r="BC93" i="3"/>
  <c r="BD93" i="3"/>
  <c r="BE93" i="3"/>
  <c r="BF93" i="3"/>
  <c r="BG93" i="3"/>
  <c r="BH93" i="3"/>
  <c r="BI93" i="3"/>
  <c r="BJ93" i="3"/>
  <c r="BK93" i="3"/>
  <c r="BB94" i="3"/>
  <c r="BC94" i="3"/>
  <c r="BD94" i="3"/>
  <c r="BE94" i="3"/>
  <c r="BF94" i="3"/>
  <c r="BG94" i="3"/>
  <c r="BH94" i="3"/>
  <c r="BI94" i="3"/>
  <c r="BJ94" i="3"/>
  <c r="BK94" i="3"/>
  <c r="BA94" i="3"/>
  <c r="BB95" i="3"/>
  <c r="BC95" i="3"/>
  <c r="BD95" i="3"/>
  <c r="BE95" i="3"/>
  <c r="BF95" i="3"/>
  <c r="BG95" i="3"/>
  <c r="BH95" i="3"/>
  <c r="BI95" i="3"/>
  <c r="BJ95" i="3"/>
  <c r="BK95" i="3"/>
  <c r="BB96" i="3"/>
  <c r="BC96" i="3"/>
  <c r="BD96" i="3"/>
  <c r="BE96" i="3"/>
  <c r="BF96" i="3"/>
  <c r="BG96" i="3"/>
  <c r="BH96" i="3"/>
  <c r="BI96" i="3"/>
  <c r="BJ96" i="3"/>
  <c r="BK96" i="3"/>
  <c r="BA96" i="3"/>
  <c r="BB97" i="3"/>
  <c r="BC97" i="3"/>
  <c r="BD97" i="3"/>
  <c r="BE97" i="3"/>
  <c r="BF97" i="3"/>
  <c r="BG97" i="3"/>
  <c r="BH97" i="3"/>
  <c r="BI97" i="3"/>
  <c r="BJ97" i="3"/>
  <c r="BK97" i="3"/>
  <c r="BB98" i="3"/>
  <c r="BC98" i="3"/>
  <c r="BD98" i="3"/>
  <c r="BE98" i="3"/>
  <c r="BF98" i="3"/>
  <c r="BG98" i="3"/>
  <c r="BH98" i="3"/>
  <c r="BI98" i="3"/>
  <c r="BJ98" i="3"/>
  <c r="BK98" i="3"/>
  <c r="BA98" i="3"/>
  <c r="BB99" i="3"/>
  <c r="BC99" i="3"/>
  <c r="BD99" i="3"/>
  <c r="BE99" i="3"/>
  <c r="BF99" i="3"/>
  <c r="BG99" i="3"/>
  <c r="BH99" i="3"/>
  <c r="BI99" i="3"/>
  <c r="BJ99" i="3"/>
  <c r="BK99" i="3"/>
  <c r="BB100" i="3"/>
  <c r="BC100" i="3"/>
  <c r="BD100" i="3"/>
  <c r="BE100" i="3"/>
  <c r="BF100" i="3"/>
  <c r="BG100" i="3"/>
  <c r="BH100" i="3"/>
  <c r="BI100" i="3"/>
  <c r="BJ100" i="3"/>
  <c r="BK100" i="3"/>
  <c r="BA100" i="3"/>
  <c r="BB101" i="3"/>
  <c r="BC101" i="3"/>
  <c r="BD101" i="3"/>
  <c r="BE101" i="3"/>
  <c r="BF101" i="3"/>
  <c r="BG101" i="3"/>
  <c r="BH101" i="3"/>
  <c r="BI101" i="3"/>
  <c r="BJ101" i="3"/>
  <c r="BK101" i="3"/>
  <c r="BB102" i="3"/>
  <c r="BC102" i="3"/>
  <c r="BD102" i="3"/>
  <c r="BE102" i="3"/>
  <c r="BF102" i="3"/>
  <c r="BG102" i="3"/>
  <c r="BH102" i="3"/>
  <c r="BI102" i="3"/>
  <c r="BJ102" i="3"/>
  <c r="BK102" i="3"/>
  <c r="BA102" i="3"/>
  <c r="BB103" i="3"/>
  <c r="BC103" i="3"/>
  <c r="BD103" i="3"/>
  <c r="BE103" i="3"/>
  <c r="BF103" i="3"/>
  <c r="BG103" i="3"/>
  <c r="BH103" i="3"/>
  <c r="BI103" i="3"/>
  <c r="BJ103" i="3"/>
  <c r="BK103" i="3"/>
  <c r="BB104" i="3"/>
  <c r="BC104" i="3"/>
  <c r="BD104" i="3"/>
  <c r="BE104" i="3"/>
  <c r="BF104" i="3"/>
  <c r="BG104" i="3"/>
  <c r="BH104" i="3"/>
  <c r="BI104" i="3"/>
  <c r="BJ104" i="3"/>
  <c r="BK104" i="3"/>
  <c r="BA104" i="3"/>
  <c r="BB105" i="3"/>
  <c r="BC105" i="3"/>
  <c r="BD105" i="3"/>
  <c r="BE105" i="3"/>
  <c r="BF105" i="3"/>
  <c r="BG105" i="3"/>
  <c r="BH105" i="3"/>
  <c r="BI105" i="3"/>
  <c r="BJ105" i="3"/>
  <c r="BK105" i="3"/>
  <c r="BB106" i="3"/>
  <c r="BC106" i="3"/>
  <c r="BD106" i="3"/>
  <c r="BE106" i="3"/>
  <c r="BF106" i="3"/>
  <c r="BG106" i="3"/>
  <c r="BH106" i="3"/>
  <c r="BI106" i="3"/>
  <c r="BJ106" i="3"/>
  <c r="BK106" i="3"/>
  <c r="BA106" i="3"/>
  <c r="BB107" i="3"/>
  <c r="BC107" i="3"/>
  <c r="BD107" i="3"/>
  <c r="BE107" i="3"/>
  <c r="BF107" i="3"/>
  <c r="BG107" i="3"/>
  <c r="BH107" i="3"/>
  <c r="BI107" i="3"/>
  <c r="BJ107" i="3"/>
  <c r="BK107" i="3"/>
  <c r="BB108" i="3"/>
  <c r="BC108" i="3"/>
  <c r="BD108" i="3"/>
  <c r="BE108" i="3"/>
  <c r="BF108" i="3"/>
  <c r="BG108" i="3"/>
  <c r="BH108" i="3"/>
  <c r="BI108" i="3"/>
  <c r="BJ108" i="3"/>
  <c r="BK108" i="3"/>
  <c r="BA108" i="3"/>
  <c r="BB109" i="3"/>
  <c r="BC109" i="3"/>
  <c r="BD109" i="3"/>
  <c r="BE109" i="3"/>
  <c r="BF109" i="3"/>
  <c r="BG109" i="3"/>
  <c r="BH109" i="3"/>
  <c r="BI109" i="3"/>
  <c r="BJ109" i="3"/>
  <c r="BK109" i="3"/>
  <c r="BB110" i="3"/>
  <c r="BC110" i="3"/>
  <c r="BD110" i="3"/>
  <c r="BE110" i="3"/>
  <c r="BF110" i="3"/>
  <c r="BG110" i="3"/>
  <c r="BH110" i="3"/>
  <c r="BI110" i="3"/>
  <c r="BJ110" i="3"/>
  <c r="BK110" i="3"/>
  <c r="BA110" i="3"/>
  <c r="BB111" i="3"/>
  <c r="BC111" i="3"/>
  <c r="BD111" i="3"/>
  <c r="BE111" i="3"/>
  <c r="BF111" i="3"/>
  <c r="BG111" i="3"/>
  <c r="BH111" i="3"/>
  <c r="BI111" i="3"/>
  <c r="BJ111" i="3"/>
  <c r="BK111" i="3"/>
  <c r="BB112" i="3"/>
  <c r="BC112" i="3"/>
  <c r="BD112" i="3"/>
  <c r="BE112" i="3"/>
  <c r="BF112" i="3"/>
  <c r="BG112" i="3"/>
  <c r="BH112" i="3"/>
  <c r="BI112" i="3"/>
  <c r="BJ112" i="3"/>
  <c r="BK112" i="3"/>
  <c r="BA112" i="3"/>
  <c r="BB113" i="3"/>
  <c r="BC113" i="3"/>
  <c r="BD113" i="3"/>
  <c r="BE113" i="3"/>
  <c r="BF113" i="3"/>
  <c r="BG113" i="3"/>
  <c r="BH113" i="3"/>
  <c r="BI113" i="3"/>
  <c r="BJ113" i="3"/>
  <c r="BK113" i="3"/>
  <c r="BB114" i="3"/>
  <c r="BC114" i="3"/>
  <c r="BD114" i="3"/>
  <c r="BE114" i="3"/>
  <c r="BF114" i="3"/>
  <c r="BG114" i="3"/>
  <c r="BH114" i="3"/>
  <c r="BI114" i="3"/>
  <c r="BJ114" i="3"/>
  <c r="BK114" i="3"/>
  <c r="BA114" i="3"/>
  <c r="BB115" i="3"/>
  <c r="BC115" i="3"/>
  <c r="BD115" i="3"/>
  <c r="BE115" i="3"/>
  <c r="BF115" i="3"/>
  <c r="BG115" i="3"/>
  <c r="BH115" i="3"/>
  <c r="BI115" i="3"/>
  <c r="BJ115" i="3"/>
  <c r="BK115" i="3"/>
  <c r="BB116" i="3"/>
  <c r="BC116" i="3"/>
  <c r="BD116" i="3"/>
  <c r="BE116" i="3"/>
  <c r="BF116" i="3"/>
  <c r="BG116" i="3"/>
  <c r="BH116" i="3"/>
  <c r="BI116" i="3"/>
  <c r="BJ116" i="3"/>
  <c r="BK116" i="3"/>
  <c r="BA116" i="3"/>
  <c r="BB117" i="3"/>
  <c r="BC117" i="3"/>
  <c r="BD117" i="3"/>
  <c r="BE117" i="3"/>
  <c r="BF117" i="3"/>
  <c r="BG117" i="3"/>
  <c r="BH117" i="3"/>
  <c r="BI117" i="3"/>
  <c r="BJ117" i="3"/>
  <c r="BK117" i="3"/>
  <c r="BB118" i="3"/>
  <c r="BC118" i="3"/>
  <c r="BD118" i="3"/>
  <c r="BE118" i="3"/>
  <c r="BF118" i="3"/>
  <c r="BG118" i="3"/>
  <c r="BH118" i="3"/>
  <c r="BI118" i="3"/>
  <c r="BJ118" i="3"/>
  <c r="BK118" i="3"/>
  <c r="BA118" i="3"/>
  <c r="BB119" i="3"/>
  <c r="BC119" i="3"/>
  <c r="BD119" i="3"/>
  <c r="BE119" i="3"/>
  <c r="BF119" i="3"/>
  <c r="BG119" i="3"/>
  <c r="BH119" i="3"/>
  <c r="BI119" i="3"/>
  <c r="BJ119" i="3"/>
  <c r="BK119" i="3"/>
  <c r="BB120" i="3"/>
  <c r="BC120" i="3"/>
  <c r="BD120" i="3"/>
  <c r="BE120" i="3"/>
  <c r="BF120" i="3"/>
  <c r="BG120" i="3"/>
  <c r="BH120" i="3"/>
  <c r="BI120" i="3"/>
  <c r="BJ120" i="3"/>
  <c r="BK120" i="3"/>
  <c r="BA120" i="3"/>
  <c r="BB121" i="3"/>
  <c r="BC121" i="3"/>
  <c r="BD121" i="3"/>
  <c r="BE121" i="3"/>
  <c r="BF121" i="3"/>
  <c r="BG121" i="3"/>
  <c r="BH121" i="3"/>
  <c r="BI121" i="3"/>
  <c r="BJ121" i="3"/>
  <c r="BK121" i="3"/>
  <c r="BB122" i="3"/>
  <c r="BC122" i="3"/>
  <c r="BD122" i="3"/>
  <c r="BE122" i="3"/>
  <c r="BF122" i="3"/>
  <c r="BG122" i="3"/>
  <c r="BH122" i="3"/>
  <c r="BI122" i="3"/>
  <c r="BJ122" i="3"/>
  <c r="BK122" i="3"/>
  <c r="BA122" i="3"/>
  <c r="BB123" i="3"/>
  <c r="BC123" i="3"/>
  <c r="BD123" i="3"/>
  <c r="BE123" i="3"/>
  <c r="BF123" i="3"/>
  <c r="BG123" i="3"/>
  <c r="BH123" i="3"/>
  <c r="BI123" i="3"/>
  <c r="BJ123" i="3"/>
  <c r="BK123" i="3"/>
  <c r="BB124" i="3"/>
  <c r="BC124" i="3"/>
  <c r="BD124" i="3"/>
  <c r="BE124" i="3"/>
  <c r="BF124" i="3"/>
  <c r="BG124" i="3"/>
  <c r="BH124" i="3"/>
  <c r="BI124" i="3"/>
  <c r="BJ124" i="3"/>
  <c r="BK124" i="3"/>
  <c r="BA124" i="3"/>
  <c r="BB125" i="3"/>
  <c r="BC125" i="3"/>
  <c r="BD125" i="3"/>
  <c r="BE125" i="3"/>
  <c r="BF125" i="3"/>
  <c r="BG125" i="3"/>
  <c r="BH125" i="3"/>
  <c r="BI125" i="3"/>
  <c r="BJ125" i="3"/>
  <c r="BK125" i="3"/>
  <c r="BB126" i="3"/>
  <c r="BC126" i="3"/>
  <c r="BD126" i="3"/>
  <c r="BE126" i="3"/>
  <c r="BF126" i="3"/>
  <c r="BG126" i="3"/>
  <c r="BH126" i="3"/>
  <c r="BI126" i="3"/>
  <c r="BJ126" i="3"/>
  <c r="BK126" i="3"/>
  <c r="BA126" i="3"/>
  <c r="BB127" i="3"/>
  <c r="BC127" i="3"/>
  <c r="BD127" i="3"/>
  <c r="BE127" i="3"/>
  <c r="BF127" i="3"/>
  <c r="BG127" i="3"/>
  <c r="BH127" i="3"/>
  <c r="BI127" i="3"/>
  <c r="BJ127" i="3"/>
  <c r="BK127" i="3"/>
  <c r="BB128" i="3"/>
  <c r="BC128" i="3"/>
  <c r="BD128" i="3"/>
  <c r="BE128" i="3"/>
  <c r="BF128" i="3"/>
  <c r="BG128" i="3"/>
  <c r="BH128" i="3"/>
  <c r="BI128" i="3"/>
  <c r="BJ128" i="3"/>
  <c r="BK128" i="3"/>
  <c r="BA128" i="3"/>
  <c r="BB129" i="3"/>
  <c r="BC129" i="3"/>
  <c r="BD129" i="3"/>
  <c r="BE129" i="3"/>
  <c r="BF129" i="3"/>
  <c r="BG129" i="3"/>
  <c r="BH129" i="3"/>
  <c r="BI129" i="3"/>
  <c r="BJ129" i="3"/>
  <c r="BK129" i="3"/>
  <c r="BB130" i="3"/>
  <c r="BC130" i="3"/>
  <c r="BD130" i="3"/>
  <c r="BE130" i="3"/>
  <c r="BF130" i="3"/>
  <c r="BG130" i="3"/>
  <c r="BH130" i="3"/>
  <c r="BI130" i="3"/>
  <c r="BJ130" i="3"/>
  <c r="BK130" i="3"/>
  <c r="BA130" i="3"/>
  <c r="BB131" i="3"/>
  <c r="BC131" i="3"/>
  <c r="BD131" i="3"/>
  <c r="BE131" i="3"/>
  <c r="BF131" i="3"/>
  <c r="BG131" i="3"/>
  <c r="BH131" i="3"/>
  <c r="BI131" i="3"/>
  <c r="BJ131" i="3"/>
  <c r="BK131" i="3"/>
  <c r="BB132" i="3"/>
  <c r="BC132" i="3"/>
  <c r="BD132" i="3"/>
  <c r="BE132" i="3"/>
  <c r="BF132" i="3"/>
  <c r="BG132" i="3"/>
  <c r="BH132" i="3"/>
  <c r="BI132" i="3"/>
  <c r="BJ132" i="3"/>
  <c r="BK132" i="3"/>
  <c r="BA132" i="3"/>
  <c r="BB133" i="3"/>
  <c r="BC133" i="3"/>
  <c r="BD133" i="3"/>
  <c r="BE133" i="3"/>
  <c r="BF133" i="3"/>
  <c r="BG133" i="3"/>
  <c r="BH133" i="3"/>
  <c r="BI133" i="3"/>
  <c r="BJ133" i="3"/>
  <c r="BK133" i="3"/>
  <c r="BB134" i="3"/>
  <c r="BC134" i="3"/>
  <c r="BD134" i="3"/>
  <c r="BE134" i="3"/>
  <c r="BF134" i="3"/>
  <c r="BG134" i="3"/>
  <c r="BH134" i="3"/>
  <c r="BI134" i="3"/>
  <c r="BJ134" i="3"/>
  <c r="BK134" i="3"/>
  <c r="BA134" i="3"/>
  <c r="BB135" i="3"/>
  <c r="BC135" i="3"/>
  <c r="BD135" i="3"/>
  <c r="BE135" i="3"/>
  <c r="BF135" i="3"/>
  <c r="BG135" i="3"/>
  <c r="BH135" i="3"/>
  <c r="BI135" i="3"/>
  <c r="BJ135" i="3"/>
  <c r="BK135" i="3"/>
  <c r="BB136" i="3"/>
  <c r="BC136" i="3"/>
  <c r="BD136" i="3"/>
  <c r="BE136" i="3"/>
  <c r="BF136" i="3"/>
  <c r="BG136" i="3"/>
  <c r="BH136" i="3"/>
  <c r="BI136" i="3"/>
  <c r="BJ136" i="3"/>
  <c r="BK136" i="3"/>
  <c r="BA136" i="3"/>
  <c r="BB137" i="3"/>
  <c r="BC137" i="3"/>
  <c r="BD137" i="3"/>
  <c r="BE137" i="3"/>
  <c r="BF137" i="3"/>
  <c r="BG137" i="3"/>
  <c r="BH137" i="3"/>
  <c r="BI137" i="3"/>
  <c r="BJ137" i="3"/>
  <c r="BK137" i="3"/>
  <c r="BB138" i="3"/>
  <c r="BC138" i="3"/>
  <c r="BD138" i="3"/>
  <c r="BE138" i="3"/>
  <c r="BF138" i="3"/>
  <c r="BG138" i="3"/>
  <c r="BH138" i="3"/>
  <c r="BI138" i="3"/>
  <c r="BJ138" i="3"/>
  <c r="BK138" i="3"/>
  <c r="BA138" i="3"/>
  <c r="BB139" i="3"/>
  <c r="BC139" i="3"/>
  <c r="BD139" i="3"/>
  <c r="BE139" i="3"/>
  <c r="BF139" i="3"/>
  <c r="BG139" i="3"/>
  <c r="BH139" i="3"/>
  <c r="BI139" i="3"/>
  <c r="BJ139" i="3"/>
  <c r="BK139" i="3"/>
  <c r="BB140" i="3"/>
  <c r="BC140" i="3"/>
  <c r="BD140" i="3"/>
  <c r="BE140" i="3"/>
  <c r="BF140" i="3"/>
  <c r="BG140" i="3"/>
  <c r="BH140" i="3"/>
  <c r="BI140" i="3"/>
  <c r="BJ140" i="3"/>
  <c r="BK140" i="3"/>
  <c r="BA140" i="3"/>
  <c r="BB141" i="3"/>
  <c r="BC141" i="3"/>
  <c r="BD141" i="3"/>
  <c r="BE141" i="3"/>
  <c r="BF141" i="3"/>
  <c r="BG141" i="3"/>
  <c r="BH141" i="3"/>
  <c r="BI141" i="3"/>
  <c r="BJ141" i="3"/>
  <c r="BK141" i="3"/>
  <c r="BB142" i="3"/>
  <c r="BC142" i="3"/>
  <c r="BD142" i="3"/>
  <c r="BE142" i="3"/>
  <c r="BF142" i="3"/>
  <c r="BG142" i="3"/>
  <c r="BH142" i="3"/>
  <c r="BI142" i="3"/>
  <c r="BJ142" i="3"/>
  <c r="BK142" i="3"/>
  <c r="BA142" i="3"/>
  <c r="BB143" i="3"/>
  <c r="BC143" i="3"/>
  <c r="BD143" i="3"/>
  <c r="BE143" i="3"/>
  <c r="BF143" i="3"/>
  <c r="BG143" i="3"/>
  <c r="BH143" i="3"/>
  <c r="BI143" i="3"/>
  <c r="BJ143" i="3"/>
  <c r="BK143" i="3"/>
  <c r="BB144" i="3"/>
  <c r="BC144" i="3"/>
  <c r="BD144" i="3"/>
  <c r="BE144" i="3"/>
  <c r="BF144" i="3"/>
  <c r="BG144" i="3"/>
  <c r="BH144" i="3"/>
  <c r="BI144" i="3"/>
  <c r="BJ144" i="3"/>
  <c r="BK144" i="3"/>
  <c r="BA144" i="3"/>
  <c r="BB145" i="3"/>
  <c r="BC145" i="3"/>
  <c r="BD145" i="3"/>
  <c r="BE145" i="3"/>
  <c r="BF145" i="3"/>
  <c r="BG145" i="3"/>
  <c r="BH145" i="3"/>
  <c r="BI145" i="3"/>
  <c r="BJ145" i="3"/>
  <c r="BK145" i="3"/>
  <c r="BB146" i="3"/>
  <c r="BC146" i="3"/>
  <c r="BD146" i="3"/>
  <c r="BE146" i="3"/>
  <c r="BF146" i="3"/>
  <c r="BG146" i="3"/>
  <c r="BH146" i="3"/>
  <c r="BI146" i="3"/>
  <c r="BJ146" i="3"/>
  <c r="BK146" i="3"/>
  <c r="BA146" i="3"/>
  <c r="BB147" i="3"/>
  <c r="BC147" i="3"/>
  <c r="BD147" i="3"/>
  <c r="BE147" i="3"/>
  <c r="BF147" i="3"/>
  <c r="BG147" i="3"/>
  <c r="BH147" i="3"/>
  <c r="BI147" i="3"/>
  <c r="BJ147" i="3"/>
  <c r="BK147" i="3"/>
  <c r="BB148" i="3"/>
  <c r="BC148" i="3"/>
  <c r="BD148" i="3"/>
  <c r="BE148" i="3"/>
  <c r="BF148" i="3"/>
  <c r="BG148" i="3"/>
  <c r="BH148" i="3"/>
  <c r="BI148" i="3"/>
  <c r="BJ148" i="3"/>
  <c r="BK148" i="3"/>
  <c r="BA148" i="3"/>
  <c r="BB149" i="3"/>
  <c r="BC149" i="3"/>
  <c r="BD149" i="3"/>
  <c r="BE149" i="3"/>
  <c r="BF149" i="3"/>
  <c r="BG149" i="3"/>
  <c r="BH149" i="3"/>
  <c r="BI149" i="3"/>
  <c r="BJ149" i="3"/>
  <c r="BK149" i="3"/>
  <c r="BB150" i="3"/>
  <c r="BC150" i="3"/>
  <c r="BD150" i="3"/>
  <c r="BE150" i="3"/>
  <c r="BF150" i="3"/>
  <c r="BG150" i="3"/>
  <c r="BH150" i="3"/>
  <c r="BI150" i="3"/>
  <c r="BJ150" i="3"/>
  <c r="BK150" i="3"/>
  <c r="BA150" i="3"/>
  <c r="BB151" i="3"/>
  <c r="BC151" i="3"/>
  <c r="BD151" i="3"/>
  <c r="BE151" i="3"/>
  <c r="BF151" i="3"/>
  <c r="BG151" i="3"/>
  <c r="BH151" i="3"/>
  <c r="BI151" i="3"/>
  <c r="BJ151" i="3"/>
  <c r="BK151" i="3"/>
  <c r="BB152" i="3"/>
  <c r="BC152" i="3"/>
  <c r="BD152" i="3"/>
  <c r="BE152" i="3"/>
  <c r="BF152" i="3"/>
  <c r="BG152" i="3"/>
  <c r="BH152" i="3"/>
  <c r="BI152" i="3"/>
  <c r="BJ152" i="3"/>
  <c r="BK152" i="3"/>
  <c r="BA152" i="3"/>
  <c r="BB153" i="3"/>
  <c r="BC153" i="3"/>
  <c r="BD153" i="3"/>
  <c r="BE153" i="3"/>
  <c r="BF153" i="3"/>
  <c r="BG153" i="3"/>
  <c r="BH153" i="3"/>
  <c r="BI153" i="3"/>
  <c r="BJ153" i="3"/>
  <c r="BK153" i="3"/>
  <c r="BB154" i="3"/>
  <c r="BC154" i="3"/>
  <c r="BD154" i="3"/>
  <c r="BE154" i="3"/>
  <c r="BF154" i="3"/>
  <c r="BG154" i="3"/>
  <c r="BH154" i="3"/>
  <c r="BI154" i="3"/>
  <c r="BJ154" i="3"/>
  <c r="BK154" i="3"/>
  <c r="BA154" i="3"/>
  <c r="BB155" i="3"/>
  <c r="BC155" i="3"/>
  <c r="BD155" i="3"/>
  <c r="BE155" i="3"/>
  <c r="BF155" i="3"/>
  <c r="BG155" i="3"/>
  <c r="BH155" i="3"/>
  <c r="BI155" i="3"/>
  <c r="BJ155" i="3"/>
  <c r="BK155" i="3"/>
  <c r="BB156" i="3"/>
  <c r="BC156" i="3"/>
  <c r="BD156" i="3"/>
  <c r="BE156" i="3"/>
  <c r="BF156" i="3"/>
  <c r="BG156" i="3"/>
  <c r="BH156" i="3"/>
  <c r="BI156" i="3"/>
  <c r="BJ156" i="3"/>
  <c r="BK156" i="3"/>
  <c r="BA156" i="3"/>
  <c r="BB157" i="3"/>
  <c r="BC157" i="3"/>
  <c r="BD157" i="3"/>
  <c r="BE157" i="3"/>
  <c r="BF157" i="3"/>
  <c r="BG157" i="3"/>
  <c r="BH157" i="3"/>
  <c r="BI157" i="3"/>
  <c r="BJ157" i="3"/>
  <c r="BK157" i="3"/>
  <c r="BB158" i="3"/>
  <c r="BC158" i="3"/>
  <c r="BD158" i="3"/>
  <c r="BE158" i="3"/>
  <c r="BF158" i="3"/>
  <c r="BG158" i="3"/>
  <c r="BH158" i="3"/>
  <c r="BI158" i="3"/>
  <c r="BJ158" i="3"/>
  <c r="BK158" i="3"/>
  <c r="BA158" i="3"/>
  <c r="BB159" i="3"/>
  <c r="BC159" i="3"/>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A162" i="3"/>
  <c r="BB163" i="3"/>
  <c r="BC163" i="3"/>
  <c r="BD163" i="3"/>
  <c r="BE163" i="3"/>
  <c r="BF163" i="3"/>
  <c r="BG163" i="3"/>
  <c r="BH163" i="3"/>
  <c r="BI163" i="3"/>
  <c r="BJ163" i="3"/>
  <c r="BK163" i="3"/>
  <c r="BB164" i="3"/>
  <c r="BC164" i="3"/>
  <c r="BD164" i="3"/>
  <c r="BE164" i="3"/>
  <c r="BF164" i="3"/>
  <c r="BG164" i="3"/>
  <c r="BH164" i="3"/>
  <c r="BI164" i="3"/>
  <c r="BJ164" i="3"/>
  <c r="BK164" i="3"/>
  <c r="BA164" i="3"/>
  <c r="BB165" i="3"/>
  <c r="BC165" i="3"/>
  <c r="BD165" i="3"/>
  <c r="BE165" i="3"/>
  <c r="BF165" i="3"/>
  <c r="BG165" i="3"/>
  <c r="BH165" i="3"/>
  <c r="BI165" i="3"/>
  <c r="BJ165" i="3"/>
  <c r="BK165" i="3"/>
  <c r="BB166" i="3"/>
  <c r="BC166" i="3"/>
  <c r="BD166" i="3"/>
  <c r="BE166" i="3"/>
  <c r="BF166" i="3"/>
  <c r="BG166" i="3"/>
  <c r="BH166" i="3"/>
  <c r="BI166" i="3"/>
  <c r="BJ166" i="3"/>
  <c r="BK166" i="3"/>
  <c r="BA166" i="3"/>
  <c r="BB167" i="3"/>
  <c r="BC167" i="3"/>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B174" i="3"/>
  <c r="BC174" i="3"/>
  <c r="BD174" i="3"/>
  <c r="BE174" i="3"/>
  <c r="BF174" i="3"/>
  <c r="BG174" i="3"/>
  <c r="BH174" i="3"/>
  <c r="BI174" i="3"/>
  <c r="BJ174" i="3"/>
  <c r="BK174" i="3"/>
  <c r="BA174" i="3"/>
  <c r="BB175" i="3"/>
  <c r="BC175" i="3"/>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A180" i="3"/>
  <c r="BB181" i="3"/>
  <c r="BC181" i="3"/>
  <c r="BD181" i="3"/>
  <c r="BE181" i="3"/>
  <c r="BF181" i="3"/>
  <c r="BG181" i="3"/>
  <c r="BH181" i="3"/>
  <c r="BI181" i="3"/>
  <c r="BJ181" i="3"/>
  <c r="BK181" i="3"/>
  <c r="BB182" i="3"/>
  <c r="BC182" i="3"/>
  <c r="BD182" i="3"/>
  <c r="BE182" i="3"/>
  <c r="BF182" i="3"/>
  <c r="BG182" i="3"/>
  <c r="BH182" i="3"/>
  <c r="BI182" i="3"/>
  <c r="BJ182" i="3"/>
  <c r="BK182" i="3"/>
  <c r="BA182" i="3"/>
  <c r="BB183" i="3"/>
  <c r="BC183" i="3"/>
  <c r="BD183" i="3"/>
  <c r="BE183" i="3"/>
  <c r="BF183" i="3"/>
  <c r="BG183" i="3"/>
  <c r="BH183" i="3"/>
  <c r="BI183" i="3"/>
  <c r="BJ183" i="3"/>
  <c r="BK183" i="3"/>
  <c r="BB184" i="3"/>
  <c r="BC184" i="3"/>
  <c r="BD184" i="3"/>
  <c r="BE184" i="3"/>
  <c r="BF184" i="3"/>
  <c r="BG184" i="3"/>
  <c r="BH184" i="3"/>
  <c r="BI184" i="3"/>
  <c r="BJ184" i="3"/>
  <c r="BK184" i="3"/>
  <c r="BA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F189" i="3"/>
  <c r="BG189" i="3"/>
  <c r="BH189" i="3"/>
  <c r="BI189" i="3"/>
  <c r="BJ189" i="3"/>
  <c r="BK189" i="3"/>
  <c r="BB190" i="3"/>
  <c r="BC190" i="3"/>
  <c r="BD190" i="3"/>
  <c r="BE190" i="3"/>
  <c r="BF190" i="3"/>
  <c r="BG190" i="3"/>
  <c r="BH190" i="3"/>
  <c r="BI190" i="3"/>
  <c r="BJ190" i="3"/>
  <c r="BK190" i="3"/>
  <c r="BA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C194" i="3"/>
  <c r="BD194" i="3"/>
  <c r="BE194" i="3"/>
  <c r="BF194" i="3"/>
  <c r="BG194" i="3"/>
  <c r="BH194" i="3"/>
  <c r="BI194" i="3"/>
  <c r="BJ194" i="3"/>
  <c r="BK194" i="3"/>
  <c r="BA194" i="3"/>
  <c r="BB195" i="3"/>
  <c r="BC195" i="3"/>
  <c r="BD195" i="3"/>
  <c r="BE195" i="3"/>
  <c r="BF195" i="3"/>
  <c r="BG195" i="3"/>
  <c r="BH195" i="3"/>
  <c r="BI195" i="3"/>
  <c r="BJ195" i="3"/>
  <c r="BK195" i="3"/>
  <c r="BB196" i="3"/>
  <c r="BC196" i="3"/>
  <c r="BD196" i="3"/>
  <c r="BE196" i="3"/>
  <c r="BF196" i="3"/>
  <c r="BG196" i="3"/>
  <c r="BH196" i="3"/>
  <c r="BI196" i="3"/>
  <c r="BJ196" i="3"/>
  <c r="BK196" i="3"/>
  <c r="BA196" i="3"/>
  <c r="BB197" i="3"/>
  <c r="BC197" i="3"/>
  <c r="BD197" i="3"/>
  <c r="BE197" i="3"/>
  <c r="BF197" i="3"/>
  <c r="BG197" i="3"/>
  <c r="BH197" i="3"/>
  <c r="BI197" i="3"/>
  <c r="BJ197" i="3"/>
  <c r="BK197" i="3"/>
  <c r="BB198" i="3"/>
  <c r="BC198" i="3"/>
  <c r="BD198" i="3"/>
  <c r="BE198" i="3"/>
  <c r="BF198" i="3"/>
  <c r="BG198" i="3"/>
  <c r="BH198" i="3"/>
  <c r="BI198" i="3"/>
  <c r="BJ198" i="3"/>
  <c r="BK198" i="3"/>
  <c r="BA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C202" i="3"/>
  <c r="BD202" i="3"/>
  <c r="BE202" i="3"/>
  <c r="BF202" i="3"/>
  <c r="BG202" i="3"/>
  <c r="BH202" i="3"/>
  <c r="BI202" i="3"/>
  <c r="BJ202" i="3"/>
  <c r="BK202" i="3"/>
  <c r="BA202" i="3"/>
  <c r="BB203" i="3"/>
  <c r="BC203" i="3"/>
  <c r="BD203" i="3"/>
  <c r="BE203" i="3"/>
  <c r="BF203" i="3"/>
  <c r="BG203" i="3"/>
  <c r="BH203" i="3"/>
  <c r="BI203" i="3"/>
  <c r="BJ203" i="3"/>
  <c r="BK203" i="3"/>
  <c r="BB204" i="3"/>
  <c r="BC204" i="3"/>
  <c r="BD204" i="3"/>
  <c r="BE204" i="3"/>
  <c r="BF204" i="3"/>
  <c r="BG204" i="3"/>
  <c r="BH204" i="3"/>
  <c r="BI204" i="3"/>
  <c r="BJ204" i="3"/>
  <c r="BK204" i="3"/>
  <c r="BA204" i="3"/>
  <c r="BB205" i="3"/>
  <c r="BC205" i="3"/>
  <c r="BD205" i="3"/>
  <c r="BE205" i="3"/>
  <c r="BF205" i="3"/>
  <c r="BG205" i="3"/>
  <c r="BH205" i="3"/>
  <c r="BI205" i="3"/>
  <c r="BJ205" i="3"/>
  <c r="BK205" i="3"/>
  <c r="BB206" i="3"/>
  <c r="BC206" i="3"/>
  <c r="BD206" i="3"/>
  <c r="BE206" i="3"/>
  <c r="BF206" i="3"/>
  <c r="BG206" i="3"/>
  <c r="BH206" i="3"/>
  <c r="BI206" i="3"/>
  <c r="BJ206" i="3"/>
  <c r="BK206" i="3"/>
  <c r="BA206" i="3"/>
  <c r="BB207" i="3"/>
  <c r="BC207" i="3"/>
  <c r="BD207" i="3"/>
  <c r="BE207" i="3"/>
  <c r="BF207" i="3"/>
  <c r="BG207" i="3"/>
  <c r="BH207" i="3"/>
  <c r="BI207" i="3"/>
  <c r="BJ207" i="3"/>
  <c r="BK207" i="3"/>
  <c r="BB208" i="3"/>
  <c r="BC208" i="3"/>
  <c r="BD208" i="3"/>
  <c r="BE208" i="3"/>
  <c r="BF208" i="3"/>
  <c r="BG208" i="3"/>
  <c r="BH208" i="3"/>
  <c r="BI208" i="3"/>
  <c r="BJ208" i="3"/>
  <c r="BK208" i="3"/>
  <c r="BA208" i="3"/>
  <c r="BB209" i="3"/>
  <c r="BC209" i="3"/>
  <c r="BD209" i="3"/>
  <c r="BE209" i="3"/>
  <c r="BF209" i="3"/>
  <c r="BG209" i="3"/>
  <c r="BH209" i="3"/>
  <c r="BI209" i="3"/>
  <c r="BJ209" i="3"/>
  <c r="BK209" i="3"/>
  <c r="BB210" i="3"/>
  <c r="BC210" i="3"/>
  <c r="BD210" i="3"/>
  <c r="BE210" i="3"/>
  <c r="BF210" i="3"/>
  <c r="BG210" i="3"/>
  <c r="BH210" i="3"/>
  <c r="BI210" i="3"/>
  <c r="BJ210" i="3"/>
  <c r="BK210" i="3"/>
  <c r="BA210" i="3"/>
  <c r="BB211" i="3"/>
  <c r="BC211" i="3"/>
  <c r="BD211" i="3"/>
  <c r="BE211" i="3"/>
  <c r="BF211" i="3"/>
  <c r="BG211" i="3"/>
  <c r="BH211" i="3"/>
  <c r="BI211" i="3"/>
  <c r="BJ211" i="3"/>
  <c r="BK211" i="3"/>
  <c r="BB212" i="3"/>
  <c r="BC212" i="3"/>
  <c r="BD212" i="3"/>
  <c r="BE212" i="3"/>
  <c r="BF212" i="3"/>
  <c r="BG212" i="3"/>
  <c r="BH212" i="3"/>
  <c r="BI212" i="3"/>
  <c r="BJ212" i="3"/>
  <c r="BK212" i="3"/>
  <c r="BA212" i="3"/>
  <c r="BB213" i="3"/>
  <c r="BC213" i="3"/>
  <c r="BD213" i="3"/>
  <c r="BE213" i="3"/>
  <c r="BF213" i="3"/>
  <c r="BG213" i="3"/>
  <c r="BH213" i="3"/>
  <c r="BI213" i="3"/>
  <c r="BJ213" i="3"/>
  <c r="BK213" i="3"/>
  <c r="BB214" i="3"/>
  <c r="BC214" i="3"/>
  <c r="BD214" i="3"/>
  <c r="BE214" i="3"/>
  <c r="BF214" i="3"/>
  <c r="BG214" i="3"/>
  <c r="BH214" i="3"/>
  <c r="BI214" i="3"/>
  <c r="BJ214" i="3"/>
  <c r="BK214" i="3"/>
  <c r="BA214" i="3"/>
  <c r="BB215" i="3"/>
  <c r="BC215" i="3"/>
  <c r="BD215" i="3"/>
  <c r="BE215" i="3"/>
  <c r="BF215" i="3"/>
  <c r="BG215" i="3"/>
  <c r="BH215" i="3"/>
  <c r="BI215" i="3"/>
  <c r="BJ215" i="3"/>
  <c r="BK215" i="3"/>
  <c r="BB216" i="3"/>
  <c r="BC216" i="3"/>
  <c r="BD216" i="3"/>
  <c r="BE216" i="3"/>
  <c r="BF216" i="3"/>
  <c r="BG216" i="3"/>
  <c r="BH216" i="3"/>
  <c r="BI216" i="3"/>
  <c r="BJ216" i="3"/>
  <c r="BK216" i="3"/>
  <c r="BA216" i="3"/>
  <c r="BB217" i="3"/>
  <c r="BC217" i="3"/>
  <c r="BD217" i="3"/>
  <c r="BE217" i="3"/>
  <c r="BF217" i="3"/>
  <c r="BG217" i="3"/>
  <c r="BH217" i="3"/>
  <c r="BI217" i="3"/>
  <c r="BJ217" i="3"/>
  <c r="BK217" i="3"/>
  <c r="BB218" i="3"/>
  <c r="BC218" i="3"/>
  <c r="BD218" i="3"/>
  <c r="BE218" i="3"/>
  <c r="BF218" i="3"/>
  <c r="BG218" i="3"/>
  <c r="BH218" i="3"/>
  <c r="BI218" i="3"/>
  <c r="BJ218" i="3"/>
  <c r="BK218" i="3"/>
  <c r="BA218" i="3"/>
  <c r="BB219" i="3"/>
  <c r="BC219" i="3"/>
  <c r="BD219" i="3"/>
  <c r="BE219" i="3"/>
  <c r="BF219" i="3"/>
  <c r="BG219" i="3"/>
  <c r="BH219" i="3"/>
  <c r="BI219" i="3"/>
  <c r="BJ219" i="3"/>
  <c r="BK219" i="3"/>
  <c r="BB220" i="3"/>
  <c r="BC220" i="3"/>
  <c r="BD220" i="3"/>
  <c r="BE220" i="3"/>
  <c r="BF220" i="3"/>
  <c r="BG220" i="3"/>
  <c r="BH220" i="3"/>
  <c r="BI220" i="3"/>
  <c r="BJ220" i="3"/>
  <c r="BK220" i="3"/>
  <c r="BA220" i="3"/>
  <c r="BB221" i="3"/>
  <c r="BC221" i="3"/>
  <c r="BD221" i="3"/>
  <c r="BE221" i="3"/>
  <c r="BF221" i="3"/>
  <c r="BG221" i="3"/>
  <c r="BH221" i="3"/>
  <c r="BI221" i="3"/>
  <c r="BJ221" i="3"/>
  <c r="BK221" i="3"/>
  <c r="BB222" i="3"/>
  <c r="BC222" i="3"/>
  <c r="BD222" i="3"/>
  <c r="BE222" i="3"/>
  <c r="BF222" i="3"/>
  <c r="BG222" i="3"/>
  <c r="BH222" i="3"/>
  <c r="BI222" i="3"/>
  <c r="BJ222" i="3"/>
  <c r="BK222" i="3"/>
  <c r="BA222" i="3"/>
  <c r="BB223" i="3"/>
  <c r="BC223" i="3"/>
  <c r="BD223" i="3"/>
  <c r="BE223" i="3"/>
  <c r="BF223" i="3"/>
  <c r="BG223" i="3"/>
  <c r="BH223" i="3"/>
  <c r="BI223" i="3"/>
  <c r="BJ223" i="3"/>
  <c r="BK223" i="3"/>
  <c r="BB224" i="3"/>
  <c r="BC224" i="3"/>
  <c r="BD224" i="3"/>
  <c r="BE224" i="3"/>
  <c r="BF224" i="3"/>
  <c r="BG224" i="3"/>
  <c r="BH224" i="3"/>
  <c r="BI224" i="3"/>
  <c r="BJ224" i="3"/>
  <c r="BK224" i="3"/>
  <c r="BA224" i="3"/>
  <c r="BB225" i="3"/>
  <c r="BC225" i="3"/>
  <c r="BD225" i="3"/>
  <c r="BE225" i="3"/>
  <c r="BF225" i="3"/>
  <c r="BG225" i="3"/>
  <c r="BH225" i="3"/>
  <c r="BI225" i="3"/>
  <c r="BJ225" i="3"/>
  <c r="BK225" i="3"/>
  <c r="BB226" i="3"/>
  <c r="BC226" i="3"/>
  <c r="BD226" i="3"/>
  <c r="BE226" i="3"/>
  <c r="BF226" i="3"/>
  <c r="BG226" i="3"/>
  <c r="BH226" i="3"/>
  <c r="BI226" i="3"/>
  <c r="BJ226" i="3"/>
  <c r="BK226" i="3"/>
  <c r="BA226" i="3"/>
  <c r="BB227" i="3"/>
  <c r="BC227" i="3"/>
  <c r="BD227" i="3"/>
  <c r="BE227" i="3"/>
  <c r="BF227" i="3"/>
  <c r="BG227" i="3"/>
  <c r="BH227" i="3"/>
  <c r="BI227" i="3"/>
  <c r="BJ227" i="3"/>
  <c r="BK227" i="3"/>
  <c r="BB228" i="3"/>
  <c r="BC228" i="3"/>
  <c r="BD228" i="3"/>
  <c r="BE228" i="3"/>
  <c r="BF228" i="3"/>
  <c r="BG228" i="3"/>
  <c r="BH228" i="3"/>
  <c r="BI228" i="3"/>
  <c r="BJ228" i="3"/>
  <c r="BK228" i="3"/>
  <c r="BA228" i="3"/>
  <c r="BB229" i="3"/>
  <c r="BC229" i="3"/>
  <c r="BD229" i="3"/>
  <c r="BE229" i="3"/>
  <c r="BF229" i="3"/>
  <c r="BG229" i="3"/>
  <c r="BH229" i="3"/>
  <c r="BI229" i="3"/>
  <c r="BJ229" i="3"/>
  <c r="BK229" i="3"/>
  <c r="BB230" i="3"/>
  <c r="BC230" i="3"/>
  <c r="BD230" i="3"/>
  <c r="BE230" i="3"/>
  <c r="BF230" i="3"/>
  <c r="BG230" i="3"/>
  <c r="BH230" i="3"/>
  <c r="BI230" i="3"/>
  <c r="BJ230" i="3"/>
  <c r="BK230" i="3"/>
  <c r="BA230" i="3"/>
  <c r="BB231" i="3"/>
  <c r="BC231" i="3"/>
  <c r="BD231" i="3"/>
  <c r="BE231" i="3"/>
  <c r="BF231" i="3"/>
  <c r="BG231" i="3"/>
  <c r="BH231" i="3"/>
  <c r="BI231" i="3"/>
  <c r="BJ231" i="3"/>
  <c r="BK231" i="3"/>
  <c r="BB232" i="3"/>
  <c r="BC232" i="3"/>
  <c r="BD232" i="3"/>
  <c r="BE232" i="3"/>
  <c r="BF232" i="3"/>
  <c r="BG232" i="3"/>
  <c r="BH232" i="3"/>
  <c r="BI232" i="3"/>
  <c r="BJ232" i="3"/>
  <c r="BK232" i="3"/>
  <c r="BA232" i="3"/>
  <c r="BB233" i="3"/>
  <c r="BC233" i="3"/>
  <c r="BD233" i="3"/>
  <c r="BE233" i="3"/>
  <c r="BF233" i="3"/>
  <c r="BG233" i="3"/>
  <c r="BH233" i="3"/>
  <c r="BI233" i="3"/>
  <c r="BJ233" i="3"/>
  <c r="BK233" i="3"/>
  <c r="BB234" i="3"/>
  <c r="BC234" i="3"/>
  <c r="BD234" i="3"/>
  <c r="BE234" i="3"/>
  <c r="BF234" i="3"/>
  <c r="BG234" i="3"/>
  <c r="BH234" i="3"/>
  <c r="BI234" i="3"/>
  <c r="BJ234" i="3"/>
  <c r="BK234" i="3"/>
  <c r="BA234" i="3"/>
  <c r="BB235" i="3"/>
  <c r="BC235" i="3"/>
  <c r="BD235" i="3"/>
  <c r="BE235" i="3"/>
  <c r="BF235" i="3"/>
  <c r="BG235" i="3"/>
  <c r="BH235" i="3"/>
  <c r="BI235" i="3"/>
  <c r="BJ235" i="3"/>
  <c r="BK235" i="3"/>
  <c r="BB236" i="3"/>
  <c r="BC236" i="3"/>
  <c r="BD236" i="3"/>
  <c r="BE236" i="3"/>
  <c r="BF236" i="3"/>
  <c r="BG236" i="3"/>
  <c r="BH236" i="3"/>
  <c r="BI236" i="3"/>
  <c r="BJ236" i="3"/>
  <c r="BK236" i="3"/>
  <c r="BA236" i="3"/>
  <c r="BB237" i="3"/>
  <c r="BC237" i="3"/>
  <c r="BD237" i="3"/>
  <c r="BE237" i="3"/>
  <c r="BF237" i="3"/>
  <c r="BG237" i="3"/>
  <c r="BH237" i="3"/>
  <c r="BI237" i="3"/>
  <c r="BJ237" i="3"/>
  <c r="BK237" i="3"/>
  <c r="BB238" i="3"/>
  <c r="BC238" i="3"/>
  <c r="BD238" i="3"/>
  <c r="BE238" i="3"/>
  <c r="BF238" i="3"/>
  <c r="BG238" i="3"/>
  <c r="BH238" i="3"/>
  <c r="BI238" i="3"/>
  <c r="BJ238" i="3"/>
  <c r="BK238" i="3"/>
  <c r="BA238" i="3"/>
  <c r="BB239" i="3"/>
  <c r="BC239" i="3"/>
  <c r="BD239" i="3"/>
  <c r="BE239" i="3"/>
  <c r="BF239" i="3"/>
  <c r="BG239" i="3"/>
  <c r="BH239" i="3"/>
  <c r="BI239" i="3"/>
  <c r="BJ239" i="3"/>
  <c r="BK239" i="3"/>
  <c r="BB240" i="3"/>
  <c r="BC240" i="3"/>
  <c r="BD240" i="3"/>
  <c r="BE240" i="3"/>
  <c r="BF240" i="3"/>
  <c r="BG240" i="3"/>
  <c r="BH240" i="3"/>
  <c r="BI240" i="3"/>
  <c r="BJ240" i="3"/>
  <c r="BK240" i="3"/>
  <c r="BA240" i="3"/>
  <c r="BB241" i="3"/>
  <c r="BC241" i="3"/>
  <c r="BD241" i="3"/>
  <c r="BE241" i="3"/>
  <c r="BF241" i="3"/>
  <c r="BG241" i="3"/>
  <c r="BH241" i="3"/>
  <c r="BI241" i="3"/>
  <c r="BJ241" i="3"/>
  <c r="BK241" i="3"/>
  <c r="BB242" i="3"/>
  <c r="BC242" i="3"/>
  <c r="BD242" i="3"/>
  <c r="BE242" i="3"/>
  <c r="BF242" i="3"/>
  <c r="BG242" i="3"/>
  <c r="BH242" i="3"/>
  <c r="BI242" i="3"/>
  <c r="BJ242" i="3"/>
  <c r="BK242" i="3"/>
  <c r="BA242" i="3"/>
  <c r="BB243" i="3"/>
  <c r="BC243" i="3"/>
  <c r="BD243" i="3"/>
  <c r="BE243" i="3"/>
  <c r="BF243" i="3"/>
  <c r="BG243" i="3"/>
  <c r="BH243" i="3"/>
  <c r="BI243" i="3"/>
  <c r="BJ243" i="3"/>
  <c r="BK243" i="3"/>
  <c r="BB244" i="3"/>
  <c r="BC244" i="3"/>
  <c r="BD244" i="3"/>
  <c r="BE244" i="3"/>
  <c r="BF244" i="3"/>
  <c r="BG244" i="3"/>
  <c r="BH244" i="3"/>
  <c r="BI244" i="3"/>
  <c r="BJ244" i="3"/>
  <c r="BK244" i="3"/>
  <c r="BA244" i="3"/>
  <c r="BB245" i="3"/>
  <c r="BC245" i="3"/>
  <c r="BD245" i="3"/>
  <c r="BE245" i="3"/>
  <c r="BF245" i="3"/>
  <c r="BG245" i="3"/>
  <c r="BH245" i="3"/>
  <c r="BI245" i="3"/>
  <c r="BJ245" i="3"/>
  <c r="BK245" i="3"/>
  <c r="BB246" i="3"/>
  <c r="BC246" i="3"/>
  <c r="BD246" i="3"/>
  <c r="BE246" i="3"/>
  <c r="BF246" i="3"/>
  <c r="BG246" i="3"/>
  <c r="BH246" i="3"/>
  <c r="BI246" i="3"/>
  <c r="BJ246" i="3"/>
  <c r="BK246" i="3"/>
  <c r="BA246" i="3"/>
  <c r="BB247" i="3"/>
  <c r="BC247" i="3"/>
  <c r="BD247" i="3"/>
  <c r="BE247" i="3"/>
  <c r="BF247" i="3"/>
  <c r="BG247" i="3"/>
  <c r="BH247" i="3"/>
  <c r="BI247" i="3"/>
  <c r="BJ247" i="3"/>
  <c r="BK247" i="3"/>
  <c r="BB248" i="3"/>
  <c r="BC248" i="3"/>
  <c r="BD248" i="3"/>
  <c r="BE248" i="3"/>
  <c r="BF248" i="3"/>
  <c r="BG248" i="3"/>
  <c r="BH248" i="3"/>
  <c r="BI248" i="3"/>
  <c r="BJ248" i="3"/>
  <c r="BK248" i="3"/>
  <c r="BA248" i="3"/>
  <c r="BB249" i="3"/>
  <c r="BC249" i="3"/>
  <c r="BD249" i="3"/>
  <c r="BE249" i="3"/>
  <c r="BF249" i="3"/>
  <c r="BG249" i="3"/>
  <c r="BH249" i="3"/>
  <c r="BI249" i="3"/>
  <c r="BJ249" i="3"/>
  <c r="BK249" i="3"/>
  <c r="BB250" i="3"/>
  <c r="BC250" i="3"/>
  <c r="BD250" i="3"/>
  <c r="BE250" i="3"/>
  <c r="BF250" i="3"/>
  <c r="BG250" i="3"/>
  <c r="BH250" i="3"/>
  <c r="BI250" i="3"/>
  <c r="BJ250" i="3"/>
  <c r="BK250" i="3"/>
  <c r="BA250" i="3"/>
  <c r="BB251" i="3"/>
  <c r="BC251" i="3"/>
  <c r="BD251" i="3"/>
  <c r="BE251" i="3"/>
  <c r="BF251" i="3"/>
  <c r="BG251" i="3"/>
  <c r="BH251" i="3"/>
  <c r="BI251" i="3"/>
  <c r="BJ251" i="3"/>
  <c r="BK251" i="3"/>
  <c r="BB252" i="3"/>
  <c r="BC252" i="3"/>
  <c r="BD252" i="3"/>
  <c r="BE252" i="3"/>
  <c r="BF252" i="3"/>
  <c r="BG252" i="3"/>
  <c r="BH252" i="3"/>
  <c r="BI252" i="3"/>
  <c r="BJ252" i="3"/>
  <c r="BK252" i="3"/>
  <c r="BA252" i="3"/>
  <c r="BB253" i="3"/>
  <c r="BC253" i="3"/>
  <c r="BD253" i="3"/>
  <c r="BE253" i="3"/>
  <c r="BF253" i="3"/>
  <c r="BG253" i="3"/>
  <c r="BH253" i="3"/>
  <c r="BI253" i="3"/>
  <c r="BJ253" i="3"/>
  <c r="BK253" i="3"/>
  <c r="BB254" i="3"/>
  <c r="BC254" i="3"/>
  <c r="BD254" i="3"/>
  <c r="BE254" i="3"/>
  <c r="BF254" i="3"/>
  <c r="BG254" i="3"/>
  <c r="BH254" i="3"/>
  <c r="BI254" i="3"/>
  <c r="BJ254" i="3"/>
  <c r="BK254" i="3"/>
  <c r="BA254" i="3"/>
  <c r="BB255" i="3"/>
  <c r="BC255" i="3"/>
  <c r="BD255" i="3"/>
  <c r="BE255" i="3"/>
  <c r="BF255" i="3"/>
  <c r="BG255" i="3"/>
  <c r="BH255" i="3"/>
  <c r="BI255" i="3"/>
  <c r="BJ255" i="3"/>
  <c r="BK255" i="3"/>
  <c r="BB256" i="3"/>
  <c r="BC256" i="3"/>
  <c r="BD256" i="3"/>
  <c r="BE256" i="3"/>
  <c r="BF256" i="3"/>
  <c r="BG256" i="3"/>
  <c r="BH256" i="3"/>
  <c r="BI256" i="3"/>
  <c r="BJ256" i="3"/>
  <c r="BK256" i="3"/>
  <c r="BA256" i="3"/>
  <c r="BB257" i="3"/>
  <c r="BC257" i="3"/>
  <c r="BD257" i="3"/>
  <c r="BE257" i="3"/>
  <c r="BF257" i="3"/>
  <c r="BG257" i="3"/>
  <c r="BH257" i="3"/>
  <c r="BI257" i="3"/>
  <c r="BJ257" i="3"/>
  <c r="BK257" i="3"/>
  <c r="BB258" i="3"/>
  <c r="BC258" i="3"/>
  <c r="BD258" i="3"/>
  <c r="BE258" i="3"/>
  <c r="BF258" i="3"/>
  <c r="BG258" i="3"/>
  <c r="BH258" i="3"/>
  <c r="BI258" i="3"/>
  <c r="BJ258" i="3"/>
  <c r="BK258" i="3"/>
  <c r="BA258" i="3"/>
  <c r="BB259" i="3"/>
  <c r="BC259" i="3"/>
  <c r="BD259" i="3"/>
  <c r="BE259" i="3"/>
  <c r="BF259" i="3"/>
  <c r="BG259" i="3"/>
  <c r="BH259" i="3"/>
  <c r="BI259" i="3"/>
  <c r="BJ259" i="3"/>
  <c r="BK259" i="3"/>
  <c r="BB260" i="3"/>
  <c r="BC260" i="3"/>
  <c r="BD260" i="3"/>
  <c r="BE260" i="3"/>
  <c r="BF260" i="3"/>
  <c r="BG260" i="3"/>
  <c r="BH260" i="3"/>
  <c r="BI260" i="3"/>
  <c r="BJ260" i="3"/>
  <c r="BK260" i="3"/>
  <c r="BA260" i="3"/>
  <c r="BB261" i="3"/>
  <c r="BC261" i="3"/>
  <c r="BD261" i="3"/>
  <c r="BE261" i="3"/>
  <c r="BF261" i="3"/>
  <c r="BG261" i="3"/>
  <c r="BH261" i="3"/>
  <c r="BI261" i="3"/>
  <c r="BJ261" i="3"/>
  <c r="BK261" i="3"/>
  <c r="BB262" i="3"/>
  <c r="BC262" i="3"/>
  <c r="BD262" i="3"/>
  <c r="BE262" i="3"/>
  <c r="BF262" i="3"/>
  <c r="BG262" i="3"/>
  <c r="BH262" i="3"/>
  <c r="BI262" i="3"/>
  <c r="BJ262" i="3"/>
  <c r="BK262" i="3"/>
  <c r="BA262" i="3"/>
  <c r="BB263" i="3"/>
  <c r="BC263" i="3"/>
  <c r="BD263" i="3"/>
  <c r="BE263" i="3"/>
  <c r="BF263" i="3"/>
  <c r="BG263" i="3"/>
  <c r="BH263" i="3"/>
  <c r="BI263" i="3"/>
  <c r="BJ263" i="3"/>
  <c r="BK263" i="3"/>
  <c r="BB264" i="3"/>
  <c r="BC264" i="3"/>
  <c r="BD264" i="3"/>
  <c r="BE264" i="3"/>
  <c r="BF264" i="3"/>
  <c r="BG264" i="3"/>
  <c r="BH264" i="3"/>
  <c r="BI264" i="3"/>
  <c r="BJ264" i="3"/>
  <c r="BK264" i="3"/>
  <c r="BA264" i="3"/>
  <c r="BB265" i="3"/>
  <c r="BC265" i="3"/>
  <c r="BD265" i="3"/>
  <c r="BE265" i="3"/>
  <c r="BF265" i="3"/>
  <c r="BG265" i="3"/>
  <c r="BH265" i="3"/>
  <c r="BI265" i="3"/>
  <c r="BJ265" i="3"/>
  <c r="BK265" i="3"/>
  <c r="BB266" i="3"/>
  <c r="BC266" i="3"/>
  <c r="BD266" i="3"/>
  <c r="BE266" i="3"/>
  <c r="BF266" i="3"/>
  <c r="BG266" i="3"/>
  <c r="BH266" i="3"/>
  <c r="BI266" i="3"/>
  <c r="BJ266" i="3"/>
  <c r="BK266" i="3"/>
  <c r="BA266" i="3"/>
  <c r="BB267" i="3"/>
  <c r="BC267" i="3"/>
  <c r="BD267" i="3"/>
  <c r="BE267" i="3"/>
  <c r="BF267" i="3"/>
  <c r="BG267" i="3"/>
  <c r="BH267" i="3"/>
  <c r="BI267" i="3"/>
  <c r="BJ267" i="3"/>
  <c r="BK267" i="3"/>
  <c r="BB268" i="3"/>
  <c r="BC268" i="3"/>
  <c r="BD268" i="3"/>
  <c r="BE268" i="3"/>
  <c r="BF268" i="3"/>
  <c r="BG268" i="3"/>
  <c r="BH268" i="3"/>
  <c r="BI268" i="3"/>
  <c r="BJ268" i="3"/>
  <c r="BK268" i="3"/>
  <c r="BA268" i="3"/>
  <c r="BB269" i="3"/>
  <c r="BC269" i="3"/>
  <c r="BD269" i="3"/>
  <c r="BE269" i="3"/>
  <c r="BF269" i="3"/>
  <c r="BG269" i="3"/>
  <c r="BH269" i="3"/>
  <c r="BI269" i="3"/>
  <c r="BJ269" i="3"/>
  <c r="BK269" i="3"/>
  <c r="BB270" i="3"/>
  <c r="BC270" i="3"/>
  <c r="BD270" i="3"/>
  <c r="BE270" i="3"/>
  <c r="BF270" i="3"/>
  <c r="BG270" i="3"/>
  <c r="BH270" i="3"/>
  <c r="BI270" i="3"/>
  <c r="BJ270" i="3"/>
  <c r="BK270" i="3"/>
  <c r="BA270" i="3"/>
  <c r="BB271" i="3"/>
  <c r="BC271" i="3"/>
  <c r="BD271" i="3"/>
  <c r="BE271" i="3"/>
  <c r="BF271" i="3"/>
  <c r="BG271" i="3"/>
  <c r="BH271" i="3"/>
  <c r="BI271" i="3"/>
  <c r="BJ271" i="3"/>
  <c r="BK271" i="3"/>
  <c r="BB272" i="3"/>
  <c r="BC272" i="3"/>
  <c r="BD272" i="3"/>
  <c r="BE272" i="3"/>
  <c r="BF272" i="3"/>
  <c r="BG272" i="3"/>
  <c r="BH272" i="3"/>
  <c r="BI272" i="3"/>
  <c r="BJ272" i="3"/>
  <c r="BK272" i="3"/>
  <c r="BA272" i="3"/>
  <c r="BB273" i="3"/>
  <c r="BC273" i="3"/>
  <c r="BD273" i="3"/>
  <c r="BE273" i="3"/>
  <c r="BF273" i="3"/>
  <c r="BG273" i="3"/>
  <c r="BH273" i="3"/>
  <c r="BI273" i="3"/>
  <c r="BJ273" i="3"/>
  <c r="BK273" i="3"/>
  <c r="BB274" i="3"/>
  <c r="BC274" i="3"/>
  <c r="BD274" i="3"/>
  <c r="BE274" i="3"/>
  <c r="BF274" i="3"/>
  <c r="BG274" i="3"/>
  <c r="BH274" i="3"/>
  <c r="BI274" i="3"/>
  <c r="BJ274" i="3"/>
  <c r="BK274" i="3"/>
  <c r="BA274" i="3"/>
  <c r="BB275" i="3"/>
  <c r="BC275" i="3"/>
  <c r="BD275" i="3"/>
  <c r="BE275" i="3"/>
  <c r="BF275" i="3"/>
  <c r="BG275" i="3"/>
  <c r="BH275" i="3"/>
  <c r="BI275" i="3"/>
  <c r="BJ275" i="3"/>
  <c r="BK275" i="3"/>
  <c r="BB276" i="3"/>
  <c r="BC276" i="3"/>
  <c r="BD276" i="3"/>
  <c r="BE276" i="3"/>
  <c r="BF276" i="3"/>
  <c r="BG276" i="3"/>
  <c r="BH276" i="3"/>
  <c r="BI276" i="3"/>
  <c r="BJ276" i="3"/>
  <c r="BK276" i="3"/>
  <c r="BA276" i="3"/>
  <c r="BB277" i="3"/>
  <c r="BC277" i="3"/>
  <c r="BD277" i="3"/>
  <c r="BE277" i="3"/>
  <c r="BF277" i="3"/>
  <c r="BG277" i="3"/>
  <c r="BH277" i="3"/>
  <c r="BI277" i="3"/>
  <c r="BJ277" i="3"/>
  <c r="BK277" i="3"/>
  <c r="BB278" i="3"/>
  <c r="BC278" i="3"/>
  <c r="BD278" i="3"/>
  <c r="BE278" i="3"/>
  <c r="BF278" i="3"/>
  <c r="BG278" i="3"/>
  <c r="BH278" i="3"/>
  <c r="BI278" i="3"/>
  <c r="BJ278" i="3"/>
  <c r="BK278" i="3"/>
  <c r="BA278" i="3"/>
  <c r="BB279" i="3"/>
  <c r="BC279" i="3"/>
  <c r="BD279" i="3"/>
  <c r="BE279" i="3"/>
  <c r="BF279" i="3"/>
  <c r="BG279" i="3"/>
  <c r="BH279" i="3"/>
  <c r="BI279" i="3"/>
  <c r="BJ279" i="3"/>
  <c r="BK279" i="3"/>
  <c r="BB280" i="3"/>
  <c r="BC280" i="3"/>
  <c r="BD280" i="3"/>
  <c r="BE280" i="3"/>
  <c r="BF280" i="3"/>
  <c r="BG280" i="3"/>
  <c r="BH280" i="3"/>
  <c r="BI280" i="3"/>
  <c r="BJ280" i="3"/>
  <c r="BK280" i="3"/>
  <c r="BA280" i="3"/>
  <c r="BB281" i="3"/>
  <c r="BC281" i="3"/>
  <c r="BD281" i="3"/>
  <c r="BE281" i="3"/>
  <c r="BF281" i="3"/>
  <c r="BG281" i="3"/>
  <c r="BH281" i="3"/>
  <c r="BI281" i="3"/>
  <c r="BJ281" i="3"/>
  <c r="BK281" i="3"/>
  <c r="BB282" i="3"/>
  <c r="BC282" i="3"/>
  <c r="BD282" i="3"/>
  <c r="BE282" i="3"/>
  <c r="BF282" i="3"/>
  <c r="BG282" i="3"/>
  <c r="BH282" i="3"/>
  <c r="BI282" i="3"/>
  <c r="BJ282" i="3"/>
  <c r="BK282" i="3"/>
  <c r="BA282" i="3"/>
  <c r="BB283" i="3"/>
  <c r="BC283" i="3"/>
  <c r="BD283" i="3"/>
  <c r="BE283" i="3"/>
  <c r="BF283" i="3"/>
  <c r="BG283" i="3"/>
  <c r="BH283" i="3"/>
  <c r="BI283" i="3"/>
  <c r="BJ283" i="3"/>
  <c r="BK283" i="3"/>
  <c r="BB284" i="3"/>
  <c r="BC284" i="3"/>
  <c r="BD284" i="3"/>
  <c r="BE284" i="3"/>
  <c r="BF284" i="3"/>
  <c r="BG284" i="3"/>
  <c r="BH284" i="3"/>
  <c r="BI284" i="3"/>
  <c r="BJ284" i="3"/>
  <c r="BK284" i="3"/>
  <c r="BA284" i="3"/>
  <c r="BB285" i="3"/>
  <c r="BC285" i="3"/>
  <c r="BD285" i="3"/>
  <c r="BE285" i="3"/>
  <c r="BF285" i="3"/>
  <c r="BG285" i="3"/>
  <c r="BH285" i="3"/>
  <c r="BI285" i="3"/>
  <c r="BJ285" i="3"/>
  <c r="BK285" i="3"/>
  <c r="BB286" i="3"/>
  <c r="BC286" i="3"/>
  <c r="BD286" i="3"/>
  <c r="BE286" i="3"/>
  <c r="BF286" i="3"/>
  <c r="BG286" i="3"/>
  <c r="BH286" i="3"/>
  <c r="BI286" i="3"/>
  <c r="BJ286" i="3"/>
  <c r="BK286" i="3"/>
  <c r="BA286" i="3"/>
  <c r="BB287" i="3"/>
  <c r="BC287" i="3"/>
  <c r="BD287" i="3"/>
  <c r="BE287" i="3"/>
  <c r="BF287" i="3"/>
  <c r="BG287" i="3"/>
  <c r="BH287" i="3"/>
  <c r="BI287" i="3"/>
  <c r="BJ287" i="3"/>
  <c r="BK287" i="3"/>
  <c r="BB288" i="3"/>
  <c r="BC288" i="3"/>
  <c r="BD288" i="3"/>
  <c r="BE288" i="3"/>
  <c r="BF288" i="3"/>
  <c r="BG288" i="3"/>
  <c r="BH288" i="3"/>
  <c r="BI288" i="3"/>
  <c r="BJ288" i="3"/>
  <c r="BK288" i="3"/>
  <c r="BA288" i="3"/>
  <c r="BB289" i="3"/>
  <c r="BC289" i="3"/>
  <c r="BD289" i="3"/>
  <c r="BE289" i="3"/>
  <c r="BF289" i="3"/>
  <c r="BG289" i="3"/>
  <c r="BH289" i="3"/>
  <c r="BI289" i="3"/>
  <c r="BJ289" i="3"/>
  <c r="BK289" i="3"/>
  <c r="BB290" i="3"/>
  <c r="BC290" i="3"/>
  <c r="BD290" i="3"/>
  <c r="BE290" i="3"/>
  <c r="BF290" i="3"/>
  <c r="BG290" i="3"/>
  <c r="BH290" i="3"/>
  <c r="BI290" i="3"/>
  <c r="BJ290" i="3"/>
  <c r="BK290" i="3"/>
  <c r="BA290" i="3"/>
  <c r="BB291" i="3"/>
  <c r="BC291" i="3"/>
  <c r="BD291" i="3"/>
  <c r="BE291" i="3"/>
  <c r="BF291" i="3"/>
  <c r="BG291" i="3"/>
  <c r="BH291" i="3"/>
  <c r="BI291" i="3"/>
  <c r="BJ291" i="3"/>
  <c r="BK291" i="3"/>
  <c r="BB292" i="3"/>
  <c r="BC292" i="3"/>
  <c r="BD292" i="3"/>
  <c r="BE292" i="3"/>
  <c r="BF292" i="3"/>
  <c r="BG292" i="3"/>
  <c r="BH292" i="3"/>
  <c r="BI292" i="3"/>
  <c r="BJ292" i="3"/>
  <c r="BK292" i="3"/>
  <c r="BA292" i="3"/>
  <c r="BB293" i="3"/>
  <c r="BC293" i="3"/>
  <c r="BD293" i="3"/>
  <c r="BE293" i="3"/>
  <c r="BF293" i="3"/>
  <c r="BG293" i="3"/>
  <c r="BH293" i="3"/>
  <c r="BI293" i="3"/>
  <c r="BJ293" i="3"/>
  <c r="BK293" i="3"/>
  <c r="BB294" i="3"/>
  <c r="BC294" i="3"/>
  <c r="BD294" i="3"/>
  <c r="BE294" i="3"/>
  <c r="BF294" i="3"/>
  <c r="BG294" i="3"/>
  <c r="BH294" i="3"/>
  <c r="BI294" i="3"/>
  <c r="BJ294" i="3"/>
  <c r="BK294" i="3"/>
  <c r="BA294" i="3"/>
  <c r="BB295" i="3"/>
  <c r="BC295" i="3"/>
  <c r="BD295" i="3"/>
  <c r="BE295" i="3"/>
  <c r="BF295" i="3"/>
  <c r="BG295" i="3"/>
  <c r="BH295" i="3"/>
  <c r="BI295" i="3"/>
  <c r="BJ295" i="3"/>
  <c r="BK295" i="3"/>
  <c r="BB296" i="3"/>
  <c r="BC296" i="3"/>
  <c r="BD296" i="3"/>
  <c r="BE296" i="3"/>
  <c r="BF296" i="3"/>
  <c r="BG296" i="3"/>
  <c r="BH296" i="3"/>
  <c r="BI296" i="3"/>
  <c r="BJ296" i="3"/>
  <c r="BK296" i="3"/>
  <c r="BA296" i="3"/>
  <c r="BB297" i="3"/>
  <c r="BC297" i="3"/>
  <c r="BD297" i="3"/>
  <c r="BE297" i="3"/>
  <c r="BF297" i="3"/>
  <c r="BG297" i="3"/>
  <c r="BH297" i="3"/>
  <c r="BI297" i="3"/>
  <c r="BJ297" i="3"/>
  <c r="BK297" i="3"/>
  <c r="BB298" i="3"/>
  <c r="BC298" i="3"/>
  <c r="BD298" i="3"/>
  <c r="BE298" i="3"/>
  <c r="BF298" i="3"/>
  <c r="BG298" i="3"/>
  <c r="BH298" i="3"/>
  <c r="BI298" i="3"/>
  <c r="BJ298" i="3"/>
  <c r="BK298" i="3"/>
  <c r="BA298" i="3"/>
  <c r="BB299" i="3"/>
  <c r="BC299" i="3"/>
  <c r="BD299" i="3"/>
  <c r="BE299" i="3"/>
  <c r="BF299" i="3"/>
  <c r="BG299" i="3"/>
  <c r="BH299" i="3"/>
  <c r="BI299" i="3"/>
  <c r="BJ299" i="3"/>
  <c r="BK299" i="3"/>
  <c r="BB300" i="3"/>
  <c r="BC300" i="3"/>
  <c r="BD300" i="3"/>
  <c r="BE300" i="3"/>
  <c r="BF300" i="3"/>
  <c r="BG300" i="3"/>
  <c r="BH300" i="3"/>
  <c r="BI300" i="3"/>
  <c r="BJ300" i="3"/>
  <c r="BK300" i="3"/>
  <c r="BA300" i="3"/>
  <c r="BB301" i="3"/>
  <c r="BC301" i="3"/>
  <c r="BD301" i="3"/>
  <c r="BE301" i="3"/>
  <c r="BF301" i="3"/>
  <c r="BG301" i="3"/>
  <c r="BH301" i="3"/>
  <c r="BI301" i="3"/>
  <c r="BJ301" i="3"/>
  <c r="BK301" i="3"/>
  <c r="BB302" i="3"/>
  <c r="BC302" i="3"/>
  <c r="BD302" i="3"/>
  <c r="BE302" i="3"/>
  <c r="BF302" i="3"/>
  <c r="BG302" i="3"/>
  <c r="BH302" i="3"/>
  <c r="BI302" i="3"/>
  <c r="BJ302" i="3"/>
  <c r="BK302" i="3"/>
  <c r="BA302" i="3"/>
  <c r="BB303" i="3"/>
  <c r="BC303" i="3"/>
  <c r="BD303" i="3"/>
  <c r="BE303" i="3"/>
  <c r="BF303" i="3"/>
  <c r="BG303" i="3"/>
  <c r="BH303" i="3"/>
  <c r="BI303" i="3"/>
  <c r="BJ303" i="3"/>
  <c r="BK303" i="3"/>
  <c r="BB304" i="3"/>
  <c r="BC304" i="3"/>
  <c r="BD304" i="3"/>
  <c r="BE304" i="3"/>
  <c r="BF304" i="3"/>
  <c r="BG304" i="3"/>
  <c r="BH304" i="3"/>
  <c r="BI304" i="3"/>
  <c r="BJ304" i="3"/>
  <c r="BK304" i="3"/>
  <c r="BA304" i="3"/>
  <c r="BB305" i="3"/>
  <c r="BC305" i="3"/>
  <c r="BD305" i="3"/>
  <c r="BE305" i="3"/>
  <c r="BF305" i="3"/>
  <c r="BG305" i="3"/>
  <c r="BH305" i="3"/>
  <c r="BI305" i="3"/>
  <c r="BJ305" i="3"/>
  <c r="BK305" i="3"/>
  <c r="BB306" i="3"/>
  <c r="BC306" i="3"/>
  <c r="BD306" i="3"/>
  <c r="BE306" i="3"/>
  <c r="BF306" i="3"/>
  <c r="BG306" i="3"/>
  <c r="BH306" i="3"/>
  <c r="BI306" i="3"/>
  <c r="BJ306" i="3"/>
  <c r="BK306" i="3"/>
  <c r="BA306" i="3"/>
  <c r="BB307" i="3"/>
  <c r="BC307" i="3"/>
  <c r="BD307" i="3"/>
  <c r="BE307" i="3"/>
  <c r="BF307" i="3"/>
  <c r="BG307" i="3"/>
  <c r="BH307" i="3"/>
  <c r="BI307" i="3"/>
  <c r="BJ307" i="3"/>
  <c r="BK307" i="3"/>
  <c r="BB308" i="3"/>
  <c r="BC308" i="3"/>
  <c r="BD308" i="3"/>
  <c r="BE308" i="3"/>
  <c r="BF308" i="3"/>
  <c r="BG308" i="3"/>
  <c r="BH308" i="3"/>
  <c r="BI308" i="3"/>
  <c r="BJ308" i="3"/>
  <c r="BK308" i="3"/>
  <c r="BA308" i="3"/>
  <c r="BB309" i="3"/>
  <c r="BC309" i="3"/>
  <c r="BD309" i="3"/>
  <c r="BE309" i="3"/>
  <c r="BF309" i="3"/>
  <c r="BG309" i="3"/>
  <c r="BH309" i="3"/>
  <c r="BI309" i="3"/>
  <c r="BJ309" i="3"/>
  <c r="BK309" i="3"/>
  <c r="BB310" i="3"/>
  <c r="BC310" i="3"/>
  <c r="BD310" i="3"/>
  <c r="BE310" i="3"/>
  <c r="BF310" i="3"/>
  <c r="BG310" i="3"/>
  <c r="BH310" i="3"/>
  <c r="BI310" i="3"/>
  <c r="BJ310" i="3"/>
  <c r="BK310" i="3"/>
  <c r="BA310" i="3"/>
  <c r="BB311" i="3"/>
  <c r="BC311" i="3"/>
  <c r="BD311" i="3"/>
  <c r="BE311" i="3"/>
  <c r="BF311" i="3"/>
  <c r="BG311" i="3"/>
  <c r="BH311" i="3"/>
  <c r="BI311" i="3"/>
  <c r="BJ311" i="3"/>
  <c r="BK311" i="3"/>
  <c r="BB312" i="3"/>
  <c r="BC312" i="3"/>
  <c r="BD312" i="3"/>
  <c r="BE312" i="3"/>
  <c r="BF312" i="3"/>
  <c r="BG312" i="3"/>
  <c r="BH312" i="3"/>
  <c r="BI312" i="3"/>
  <c r="BJ312" i="3"/>
  <c r="BK312" i="3"/>
  <c r="BA312" i="3"/>
  <c r="BB313" i="3"/>
  <c r="BC313" i="3"/>
  <c r="BD313" i="3"/>
  <c r="BE313" i="3"/>
  <c r="BF313" i="3"/>
  <c r="BG313" i="3"/>
  <c r="BH313" i="3"/>
  <c r="BI313" i="3"/>
  <c r="BJ313" i="3"/>
  <c r="BK313" i="3"/>
  <c r="BB314" i="3"/>
  <c r="BC314" i="3"/>
  <c r="BD314" i="3"/>
  <c r="BE314" i="3"/>
  <c r="BF314" i="3"/>
  <c r="BG314" i="3"/>
  <c r="BH314" i="3"/>
  <c r="BI314" i="3"/>
  <c r="BJ314" i="3"/>
  <c r="BK314" i="3"/>
  <c r="BA314" i="3"/>
  <c r="BB315" i="3"/>
  <c r="BC315" i="3"/>
  <c r="BD315" i="3"/>
  <c r="BE315" i="3"/>
  <c r="BF315" i="3"/>
  <c r="BG315" i="3"/>
  <c r="BH315" i="3"/>
  <c r="BI315" i="3"/>
  <c r="BJ315" i="3"/>
  <c r="BK315" i="3"/>
  <c r="BB316" i="3"/>
  <c r="BC316" i="3"/>
  <c r="BD316" i="3"/>
  <c r="BE316" i="3"/>
  <c r="BF316" i="3"/>
  <c r="BG316" i="3"/>
  <c r="BH316" i="3"/>
  <c r="BI316" i="3"/>
  <c r="BJ316" i="3"/>
  <c r="BK316" i="3"/>
  <c r="BA316" i="3"/>
  <c r="BB317" i="3"/>
  <c r="BC317" i="3"/>
  <c r="BD317" i="3"/>
  <c r="BE317" i="3"/>
  <c r="BF317" i="3"/>
  <c r="BG317" i="3"/>
  <c r="BH317" i="3"/>
  <c r="BI317" i="3"/>
  <c r="BJ317" i="3"/>
  <c r="BK317" i="3"/>
  <c r="BB318" i="3"/>
  <c r="BC318" i="3"/>
  <c r="BD318" i="3"/>
  <c r="BE318" i="3"/>
  <c r="BF318" i="3"/>
  <c r="BG318" i="3"/>
  <c r="BH318" i="3"/>
  <c r="BI318" i="3"/>
  <c r="BJ318" i="3"/>
  <c r="BK318" i="3"/>
  <c r="BA318" i="3"/>
  <c r="BB319" i="3"/>
  <c r="BC319" i="3"/>
  <c r="BD319" i="3"/>
  <c r="BE319" i="3"/>
  <c r="BF319" i="3"/>
  <c r="BG319" i="3"/>
  <c r="BH319" i="3"/>
  <c r="BI319" i="3"/>
  <c r="BJ319" i="3"/>
  <c r="BK319" i="3"/>
  <c r="BB320" i="3"/>
  <c r="BC320" i="3"/>
  <c r="BD320" i="3"/>
  <c r="BE320" i="3"/>
  <c r="BF320" i="3"/>
  <c r="BG320" i="3"/>
  <c r="BH320" i="3"/>
  <c r="BI320" i="3"/>
  <c r="BJ320" i="3"/>
  <c r="BK320" i="3"/>
  <c r="BA320" i="3"/>
  <c r="BB321" i="3"/>
  <c r="BC321" i="3"/>
  <c r="BD321" i="3"/>
  <c r="BE321" i="3"/>
  <c r="BF321" i="3"/>
  <c r="BG321" i="3"/>
  <c r="BH321" i="3"/>
  <c r="BI321" i="3"/>
  <c r="BJ321" i="3"/>
  <c r="BK321" i="3"/>
  <c r="BB322" i="3"/>
  <c r="BC322" i="3"/>
  <c r="BD322" i="3"/>
  <c r="BE322" i="3"/>
  <c r="BF322" i="3"/>
  <c r="BG322" i="3"/>
  <c r="BH322" i="3"/>
  <c r="BI322" i="3"/>
  <c r="BJ322" i="3"/>
  <c r="BK322" i="3"/>
  <c r="BA322" i="3"/>
  <c r="BB323" i="3"/>
  <c r="BC323" i="3"/>
  <c r="BD323" i="3"/>
  <c r="BE323" i="3"/>
  <c r="BF323" i="3"/>
  <c r="BG323" i="3"/>
  <c r="BH323" i="3"/>
  <c r="BI323" i="3"/>
  <c r="BJ323" i="3"/>
  <c r="BK323" i="3"/>
  <c r="BB324" i="3"/>
  <c r="BC324" i="3"/>
  <c r="BD324" i="3"/>
  <c r="BE324" i="3"/>
  <c r="BF324" i="3"/>
  <c r="BG324" i="3"/>
  <c r="BH324" i="3"/>
  <c r="BI324" i="3"/>
  <c r="BJ324" i="3"/>
  <c r="BK324" i="3"/>
  <c r="BA324" i="3"/>
  <c r="BB325" i="3"/>
  <c r="BC325" i="3"/>
  <c r="BD325" i="3"/>
  <c r="BE325" i="3"/>
  <c r="BF325" i="3"/>
  <c r="BG325" i="3"/>
  <c r="BH325" i="3"/>
  <c r="BI325" i="3"/>
  <c r="BJ325" i="3"/>
  <c r="BK325" i="3"/>
  <c r="BB326" i="3"/>
  <c r="BC326" i="3"/>
  <c r="BD326" i="3"/>
  <c r="BE326" i="3"/>
  <c r="BF326" i="3"/>
  <c r="BG326" i="3"/>
  <c r="BH326" i="3"/>
  <c r="BI326" i="3"/>
  <c r="BJ326" i="3"/>
  <c r="BK326" i="3"/>
  <c r="BA326" i="3"/>
  <c r="BB327" i="3"/>
  <c r="BC327" i="3"/>
  <c r="BD327" i="3"/>
  <c r="BE327" i="3"/>
  <c r="BF327" i="3"/>
  <c r="BG327" i="3"/>
  <c r="BH327" i="3"/>
  <c r="BI327" i="3"/>
  <c r="BJ327" i="3"/>
  <c r="BK327" i="3"/>
  <c r="BB328" i="3"/>
  <c r="BC328" i="3"/>
  <c r="BD328" i="3"/>
  <c r="BE328" i="3"/>
  <c r="BF328" i="3"/>
  <c r="BG328" i="3"/>
  <c r="BH328" i="3"/>
  <c r="BI328" i="3"/>
  <c r="BJ328" i="3"/>
  <c r="BK328" i="3"/>
  <c r="BA328" i="3"/>
  <c r="BB329" i="3"/>
  <c r="BC329" i="3"/>
  <c r="BD329" i="3"/>
  <c r="BE329" i="3"/>
  <c r="BF329" i="3"/>
  <c r="BG329" i="3"/>
  <c r="BH329" i="3"/>
  <c r="BI329" i="3"/>
  <c r="BJ329" i="3"/>
  <c r="BK329" i="3"/>
  <c r="BB330" i="3"/>
  <c r="BC330" i="3"/>
  <c r="BD330" i="3"/>
  <c r="BE330" i="3"/>
  <c r="BF330" i="3"/>
  <c r="BG330" i="3"/>
  <c r="BH330" i="3"/>
  <c r="BI330" i="3"/>
  <c r="BJ330" i="3"/>
  <c r="BK330" i="3"/>
  <c r="BA330" i="3"/>
  <c r="BB331" i="3"/>
  <c r="BC331" i="3"/>
  <c r="BD331" i="3"/>
  <c r="BE331" i="3"/>
  <c r="BF331" i="3"/>
  <c r="BG331" i="3"/>
  <c r="BH331" i="3"/>
  <c r="BI331" i="3"/>
  <c r="BJ331" i="3"/>
  <c r="BK331" i="3"/>
  <c r="BB332" i="3"/>
  <c r="BC332" i="3"/>
  <c r="BD332" i="3"/>
  <c r="BE332" i="3"/>
  <c r="BF332" i="3"/>
  <c r="BG332" i="3"/>
  <c r="BH332" i="3"/>
  <c r="BI332" i="3"/>
  <c r="BJ332" i="3"/>
  <c r="BK332" i="3"/>
  <c r="BA332" i="3"/>
  <c r="BB333" i="3"/>
  <c r="BC333" i="3"/>
  <c r="BD333" i="3"/>
  <c r="BE333" i="3"/>
  <c r="BF333" i="3"/>
  <c r="BG333" i="3"/>
  <c r="BH333" i="3"/>
  <c r="BI333" i="3"/>
  <c r="BJ333" i="3"/>
  <c r="BK333" i="3"/>
  <c r="BB334" i="3"/>
  <c r="BC334" i="3"/>
  <c r="BD334" i="3"/>
  <c r="BE334" i="3"/>
  <c r="BF334" i="3"/>
  <c r="BG334" i="3"/>
  <c r="BH334" i="3"/>
  <c r="BI334" i="3"/>
  <c r="BJ334" i="3"/>
  <c r="BK334" i="3"/>
  <c r="BA334" i="3"/>
  <c r="BB335" i="3"/>
  <c r="BC335" i="3"/>
  <c r="BD335" i="3"/>
  <c r="BE335" i="3"/>
  <c r="BF335" i="3"/>
  <c r="BG335" i="3"/>
  <c r="BH335" i="3"/>
  <c r="BI335" i="3"/>
  <c r="BJ335" i="3"/>
  <c r="BK335" i="3"/>
  <c r="BB336" i="3"/>
  <c r="BC336" i="3"/>
  <c r="BD336" i="3"/>
  <c r="BE336" i="3"/>
  <c r="BF336" i="3"/>
  <c r="BG336" i="3"/>
  <c r="BH336" i="3"/>
  <c r="BI336" i="3"/>
  <c r="BJ336" i="3"/>
  <c r="BK336" i="3"/>
  <c r="BA336" i="3"/>
  <c r="BB337" i="3"/>
  <c r="BC337" i="3"/>
  <c r="BD337" i="3"/>
  <c r="BE337" i="3"/>
  <c r="BF337" i="3"/>
  <c r="BG337" i="3"/>
  <c r="BH337" i="3"/>
  <c r="BI337" i="3"/>
  <c r="BJ337" i="3"/>
  <c r="BK337" i="3"/>
  <c r="BB338" i="3"/>
  <c r="BC338" i="3"/>
  <c r="BD338" i="3"/>
  <c r="BE338" i="3"/>
  <c r="BF338" i="3"/>
  <c r="BG338" i="3"/>
  <c r="BH338" i="3"/>
  <c r="BI338" i="3"/>
  <c r="BJ338" i="3"/>
  <c r="BK338" i="3"/>
  <c r="BA338" i="3"/>
  <c r="BB339" i="3"/>
  <c r="BC339" i="3"/>
  <c r="BD339" i="3"/>
  <c r="BE339" i="3"/>
  <c r="BF339" i="3"/>
  <c r="BG339" i="3"/>
  <c r="BH339" i="3"/>
  <c r="BI339" i="3"/>
  <c r="BJ339" i="3"/>
  <c r="BK339" i="3"/>
  <c r="BB340" i="3"/>
  <c r="BC340" i="3"/>
  <c r="BD340" i="3"/>
  <c r="BE340" i="3"/>
  <c r="BF340" i="3"/>
  <c r="BG340" i="3"/>
  <c r="BH340" i="3"/>
  <c r="BI340" i="3"/>
  <c r="BJ340" i="3"/>
  <c r="BK340" i="3"/>
  <c r="BA340" i="3"/>
  <c r="BB341" i="3"/>
  <c r="BC341" i="3"/>
  <c r="BD341" i="3"/>
  <c r="BE341" i="3"/>
  <c r="BF341" i="3"/>
  <c r="BG341" i="3"/>
  <c r="BH341" i="3"/>
  <c r="BI341" i="3"/>
  <c r="BJ341" i="3"/>
  <c r="BK341" i="3"/>
  <c r="BB342" i="3"/>
  <c r="BC342" i="3"/>
  <c r="BD342" i="3"/>
  <c r="BE342" i="3"/>
  <c r="BF342" i="3"/>
  <c r="BG342" i="3"/>
  <c r="BH342" i="3"/>
  <c r="BI342" i="3"/>
  <c r="BJ342" i="3"/>
  <c r="BK342" i="3"/>
  <c r="BA342" i="3"/>
  <c r="BB343" i="3"/>
  <c r="BC343" i="3"/>
  <c r="BD343" i="3"/>
  <c r="BE343" i="3"/>
  <c r="BF343" i="3"/>
  <c r="BG343" i="3"/>
  <c r="BH343" i="3"/>
  <c r="BI343" i="3"/>
  <c r="BJ343" i="3"/>
  <c r="BK343" i="3"/>
  <c r="BB344" i="3"/>
  <c r="BC344" i="3"/>
  <c r="BD344" i="3"/>
  <c r="BE344" i="3"/>
  <c r="BF344" i="3"/>
  <c r="BG344" i="3"/>
  <c r="BH344" i="3"/>
  <c r="BI344" i="3"/>
  <c r="BJ344" i="3"/>
  <c r="BK344" i="3"/>
  <c r="BA344" i="3"/>
  <c r="BB345" i="3"/>
  <c r="BC345" i="3"/>
  <c r="BD345" i="3"/>
  <c r="BE345" i="3"/>
  <c r="BF345" i="3"/>
  <c r="BG345" i="3"/>
  <c r="BH345" i="3"/>
  <c r="BI345" i="3"/>
  <c r="BJ345" i="3"/>
  <c r="BK345" i="3"/>
  <c r="BB346" i="3"/>
  <c r="BC346" i="3"/>
  <c r="BD346" i="3"/>
  <c r="BE346" i="3"/>
  <c r="BF346" i="3"/>
  <c r="BG346" i="3"/>
  <c r="BH346" i="3"/>
  <c r="BI346" i="3"/>
  <c r="BJ346" i="3"/>
  <c r="BK346" i="3"/>
  <c r="BA346" i="3"/>
  <c r="BB347" i="3"/>
  <c r="BC347" i="3"/>
  <c r="BD347" i="3"/>
  <c r="BE347" i="3"/>
  <c r="BF347" i="3"/>
  <c r="BG347" i="3"/>
  <c r="BH347" i="3"/>
  <c r="BI347" i="3"/>
  <c r="BJ347" i="3"/>
  <c r="BK347" i="3"/>
  <c r="BB348" i="3"/>
  <c r="BC348" i="3"/>
  <c r="BD348" i="3"/>
  <c r="BE348" i="3"/>
  <c r="BF348" i="3"/>
  <c r="BG348" i="3"/>
  <c r="BH348" i="3"/>
  <c r="BI348" i="3"/>
  <c r="BJ348" i="3"/>
  <c r="BK348" i="3"/>
  <c r="BA348" i="3"/>
  <c r="BB349" i="3"/>
  <c r="BC349" i="3"/>
  <c r="BD349" i="3"/>
  <c r="BE349" i="3"/>
  <c r="BF349" i="3"/>
  <c r="BG349" i="3"/>
  <c r="BH349" i="3"/>
  <c r="BI349" i="3"/>
  <c r="BJ349" i="3"/>
  <c r="BK349" i="3"/>
  <c r="BB350" i="3"/>
  <c r="BC350" i="3"/>
  <c r="BD350" i="3"/>
  <c r="BE350" i="3"/>
  <c r="BF350" i="3"/>
  <c r="BG350" i="3"/>
  <c r="BH350" i="3"/>
  <c r="BI350" i="3"/>
  <c r="BJ350" i="3"/>
  <c r="BK350" i="3"/>
  <c r="BA350" i="3"/>
  <c r="BB351" i="3"/>
  <c r="BC351" i="3"/>
  <c r="BD351" i="3"/>
  <c r="BE351" i="3"/>
  <c r="BF351" i="3"/>
  <c r="BG351" i="3"/>
  <c r="BH351" i="3"/>
  <c r="BI351" i="3"/>
  <c r="BJ351" i="3"/>
  <c r="BK351" i="3"/>
  <c r="BB352" i="3"/>
  <c r="BC352" i="3"/>
  <c r="BD352" i="3"/>
  <c r="BE352" i="3"/>
  <c r="BF352" i="3"/>
  <c r="BG352" i="3"/>
  <c r="BH352" i="3"/>
  <c r="BI352" i="3"/>
  <c r="BJ352" i="3"/>
  <c r="BK352" i="3"/>
  <c r="BA352" i="3"/>
  <c r="BB353" i="3"/>
  <c r="BC353" i="3"/>
  <c r="BD353" i="3"/>
  <c r="BE353" i="3"/>
  <c r="BF353" i="3"/>
  <c r="BG353" i="3"/>
  <c r="BH353" i="3"/>
  <c r="BI353" i="3"/>
  <c r="BJ353" i="3"/>
  <c r="BK353" i="3"/>
  <c r="BB354" i="3"/>
  <c r="BC354" i="3"/>
  <c r="BD354" i="3"/>
  <c r="BE354" i="3"/>
  <c r="BF354" i="3"/>
  <c r="BG354" i="3"/>
  <c r="BH354" i="3"/>
  <c r="BI354" i="3"/>
  <c r="BJ354" i="3"/>
  <c r="BK354" i="3"/>
  <c r="BA354" i="3"/>
  <c r="BB355" i="3"/>
  <c r="BC355" i="3"/>
  <c r="BD355" i="3"/>
  <c r="BE355" i="3"/>
  <c r="BF355" i="3"/>
  <c r="BG355" i="3"/>
  <c r="BH355" i="3"/>
  <c r="BI355" i="3"/>
  <c r="BJ355" i="3"/>
  <c r="BK355" i="3"/>
  <c r="BB356" i="3"/>
  <c r="BC356" i="3"/>
  <c r="BD356" i="3"/>
  <c r="BE356" i="3"/>
  <c r="BF356" i="3"/>
  <c r="BG356" i="3"/>
  <c r="BH356" i="3"/>
  <c r="BI356" i="3"/>
  <c r="BJ356" i="3"/>
  <c r="BK356" i="3"/>
  <c r="BA356" i="3"/>
  <c r="BB357" i="3"/>
  <c r="BC357" i="3"/>
  <c r="BD357" i="3"/>
  <c r="BE357" i="3"/>
  <c r="BF357" i="3"/>
  <c r="BG357" i="3"/>
  <c r="BH357" i="3"/>
  <c r="BI357" i="3"/>
  <c r="BJ357" i="3"/>
  <c r="BK357" i="3"/>
  <c r="BB358" i="3"/>
  <c r="BC358" i="3"/>
  <c r="BD358" i="3"/>
  <c r="BE358" i="3"/>
  <c r="BF358" i="3"/>
  <c r="BG358" i="3"/>
  <c r="BH358" i="3"/>
  <c r="BI358" i="3"/>
  <c r="BJ358" i="3"/>
  <c r="BK358" i="3"/>
  <c r="BA358" i="3"/>
  <c r="BB359" i="3"/>
  <c r="BC359" i="3"/>
  <c r="BD359" i="3"/>
  <c r="BE359" i="3"/>
  <c r="BF359" i="3"/>
  <c r="BG359" i="3"/>
  <c r="BH359" i="3"/>
  <c r="BI359" i="3"/>
  <c r="BJ359" i="3"/>
  <c r="BK359" i="3"/>
  <c r="BB360" i="3"/>
  <c r="BC360" i="3"/>
  <c r="BD360" i="3"/>
  <c r="BE360" i="3"/>
  <c r="BF360" i="3"/>
  <c r="BG360" i="3"/>
  <c r="BH360" i="3"/>
  <c r="BI360" i="3"/>
  <c r="BJ360" i="3"/>
  <c r="BK360" i="3"/>
  <c r="BA360" i="3"/>
  <c r="BB361" i="3"/>
  <c r="BC361" i="3"/>
  <c r="BD361" i="3"/>
  <c r="BE361" i="3"/>
  <c r="BF361" i="3"/>
  <c r="BG361" i="3"/>
  <c r="BH361" i="3"/>
  <c r="BI361" i="3"/>
  <c r="BJ361" i="3"/>
  <c r="BK361" i="3"/>
  <c r="BB362" i="3"/>
  <c r="BC362" i="3"/>
  <c r="BD362" i="3"/>
  <c r="BE362" i="3"/>
  <c r="BF362" i="3"/>
  <c r="BG362" i="3"/>
  <c r="BH362" i="3"/>
  <c r="BI362" i="3"/>
  <c r="BJ362" i="3"/>
  <c r="BK362" i="3"/>
  <c r="BA362" i="3"/>
  <c r="BB363" i="3"/>
  <c r="BC363" i="3"/>
  <c r="BD363" i="3"/>
  <c r="BE363" i="3"/>
  <c r="BF363" i="3"/>
  <c r="BG363" i="3"/>
  <c r="BH363" i="3"/>
  <c r="BI363" i="3"/>
  <c r="BJ363" i="3"/>
  <c r="BK363" i="3"/>
  <c r="BB364" i="3"/>
  <c r="BC364" i="3"/>
  <c r="BD364" i="3"/>
  <c r="BE364" i="3"/>
  <c r="BF364" i="3"/>
  <c r="BG364" i="3"/>
  <c r="BH364" i="3"/>
  <c r="BI364" i="3"/>
  <c r="BJ364" i="3"/>
  <c r="BK364" i="3"/>
  <c r="BA364" i="3"/>
  <c r="BB365" i="3"/>
  <c r="BC365" i="3"/>
  <c r="BD365" i="3"/>
  <c r="BE365" i="3"/>
  <c r="BF365" i="3"/>
  <c r="BG365" i="3"/>
  <c r="BH365" i="3"/>
  <c r="BI365" i="3"/>
  <c r="BJ365" i="3"/>
  <c r="BK365" i="3"/>
  <c r="BB366" i="3"/>
  <c r="BC366" i="3"/>
  <c r="BD366" i="3"/>
  <c r="BE366" i="3"/>
  <c r="BF366" i="3"/>
  <c r="BG366" i="3"/>
  <c r="BH366" i="3"/>
  <c r="BI366" i="3"/>
  <c r="BJ366" i="3"/>
  <c r="BK366" i="3"/>
  <c r="BA366" i="3"/>
  <c r="BB367" i="3"/>
  <c r="BC367" i="3"/>
  <c r="BD367" i="3"/>
  <c r="BE367" i="3"/>
  <c r="BF367" i="3"/>
  <c r="BG367" i="3"/>
  <c r="BH367" i="3"/>
  <c r="BI367" i="3"/>
  <c r="BJ367" i="3"/>
  <c r="BK367" i="3"/>
  <c r="BB368" i="3"/>
  <c r="BC368" i="3"/>
  <c r="BD368" i="3"/>
  <c r="BE368" i="3"/>
  <c r="BF368" i="3"/>
  <c r="BG368" i="3"/>
  <c r="BH368" i="3"/>
  <c r="BI368" i="3"/>
  <c r="BJ368" i="3"/>
  <c r="BK368" i="3"/>
  <c r="BA368" i="3"/>
  <c r="BB369" i="3"/>
  <c r="BC369" i="3"/>
  <c r="BD369" i="3"/>
  <c r="BE369" i="3"/>
  <c r="BF369" i="3"/>
  <c r="BG369" i="3"/>
  <c r="BH369" i="3"/>
  <c r="BI369" i="3"/>
  <c r="BJ369" i="3"/>
  <c r="BK369" i="3"/>
  <c r="BB370" i="3"/>
  <c r="BC370" i="3"/>
  <c r="BD370" i="3"/>
  <c r="BE370" i="3"/>
  <c r="BF370" i="3"/>
  <c r="BG370" i="3"/>
  <c r="BH370" i="3"/>
  <c r="BI370" i="3"/>
  <c r="BJ370" i="3"/>
  <c r="BK370" i="3"/>
  <c r="BA370" i="3"/>
  <c r="BB371" i="3"/>
  <c r="BC371" i="3"/>
  <c r="BD371" i="3"/>
  <c r="BE371" i="3"/>
  <c r="BF371" i="3"/>
  <c r="BG371" i="3"/>
  <c r="BH371" i="3"/>
  <c r="BI371" i="3"/>
  <c r="BJ371" i="3"/>
  <c r="BK371" i="3"/>
  <c r="BB372" i="3"/>
  <c r="BC372" i="3"/>
  <c r="BD372" i="3"/>
  <c r="BE372" i="3"/>
  <c r="BF372" i="3"/>
  <c r="BG372" i="3"/>
  <c r="BH372" i="3"/>
  <c r="BI372" i="3"/>
  <c r="BJ372" i="3"/>
  <c r="BK372" i="3"/>
  <c r="BA372" i="3"/>
  <c r="BB373" i="3"/>
  <c r="BC373" i="3"/>
  <c r="BD373" i="3"/>
  <c r="BE373" i="3"/>
  <c r="BF373" i="3"/>
  <c r="BG373" i="3"/>
  <c r="BH373" i="3"/>
  <c r="BI373" i="3"/>
  <c r="BJ373" i="3"/>
  <c r="BK373" i="3"/>
  <c r="BB374" i="3"/>
  <c r="BC374" i="3"/>
  <c r="BD374" i="3"/>
  <c r="BE374" i="3"/>
  <c r="BF374" i="3"/>
  <c r="BG374" i="3"/>
  <c r="BH374" i="3"/>
  <c r="BI374" i="3"/>
  <c r="BJ374" i="3"/>
  <c r="BK374" i="3"/>
  <c r="BA374" i="3"/>
  <c r="BB375" i="3"/>
  <c r="BC375" i="3"/>
  <c r="BD375" i="3"/>
  <c r="BE375" i="3"/>
  <c r="BF375" i="3"/>
  <c r="BG375" i="3"/>
  <c r="BH375" i="3"/>
  <c r="BI375" i="3"/>
  <c r="BJ375" i="3"/>
  <c r="BK375" i="3"/>
  <c r="BB376" i="3"/>
  <c r="BC376" i="3"/>
  <c r="BD376" i="3"/>
  <c r="BE376" i="3"/>
  <c r="BF376" i="3"/>
  <c r="BG376" i="3"/>
  <c r="BH376" i="3"/>
  <c r="BI376" i="3"/>
  <c r="BJ376" i="3"/>
  <c r="BK376" i="3"/>
  <c r="BA376" i="3"/>
  <c r="BB377" i="3"/>
  <c r="BC377" i="3"/>
  <c r="BD377" i="3"/>
  <c r="BE377" i="3"/>
  <c r="BF377" i="3"/>
  <c r="BG377" i="3"/>
  <c r="BH377" i="3"/>
  <c r="BI377" i="3"/>
  <c r="BJ377" i="3"/>
  <c r="BK377" i="3"/>
  <c r="BB378" i="3"/>
  <c r="BC378" i="3"/>
  <c r="BD378" i="3"/>
  <c r="BE378" i="3"/>
  <c r="BF378" i="3"/>
  <c r="BG378" i="3"/>
  <c r="BH378" i="3"/>
  <c r="BI378" i="3"/>
  <c r="BJ378" i="3"/>
  <c r="BK378" i="3"/>
  <c r="BA378" i="3"/>
  <c r="BB379" i="3"/>
  <c r="BC379" i="3"/>
  <c r="BD379" i="3"/>
  <c r="BE379" i="3"/>
  <c r="BF379" i="3"/>
  <c r="BG379" i="3"/>
  <c r="BH379" i="3"/>
  <c r="BI379" i="3"/>
  <c r="BJ379" i="3"/>
  <c r="BK379" i="3"/>
  <c r="BB380" i="3"/>
  <c r="BC380" i="3"/>
  <c r="BD380" i="3"/>
  <c r="BE380" i="3"/>
  <c r="BF380" i="3"/>
  <c r="BG380" i="3"/>
  <c r="BH380" i="3"/>
  <c r="BI380" i="3"/>
  <c r="BJ380" i="3"/>
  <c r="BK380" i="3"/>
  <c r="BA380" i="3"/>
  <c r="BB381" i="3"/>
  <c r="BC381" i="3"/>
  <c r="BD381" i="3"/>
  <c r="BE381" i="3"/>
  <c r="BF381" i="3"/>
  <c r="BG381" i="3"/>
  <c r="BH381" i="3"/>
  <c r="BI381" i="3"/>
  <c r="BJ381" i="3"/>
  <c r="BK381" i="3"/>
  <c r="BB382" i="3"/>
  <c r="BC382" i="3"/>
  <c r="BD382" i="3"/>
  <c r="BE382" i="3"/>
  <c r="BF382" i="3"/>
  <c r="BG382" i="3"/>
  <c r="BH382" i="3"/>
  <c r="BI382" i="3"/>
  <c r="BJ382" i="3"/>
  <c r="BK382" i="3"/>
  <c r="BA382" i="3"/>
  <c r="BB383" i="3"/>
  <c r="BC383" i="3"/>
  <c r="BD383" i="3"/>
  <c r="BE383" i="3"/>
  <c r="BF383" i="3"/>
  <c r="BG383" i="3"/>
  <c r="BH383" i="3"/>
  <c r="BI383" i="3"/>
  <c r="BJ383" i="3"/>
  <c r="BK383" i="3"/>
  <c r="BB384" i="3"/>
  <c r="BC384" i="3"/>
  <c r="BD384" i="3"/>
  <c r="BE384" i="3"/>
  <c r="BF384" i="3"/>
  <c r="BG384" i="3"/>
  <c r="BH384" i="3"/>
  <c r="BI384" i="3"/>
  <c r="BJ384" i="3"/>
  <c r="BK384" i="3"/>
  <c r="BA384" i="3"/>
  <c r="BB385" i="3"/>
  <c r="BC385" i="3"/>
  <c r="BD385" i="3"/>
  <c r="BE385" i="3"/>
  <c r="BF385" i="3"/>
  <c r="BG385" i="3"/>
  <c r="BH385" i="3"/>
  <c r="BI385" i="3"/>
  <c r="BJ385" i="3"/>
  <c r="BK385" i="3"/>
  <c r="BB386" i="3"/>
  <c r="BC386" i="3"/>
  <c r="BD386" i="3"/>
  <c r="BE386" i="3"/>
  <c r="BF386" i="3"/>
  <c r="BG386" i="3"/>
  <c r="BH386" i="3"/>
  <c r="BI386" i="3"/>
  <c r="BJ386" i="3"/>
  <c r="BK386" i="3"/>
  <c r="BA386" i="3"/>
  <c r="BB387" i="3"/>
  <c r="BC387" i="3"/>
  <c r="BD387" i="3"/>
  <c r="BE387" i="3"/>
  <c r="BF387" i="3"/>
  <c r="BG387" i="3"/>
  <c r="BH387" i="3"/>
  <c r="BI387" i="3"/>
  <c r="BJ387" i="3"/>
  <c r="BK387" i="3"/>
  <c r="BB388" i="3"/>
  <c r="BC388" i="3"/>
  <c r="BD388" i="3"/>
  <c r="BE388" i="3"/>
  <c r="BF388" i="3"/>
  <c r="BG388" i="3"/>
  <c r="BH388" i="3"/>
  <c r="BI388" i="3"/>
  <c r="BJ388" i="3"/>
  <c r="BK388" i="3"/>
  <c r="BA388" i="3"/>
  <c r="BB389" i="3"/>
  <c r="BC389" i="3"/>
  <c r="BD389" i="3"/>
  <c r="BE389" i="3"/>
  <c r="BF389" i="3"/>
  <c r="BG389" i="3"/>
  <c r="BH389" i="3"/>
  <c r="BI389" i="3"/>
  <c r="BJ389" i="3"/>
  <c r="BK389" i="3"/>
  <c r="BB390" i="3"/>
  <c r="BC390" i="3"/>
  <c r="BD390" i="3"/>
  <c r="BE390" i="3"/>
  <c r="BF390" i="3"/>
  <c r="BG390" i="3"/>
  <c r="BH390" i="3"/>
  <c r="BI390" i="3"/>
  <c r="BJ390" i="3"/>
  <c r="BK390" i="3"/>
  <c r="BA390" i="3"/>
  <c r="BB391" i="3"/>
  <c r="BC391" i="3"/>
  <c r="BD391" i="3"/>
  <c r="BE391" i="3"/>
  <c r="BF391" i="3"/>
  <c r="BG391" i="3"/>
  <c r="BH391" i="3"/>
  <c r="BI391" i="3"/>
  <c r="BJ391" i="3"/>
  <c r="BK391" i="3"/>
  <c r="BB392" i="3"/>
  <c r="BC392" i="3"/>
  <c r="BD392" i="3"/>
  <c r="BE392" i="3"/>
  <c r="BF392" i="3"/>
  <c r="BG392" i="3"/>
  <c r="BH392" i="3"/>
  <c r="BI392" i="3"/>
  <c r="BJ392" i="3"/>
  <c r="BK392" i="3"/>
  <c r="BA392" i="3"/>
  <c r="BB393" i="3"/>
  <c r="BC393" i="3"/>
  <c r="BD393" i="3"/>
  <c r="BE393" i="3"/>
  <c r="BF393" i="3"/>
  <c r="BG393" i="3"/>
  <c r="BH393" i="3"/>
  <c r="BI393" i="3"/>
  <c r="BJ393" i="3"/>
  <c r="BK393" i="3"/>
  <c r="BB394" i="3"/>
  <c r="BC394" i="3"/>
  <c r="BD394" i="3"/>
  <c r="BE394" i="3"/>
  <c r="BF394" i="3"/>
  <c r="BG394" i="3"/>
  <c r="BH394" i="3"/>
  <c r="BI394" i="3"/>
  <c r="BJ394" i="3"/>
  <c r="BK394" i="3"/>
  <c r="BA394" i="3"/>
  <c r="BB395" i="3"/>
  <c r="BC395" i="3"/>
  <c r="BD395" i="3"/>
  <c r="BE395" i="3"/>
  <c r="BF395" i="3"/>
  <c r="BG395" i="3"/>
  <c r="BH395" i="3"/>
  <c r="BI395" i="3"/>
  <c r="BJ395" i="3"/>
  <c r="BK395" i="3"/>
  <c r="BB396" i="3"/>
  <c r="BC396" i="3"/>
  <c r="BD396" i="3"/>
  <c r="BE396" i="3"/>
  <c r="BF396" i="3"/>
  <c r="BG396" i="3"/>
  <c r="BH396" i="3"/>
  <c r="BI396" i="3"/>
  <c r="BJ396" i="3"/>
  <c r="BK396" i="3"/>
  <c r="BA396" i="3"/>
  <c r="BB397" i="3"/>
  <c r="BC397" i="3"/>
  <c r="BD397" i="3"/>
  <c r="BE397" i="3"/>
  <c r="BF397" i="3"/>
  <c r="BG397" i="3"/>
  <c r="BH397" i="3"/>
  <c r="BI397" i="3"/>
  <c r="BJ397" i="3"/>
  <c r="BK397" i="3"/>
  <c r="BB398" i="3"/>
  <c r="BC398" i="3"/>
  <c r="BD398" i="3"/>
  <c r="BE398" i="3"/>
  <c r="BF398" i="3"/>
  <c r="BG398" i="3"/>
  <c r="BH398" i="3"/>
  <c r="BI398" i="3"/>
  <c r="BJ398" i="3"/>
  <c r="BK398" i="3"/>
  <c r="BA398" i="3"/>
  <c r="BB399" i="3"/>
  <c r="BC399" i="3"/>
  <c r="BD399" i="3"/>
  <c r="BE399" i="3"/>
  <c r="BF399" i="3"/>
  <c r="BG399" i="3"/>
  <c r="BH399" i="3"/>
  <c r="BI399" i="3"/>
  <c r="BJ399" i="3"/>
  <c r="BK399" i="3"/>
  <c r="BB400" i="3"/>
  <c r="BC400" i="3"/>
  <c r="BD400" i="3"/>
  <c r="BE400" i="3"/>
  <c r="BF400" i="3"/>
  <c r="BG400" i="3"/>
  <c r="BH400" i="3"/>
  <c r="BI400" i="3"/>
  <c r="BJ400" i="3"/>
  <c r="BK400" i="3"/>
  <c r="BA400" i="3"/>
  <c r="BB401" i="3"/>
  <c r="BC401" i="3"/>
  <c r="BD401" i="3"/>
  <c r="BE401" i="3"/>
  <c r="BF401" i="3"/>
  <c r="BG401" i="3"/>
  <c r="BH401" i="3"/>
  <c r="BI401" i="3"/>
  <c r="BJ401" i="3"/>
  <c r="BK401" i="3"/>
  <c r="BB402" i="3"/>
  <c r="BC402" i="3"/>
  <c r="BD402" i="3"/>
  <c r="BE402" i="3"/>
  <c r="BF402" i="3"/>
  <c r="BG402" i="3"/>
  <c r="BH402" i="3"/>
  <c r="BI402" i="3"/>
  <c r="BJ402" i="3"/>
  <c r="BK402" i="3"/>
  <c r="BA402" i="3"/>
  <c r="BB403" i="3"/>
  <c r="BC403" i="3"/>
  <c r="BD403" i="3"/>
  <c r="BE403" i="3"/>
  <c r="BF403" i="3"/>
  <c r="BG403" i="3"/>
  <c r="BH403" i="3"/>
  <c r="BI403" i="3"/>
  <c r="BJ403" i="3"/>
  <c r="BK403" i="3"/>
  <c r="BB404" i="3"/>
  <c r="BC404" i="3"/>
  <c r="BD404" i="3"/>
  <c r="BE404" i="3"/>
  <c r="BF404" i="3"/>
  <c r="BG404" i="3"/>
  <c r="BH404" i="3"/>
  <c r="BI404" i="3"/>
  <c r="BJ404" i="3"/>
  <c r="BK404" i="3"/>
  <c r="BA404" i="3"/>
  <c r="BB405" i="3"/>
  <c r="BC405" i="3"/>
  <c r="BD405" i="3"/>
  <c r="BE405" i="3"/>
  <c r="BF405" i="3"/>
  <c r="BG405" i="3"/>
  <c r="BH405" i="3"/>
  <c r="BI405" i="3"/>
  <c r="BJ405" i="3"/>
  <c r="BK405" i="3"/>
  <c r="BB406" i="3"/>
  <c r="BC406" i="3"/>
  <c r="BD406" i="3"/>
  <c r="BE406" i="3"/>
  <c r="BF406" i="3"/>
  <c r="BG406" i="3"/>
  <c r="BH406" i="3"/>
  <c r="BI406" i="3"/>
  <c r="BJ406" i="3"/>
  <c r="BK406" i="3"/>
  <c r="BA406" i="3"/>
  <c r="BB407" i="3"/>
  <c r="BC407" i="3"/>
  <c r="BD407" i="3"/>
  <c r="BE407" i="3"/>
  <c r="BF407" i="3"/>
  <c r="BG407" i="3"/>
  <c r="BH407" i="3"/>
  <c r="BI407" i="3"/>
  <c r="BJ407" i="3"/>
  <c r="BK407" i="3"/>
  <c r="BB408" i="3"/>
  <c r="BC408" i="3"/>
  <c r="BD408" i="3"/>
  <c r="BE408" i="3"/>
  <c r="BF408" i="3"/>
  <c r="BG408" i="3"/>
  <c r="BH408" i="3"/>
  <c r="BI408" i="3"/>
  <c r="BJ408" i="3"/>
  <c r="BK408" i="3"/>
  <c r="BA408" i="3"/>
  <c r="BB409" i="3"/>
  <c r="BC409" i="3"/>
  <c r="BD409" i="3"/>
  <c r="BE409" i="3"/>
  <c r="BF409" i="3"/>
  <c r="BG409" i="3"/>
  <c r="BH409" i="3"/>
  <c r="BI409" i="3"/>
  <c r="BJ409" i="3"/>
  <c r="BK409" i="3"/>
  <c r="BB410" i="3"/>
  <c r="BC410" i="3"/>
  <c r="BD410" i="3"/>
  <c r="BE410" i="3"/>
  <c r="BF410" i="3"/>
  <c r="BG410" i="3"/>
  <c r="BH410" i="3"/>
  <c r="BI410" i="3"/>
  <c r="BJ410" i="3"/>
  <c r="BK410" i="3"/>
  <c r="BA410" i="3"/>
  <c r="BB411" i="3"/>
  <c r="BC411" i="3"/>
  <c r="BD411" i="3"/>
  <c r="BE411" i="3"/>
  <c r="BF411" i="3"/>
  <c r="BG411" i="3"/>
  <c r="BH411" i="3"/>
  <c r="BI411" i="3"/>
  <c r="BJ411" i="3"/>
  <c r="BK411" i="3"/>
  <c r="BB412" i="3"/>
  <c r="BC412" i="3"/>
  <c r="BD412" i="3"/>
  <c r="BE412" i="3"/>
  <c r="BF412" i="3"/>
  <c r="BG412" i="3"/>
  <c r="BH412" i="3"/>
  <c r="BI412" i="3"/>
  <c r="BJ412" i="3"/>
  <c r="BK412" i="3"/>
  <c r="BA412" i="3"/>
  <c r="BB413" i="3"/>
  <c r="BC413" i="3"/>
  <c r="BD413" i="3"/>
  <c r="BE413" i="3"/>
  <c r="BF413" i="3"/>
  <c r="BG413" i="3"/>
  <c r="BH413" i="3"/>
  <c r="BI413" i="3"/>
  <c r="BJ413" i="3"/>
  <c r="BK413" i="3"/>
  <c r="BB414" i="3"/>
  <c r="BC414" i="3"/>
  <c r="BD414" i="3"/>
  <c r="BE414" i="3"/>
  <c r="BF414" i="3"/>
  <c r="BG414" i="3"/>
  <c r="BH414" i="3"/>
  <c r="BI414" i="3"/>
  <c r="BJ414" i="3"/>
  <c r="BK414" i="3"/>
  <c r="BA414" i="3"/>
  <c r="BB415" i="3"/>
  <c r="BC415" i="3"/>
  <c r="BD415" i="3"/>
  <c r="BE415" i="3"/>
  <c r="BF415" i="3"/>
  <c r="BG415" i="3"/>
  <c r="BH415" i="3"/>
  <c r="BI415" i="3"/>
  <c r="BJ415" i="3"/>
  <c r="BK415" i="3"/>
  <c r="BB416" i="3"/>
  <c r="BC416" i="3"/>
  <c r="BD416" i="3"/>
  <c r="BE416" i="3"/>
  <c r="BF416" i="3"/>
  <c r="BG416" i="3"/>
  <c r="BH416" i="3"/>
  <c r="BI416" i="3"/>
  <c r="BJ416" i="3"/>
  <c r="BK416" i="3"/>
  <c r="BA416" i="3"/>
  <c r="BB417" i="3"/>
  <c r="BC417" i="3"/>
  <c r="BD417" i="3"/>
  <c r="BE417" i="3"/>
  <c r="BF417" i="3"/>
  <c r="BG417" i="3"/>
  <c r="BH417" i="3"/>
  <c r="BI417" i="3"/>
  <c r="BJ417" i="3"/>
  <c r="BK417" i="3"/>
  <c r="BB418" i="3"/>
  <c r="BC418" i="3"/>
  <c r="BD418" i="3"/>
  <c r="BE418" i="3"/>
  <c r="BF418" i="3"/>
  <c r="BG418" i="3"/>
  <c r="BH418" i="3"/>
  <c r="BI418" i="3"/>
  <c r="BJ418" i="3"/>
  <c r="BK418" i="3"/>
  <c r="BA418" i="3"/>
  <c r="BB419" i="3"/>
  <c r="BC419" i="3"/>
  <c r="BD419" i="3"/>
  <c r="BE419" i="3"/>
  <c r="BF419" i="3"/>
  <c r="BG419" i="3"/>
  <c r="BH419" i="3"/>
  <c r="BI419" i="3"/>
  <c r="BJ419" i="3"/>
  <c r="BK419" i="3"/>
  <c r="BB420" i="3"/>
  <c r="BC420" i="3"/>
  <c r="BD420" i="3"/>
  <c r="BE420" i="3"/>
  <c r="BF420" i="3"/>
  <c r="BG420" i="3"/>
  <c r="BH420" i="3"/>
  <c r="BI420" i="3"/>
  <c r="BJ420" i="3"/>
  <c r="BK420" i="3"/>
  <c r="BA420" i="3"/>
  <c r="BB421" i="3"/>
  <c r="BC421" i="3"/>
  <c r="BD421" i="3"/>
  <c r="BE421" i="3"/>
  <c r="BF421" i="3"/>
  <c r="BG421" i="3"/>
  <c r="BH421" i="3"/>
  <c r="BI421" i="3"/>
  <c r="BJ421" i="3"/>
  <c r="BK421" i="3"/>
  <c r="BB422" i="3"/>
  <c r="BC422" i="3"/>
  <c r="BD422" i="3"/>
  <c r="BE422" i="3"/>
  <c r="BF422" i="3"/>
  <c r="BG422" i="3"/>
  <c r="BH422" i="3"/>
  <c r="BI422" i="3"/>
  <c r="BJ422" i="3"/>
  <c r="BK422" i="3"/>
  <c r="BA422" i="3"/>
  <c r="BB423" i="3"/>
  <c r="BC423" i="3"/>
  <c r="BD423" i="3"/>
  <c r="BE423" i="3"/>
  <c r="BF423" i="3"/>
  <c r="BG423" i="3"/>
  <c r="BH423" i="3"/>
  <c r="BI423" i="3"/>
  <c r="BJ423" i="3"/>
  <c r="BK423" i="3"/>
  <c r="BB424" i="3"/>
  <c r="BC424" i="3"/>
  <c r="BD424" i="3"/>
  <c r="BE424" i="3"/>
  <c r="BF424" i="3"/>
  <c r="BG424" i="3"/>
  <c r="BH424" i="3"/>
  <c r="BI424" i="3"/>
  <c r="BJ424" i="3"/>
  <c r="BK424" i="3"/>
  <c r="BA424" i="3"/>
  <c r="BB425" i="3"/>
  <c r="BC425" i="3"/>
  <c r="BD425" i="3"/>
  <c r="BE425" i="3"/>
  <c r="BF425" i="3"/>
  <c r="BG425" i="3"/>
  <c r="BH425" i="3"/>
  <c r="BI425" i="3"/>
  <c r="BJ425" i="3"/>
  <c r="BK425" i="3"/>
  <c r="BB426" i="3"/>
  <c r="BC426" i="3"/>
  <c r="BD426" i="3"/>
  <c r="BE426" i="3"/>
  <c r="BF426" i="3"/>
  <c r="BG426" i="3"/>
  <c r="BH426" i="3"/>
  <c r="BI426" i="3"/>
  <c r="BJ426" i="3"/>
  <c r="BK426" i="3"/>
  <c r="BA426" i="3"/>
  <c r="BB427" i="3"/>
  <c r="BC427" i="3"/>
  <c r="BD427" i="3"/>
  <c r="BE427" i="3"/>
  <c r="BF427" i="3"/>
  <c r="BG427" i="3"/>
  <c r="BH427" i="3"/>
  <c r="BI427" i="3"/>
  <c r="BJ427" i="3"/>
  <c r="BK427" i="3"/>
  <c r="BB428" i="3"/>
  <c r="BC428" i="3"/>
  <c r="BD428" i="3"/>
  <c r="BE428" i="3"/>
  <c r="BF428" i="3"/>
  <c r="BG428" i="3"/>
  <c r="BH428" i="3"/>
  <c r="BI428" i="3"/>
  <c r="BJ428" i="3"/>
  <c r="BK428" i="3"/>
  <c r="BA428" i="3"/>
  <c r="BB429" i="3"/>
  <c r="BC429" i="3"/>
  <c r="BD429" i="3"/>
  <c r="BE429" i="3"/>
  <c r="BF429" i="3"/>
  <c r="BG429" i="3"/>
  <c r="BH429" i="3"/>
  <c r="BI429" i="3"/>
  <c r="BJ429" i="3"/>
  <c r="BK429" i="3"/>
  <c r="BB430" i="3"/>
  <c r="BC430" i="3"/>
  <c r="BD430" i="3"/>
  <c r="BE430" i="3"/>
  <c r="BF430" i="3"/>
  <c r="BG430" i="3"/>
  <c r="BH430" i="3"/>
  <c r="BI430" i="3"/>
  <c r="BJ430" i="3"/>
  <c r="BK430" i="3"/>
  <c r="BA430" i="3"/>
  <c r="BB431" i="3"/>
  <c r="BC431" i="3"/>
  <c r="BD431" i="3"/>
  <c r="BE431" i="3"/>
  <c r="BF431" i="3"/>
  <c r="BG431" i="3"/>
  <c r="BH431" i="3"/>
  <c r="BI431" i="3"/>
  <c r="BJ431" i="3"/>
  <c r="BK431" i="3"/>
  <c r="BB432" i="3"/>
  <c r="BC432" i="3"/>
  <c r="BD432" i="3"/>
  <c r="BE432" i="3"/>
  <c r="BF432" i="3"/>
  <c r="BG432" i="3"/>
  <c r="BH432" i="3"/>
  <c r="BI432" i="3"/>
  <c r="BJ432" i="3"/>
  <c r="BK432" i="3"/>
  <c r="BA432" i="3"/>
  <c r="BB433" i="3"/>
  <c r="BC433" i="3"/>
  <c r="BD433" i="3"/>
  <c r="BE433" i="3"/>
  <c r="BF433" i="3"/>
  <c r="BG433" i="3"/>
  <c r="BH433" i="3"/>
  <c r="BI433" i="3"/>
  <c r="BJ433" i="3"/>
  <c r="BK433" i="3"/>
  <c r="BB434" i="3"/>
  <c r="BC434" i="3"/>
  <c r="BD434" i="3"/>
  <c r="BE434" i="3"/>
  <c r="BF434" i="3"/>
  <c r="BG434" i="3"/>
  <c r="BH434" i="3"/>
  <c r="BI434" i="3"/>
  <c r="BJ434" i="3"/>
  <c r="BK434" i="3"/>
  <c r="BA434" i="3"/>
  <c r="BB435" i="3"/>
  <c r="BC435" i="3"/>
  <c r="BD435" i="3"/>
  <c r="BE435" i="3"/>
  <c r="BF435" i="3"/>
  <c r="BG435" i="3"/>
  <c r="BH435" i="3"/>
  <c r="BI435" i="3"/>
  <c r="BJ435" i="3"/>
  <c r="BK435" i="3"/>
  <c r="BB436" i="3"/>
  <c r="BC436" i="3"/>
  <c r="BD436" i="3"/>
  <c r="BE436" i="3"/>
  <c r="BF436" i="3"/>
  <c r="BG436" i="3"/>
  <c r="BH436" i="3"/>
  <c r="BI436" i="3"/>
  <c r="BJ436" i="3"/>
  <c r="BK436" i="3"/>
  <c r="BA436" i="3"/>
  <c r="BB437" i="3"/>
  <c r="BC437" i="3"/>
  <c r="BD437" i="3"/>
  <c r="BE437" i="3"/>
  <c r="BF437" i="3"/>
  <c r="BG437" i="3"/>
  <c r="BH437" i="3"/>
  <c r="BI437" i="3"/>
  <c r="BJ437" i="3"/>
  <c r="BK437" i="3"/>
  <c r="BB438" i="3"/>
  <c r="BC438" i="3"/>
  <c r="BD438" i="3"/>
  <c r="BE438" i="3"/>
  <c r="BF438" i="3"/>
  <c r="BG438" i="3"/>
  <c r="BH438" i="3"/>
  <c r="BI438" i="3"/>
  <c r="BJ438" i="3"/>
  <c r="BK438" i="3"/>
  <c r="BA438" i="3"/>
  <c r="BB439" i="3"/>
  <c r="BC439" i="3"/>
  <c r="BD439" i="3"/>
  <c r="BE439" i="3"/>
  <c r="BF439" i="3"/>
  <c r="BG439" i="3"/>
  <c r="BH439" i="3"/>
  <c r="BI439" i="3"/>
  <c r="BJ439" i="3"/>
  <c r="BK439" i="3"/>
  <c r="BB440" i="3"/>
  <c r="BC440" i="3"/>
  <c r="BD440" i="3"/>
  <c r="BE440" i="3"/>
  <c r="BF440" i="3"/>
  <c r="BG440" i="3"/>
  <c r="BH440" i="3"/>
  <c r="BI440" i="3"/>
  <c r="BJ440" i="3"/>
  <c r="BK440" i="3"/>
  <c r="BA440" i="3"/>
  <c r="BB441" i="3"/>
  <c r="BC441" i="3"/>
  <c r="BD441" i="3"/>
  <c r="BE441" i="3"/>
  <c r="BF441" i="3"/>
  <c r="BG441" i="3"/>
  <c r="BH441" i="3"/>
  <c r="BI441" i="3"/>
  <c r="BJ441" i="3"/>
  <c r="BK441" i="3"/>
  <c r="BB442" i="3"/>
  <c r="BC442" i="3"/>
  <c r="BD442" i="3"/>
  <c r="BE442" i="3"/>
  <c r="BF442" i="3"/>
  <c r="BG442" i="3"/>
  <c r="BH442" i="3"/>
  <c r="BI442" i="3"/>
  <c r="BJ442" i="3"/>
  <c r="BK442" i="3"/>
  <c r="BA442" i="3"/>
  <c r="BB443" i="3"/>
  <c r="BC443" i="3"/>
  <c r="BD443" i="3"/>
  <c r="BE443" i="3"/>
  <c r="BF443" i="3"/>
  <c r="BG443" i="3"/>
  <c r="BH443" i="3"/>
  <c r="BI443" i="3"/>
  <c r="BJ443" i="3"/>
  <c r="BK443" i="3"/>
  <c r="BB444" i="3"/>
  <c r="BC444" i="3"/>
  <c r="BD444" i="3"/>
  <c r="BE444" i="3"/>
  <c r="BF444" i="3"/>
  <c r="BG444" i="3"/>
  <c r="BH444" i="3"/>
  <c r="BI444" i="3"/>
  <c r="BJ444" i="3"/>
  <c r="BK444" i="3"/>
  <c r="BA444" i="3"/>
  <c r="BB445" i="3"/>
  <c r="BC445" i="3"/>
  <c r="BD445" i="3"/>
  <c r="BE445" i="3"/>
  <c r="BF445" i="3"/>
  <c r="BG445" i="3"/>
  <c r="BH445" i="3"/>
  <c r="BI445" i="3"/>
  <c r="BJ445" i="3"/>
  <c r="BK445" i="3"/>
  <c r="BB446" i="3"/>
  <c r="BC446" i="3"/>
  <c r="BD446" i="3"/>
  <c r="BE446" i="3"/>
  <c r="BF446" i="3"/>
  <c r="BG446" i="3"/>
  <c r="BH446" i="3"/>
  <c r="BI446" i="3"/>
  <c r="BJ446" i="3"/>
  <c r="BK446" i="3"/>
  <c r="BA446" i="3"/>
  <c r="BB447" i="3"/>
  <c r="BC447" i="3"/>
  <c r="BD447" i="3"/>
  <c r="BE447" i="3"/>
  <c r="BF447" i="3"/>
  <c r="BG447" i="3"/>
  <c r="BH447" i="3"/>
  <c r="BI447" i="3"/>
  <c r="BJ447" i="3"/>
  <c r="BK447" i="3"/>
  <c r="BB448" i="3"/>
  <c r="BC448" i="3"/>
  <c r="BD448" i="3"/>
  <c r="BE448" i="3"/>
  <c r="BF448" i="3"/>
  <c r="BG448" i="3"/>
  <c r="BH448" i="3"/>
  <c r="BI448" i="3"/>
  <c r="BJ448" i="3"/>
  <c r="BK448" i="3"/>
  <c r="BA448" i="3"/>
  <c r="BB449" i="3"/>
  <c r="BC449" i="3"/>
  <c r="BD449" i="3"/>
  <c r="BE449" i="3"/>
  <c r="BF449" i="3"/>
  <c r="BG449" i="3"/>
  <c r="BH449" i="3"/>
  <c r="BI449" i="3"/>
  <c r="BJ449" i="3"/>
  <c r="BK449" i="3"/>
  <c r="BB450" i="3"/>
  <c r="BC450" i="3"/>
  <c r="BD450" i="3"/>
  <c r="BE450" i="3"/>
  <c r="BF450" i="3"/>
  <c r="BG450" i="3"/>
  <c r="BH450" i="3"/>
  <c r="BI450" i="3"/>
  <c r="BJ450" i="3"/>
  <c r="BK450" i="3"/>
  <c r="BA450" i="3"/>
  <c r="BB451" i="3"/>
  <c r="BC451" i="3"/>
  <c r="BD451" i="3"/>
  <c r="BE451" i="3"/>
  <c r="BF451" i="3"/>
  <c r="BG451" i="3"/>
  <c r="BH451" i="3"/>
  <c r="BI451" i="3"/>
  <c r="BJ451" i="3"/>
  <c r="BK451" i="3"/>
  <c r="BB452" i="3"/>
  <c r="BC452" i="3"/>
  <c r="BD452" i="3"/>
  <c r="BE452" i="3"/>
  <c r="BF452" i="3"/>
  <c r="BG452" i="3"/>
  <c r="BH452" i="3"/>
  <c r="BI452" i="3"/>
  <c r="BJ452" i="3"/>
  <c r="BK452" i="3"/>
  <c r="BA452" i="3"/>
  <c r="BB453" i="3"/>
  <c r="BC453" i="3"/>
  <c r="BD453" i="3"/>
  <c r="BE453" i="3"/>
  <c r="BF453" i="3"/>
  <c r="BG453" i="3"/>
  <c r="BH453" i="3"/>
  <c r="BI453" i="3"/>
  <c r="BJ453" i="3"/>
  <c r="BK453" i="3"/>
  <c r="BB454" i="3"/>
  <c r="BC454" i="3"/>
  <c r="BD454" i="3"/>
  <c r="BE454" i="3"/>
  <c r="BF454" i="3"/>
  <c r="BG454" i="3"/>
  <c r="BH454" i="3"/>
  <c r="BI454" i="3"/>
  <c r="BJ454" i="3"/>
  <c r="BK454" i="3"/>
  <c r="BA454" i="3"/>
  <c r="BB455" i="3"/>
  <c r="BC455" i="3"/>
  <c r="BD455" i="3"/>
  <c r="BE455" i="3"/>
  <c r="BF455" i="3"/>
  <c r="BG455" i="3"/>
  <c r="BH455" i="3"/>
  <c r="BI455" i="3"/>
  <c r="BJ455" i="3"/>
  <c r="BK455" i="3"/>
  <c r="BB456" i="3"/>
  <c r="BC456" i="3"/>
  <c r="BD456" i="3"/>
  <c r="BE456" i="3"/>
  <c r="BF456" i="3"/>
  <c r="BG456" i="3"/>
  <c r="BH456" i="3"/>
  <c r="BI456" i="3"/>
  <c r="BJ456" i="3"/>
  <c r="BK456" i="3"/>
  <c r="BA456" i="3"/>
  <c r="BB457" i="3"/>
  <c r="BC457" i="3"/>
  <c r="BD457" i="3"/>
  <c r="BE457" i="3"/>
  <c r="BF457" i="3"/>
  <c r="BG457" i="3"/>
  <c r="BH457" i="3"/>
  <c r="BI457" i="3"/>
  <c r="BJ457" i="3"/>
  <c r="BK457" i="3"/>
  <c r="BB458" i="3"/>
  <c r="BC458" i="3"/>
  <c r="BD458" i="3"/>
  <c r="BE458" i="3"/>
  <c r="BF458" i="3"/>
  <c r="BG458" i="3"/>
  <c r="BH458" i="3"/>
  <c r="BI458" i="3"/>
  <c r="BJ458" i="3"/>
  <c r="BK458" i="3"/>
  <c r="BA458" i="3"/>
  <c r="BB459" i="3"/>
  <c r="BC459" i="3"/>
  <c r="BD459" i="3"/>
  <c r="BE459" i="3"/>
  <c r="BF459" i="3"/>
  <c r="BG459" i="3"/>
  <c r="BH459" i="3"/>
  <c r="BI459" i="3"/>
  <c r="BJ459" i="3"/>
  <c r="BK459" i="3"/>
  <c r="BB460" i="3"/>
  <c r="BC460" i="3"/>
  <c r="BD460" i="3"/>
  <c r="BE460" i="3"/>
  <c r="BF460" i="3"/>
  <c r="BG460" i="3"/>
  <c r="BH460" i="3"/>
  <c r="BI460" i="3"/>
  <c r="BJ460" i="3"/>
  <c r="BK460" i="3"/>
  <c r="BA460" i="3"/>
  <c r="BB461" i="3"/>
  <c r="BC461" i="3"/>
  <c r="BD461" i="3"/>
  <c r="BE461" i="3"/>
  <c r="BF461" i="3"/>
  <c r="BG461" i="3"/>
  <c r="BH461" i="3"/>
  <c r="BI461" i="3"/>
  <c r="BJ461" i="3"/>
  <c r="BK461" i="3"/>
  <c r="BB462" i="3"/>
  <c r="BC462" i="3"/>
  <c r="BD462" i="3"/>
  <c r="BE462" i="3"/>
  <c r="BF462" i="3"/>
  <c r="BG462" i="3"/>
  <c r="BH462" i="3"/>
  <c r="BI462" i="3"/>
  <c r="BJ462" i="3"/>
  <c r="BK462" i="3"/>
  <c r="BA462" i="3"/>
  <c r="BB463" i="3"/>
  <c r="BC463" i="3"/>
  <c r="BD463" i="3"/>
  <c r="BE463" i="3"/>
  <c r="BF463" i="3"/>
  <c r="BG463" i="3"/>
  <c r="BH463" i="3"/>
  <c r="BI463" i="3"/>
  <c r="BJ463" i="3"/>
  <c r="BK463" i="3"/>
  <c r="BB464" i="3"/>
  <c r="BC464" i="3"/>
  <c r="BD464" i="3"/>
  <c r="BE464" i="3"/>
  <c r="BF464" i="3"/>
  <c r="BG464" i="3"/>
  <c r="BH464" i="3"/>
  <c r="BI464" i="3"/>
  <c r="BJ464" i="3"/>
  <c r="BK464" i="3"/>
  <c r="BA464" i="3"/>
  <c r="BB465" i="3"/>
  <c r="BC465" i="3"/>
  <c r="BD465" i="3"/>
  <c r="BE465" i="3"/>
  <c r="BF465" i="3"/>
  <c r="BG465" i="3"/>
  <c r="BH465" i="3"/>
  <c r="BI465" i="3"/>
  <c r="BJ465" i="3"/>
  <c r="BK465" i="3"/>
  <c r="BB466" i="3"/>
  <c r="BC466" i="3"/>
  <c r="BD466" i="3"/>
  <c r="BE466" i="3"/>
  <c r="BF466" i="3"/>
  <c r="BG466" i="3"/>
  <c r="BH466" i="3"/>
  <c r="BI466" i="3"/>
  <c r="BJ466" i="3"/>
  <c r="BK466" i="3"/>
  <c r="BA466" i="3"/>
  <c r="BB467" i="3"/>
  <c r="BC467" i="3"/>
  <c r="BD467" i="3"/>
  <c r="BE467" i="3"/>
  <c r="BF467" i="3"/>
  <c r="BG467" i="3"/>
  <c r="BH467" i="3"/>
  <c r="BI467" i="3"/>
  <c r="BJ467" i="3"/>
  <c r="BK467" i="3"/>
  <c r="BB468" i="3"/>
  <c r="BC468" i="3"/>
  <c r="BD468" i="3"/>
  <c r="BE468" i="3"/>
  <c r="BF468" i="3"/>
  <c r="BG468" i="3"/>
  <c r="BH468" i="3"/>
  <c r="BI468" i="3"/>
  <c r="BJ468" i="3"/>
  <c r="BK468" i="3"/>
  <c r="BA468" i="3"/>
  <c r="BB469" i="3"/>
  <c r="BC469" i="3"/>
  <c r="BD469" i="3"/>
  <c r="BE469" i="3"/>
  <c r="BF469" i="3"/>
  <c r="BG469" i="3"/>
  <c r="BH469" i="3"/>
  <c r="BI469" i="3"/>
  <c r="BJ469" i="3"/>
  <c r="BK469" i="3"/>
  <c r="BB470" i="3"/>
  <c r="BC470" i="3"/>
  <c r="BD470" i="3"/>
  <c r="BE470" i="3"/>
  <c r="BF470" i="3"/>
  <c r="BG470" i="3"/>
  <c r="BH470" i="3"/>
  <c r="BI470" i="3"/>
  <c r="BJ470" i="3"/>
  <c r="BK470" i="3"/>
  <c r="BA470" i="3"/>
  <c r="BB471" i="3"/>
  <c r="BC471" i="3"/>
  <c r="BD471" i="3"/>
  <c r="BE471" i="3"/>
  <c r="BF471" i="3"/>
  <c r="BG471" i="3"/>
  <c r="BH471" i="3"/>
  <c r="BI471" i="3"/>
  <c r="BJ471" i="3"/>
  <c r="BK471" i="3"/>
  <c r="BB472" i="3"/>
  <c r="BC472" i="3"/>
  <c r="BD472" i="3"/>
  <c r="BE472" i="3"/>
  <c r="BF472" i="3"/>
  <c r="BG472" i="3"/>
  <c r="BH472" i="3"/>
  <c r="BI472" i="3"/>
  <c r="BJ472" i="3"/>
  <c r="BK472" i="3"/>
  <c r="BA472" i="3"/>
  <c r="BB473" i="3"/>
  <c r="BC473" i="3"/>
  <c r="BD473" i="3"/>
  <c r="BE473" i="3"/>
  <c r="BF473" i="3"/>
  <c r="BG473" i="3"/>
  <c r="BH473" i="3"/>
  <c r="BI473" i="3"/>
  <c r="BJ473" i="3"/>
  <c r="BK473" i="3"/>
  <c r="BB474" i="3"/>
  <c r="BC474" i="3"/>
  <c r="BD474" i="3"/>
  <c r="BE474" i="3"/>
  <c r="BF474" i="3"/>
  <c r="BG474" i="3"/>
  <c r="BH474" i="3"/>
  <c r="BI474" i="3"/>
  <c r="BJ474" i="3"/>
  <c r="BK474" i="3"/>
  <c r="BA474" i="3"/>
  <c r="BB475" i="3"/>
  <c r="BC475" i="3"/>
  <c r="BD475" i="3"/>
  <c r="BE475" i="3"/>
  <c r="BF475" i="3"/>
  <c r="BG475" i="3"/>
  <c r="BH475" i="3"/>
  <c r="BI475" i="3"/>
  <c r="BJ475" i="3"/>
  <c r="BK475" i="3"/>
  <c r="BB476" i="3"/>
  <c r="BC476" i="3"/>
  <c r="BD476" i="3"/>
  <c r="BE476" i="3"/>
  <c r="BF476" i="3"/>
  <c r="BG476" i="3"/>
  <c r="BH476" i="3"/>
  <c r="BI476" i="3"/>
  <c r="BJ476" i="3"/>
  <c r="BK476" i="3"/>
  <c r="BA476" i="3"/>
  <c r="BB477" i="3"/>
  <c r="BC477" i="3"/>
  <c r="BD477" i="3"/>
  <c r="BE477" i="3"/>
  <c r="BF477" i="3"/>
  <c r="BG477" i="3"/>
  <c r="BH477" i="3"/>
  <c r="BI477" i="3"/>
  <c r="BJ477" i="3"/>
  <c r="BK477" i="3"/>
  <c r="BB478" i="3"/>
  <c r="BC478" i="3"/>
  <c r="BD478" i="3"/>
  <c r="BE478" i="3"/>
  <c r="BF478" i="3"/>
  <c r="BG478" i="3"/>
  <c r="BH478" i="3"/>
  <c r="BI478" i="3"/>
  <c r="BJ478" i="3"/>
  <c r="BK478" i="3"/>
  <c r="BA478" i="3"/>
  <c r="BB479" i="3"/>
  <c r="BC479" i="3"/>
  <c r="BD479" i="3"/>
  <c r="BE479" i="3"/>
  <c r="BF479" i="3"/>
  <c r="BG479" i="3"/>
  <c r="BH479" i="3"/>
  <c r="BI479" i="3"/>
  <c r="BJ479" i="3"/>
  <c r="BK479" i="3"/>
  <c r="BB480" i="3"/>
  <c r="BC480" i="3"/>
  <c r="BD480" i="3"/>
  <c r="BE480" i="3"/>
  <c r="BF480" i="3"/>
  <c r="BG480" i="3"/>
  <c r="BH480" i="3"/>
  <c r="BI480" i="3"/>
  <c r="BJ480" i="3"/>
  <c r="BK480" i="3"/>
  <c r="BA480" i="3"/>
  <c r="BB481" i="3"/>
  <c r="BC481" i="3"/>
  <c r="BD481" i="3"/>
  <c r="BE481" i="3"/>
  <c r="BF481" i="3"/>
  <c r="BG481" i="3"/>
  <c r="BH481" i="3"/>
  <c r="BI481" i="3"/>
  <c r="BJ481" i="3"/>
  <c r="BK481" i="3"/>
  <c r="BB482" i="3"/>
  <c r="BC482" i="3"/>
  <c r="BD482" i="3"/>
  <c r="BE482" i="3"/>
  <c r="BF482" i="3"/>
  <c r="BG482" i="3"/>
  <c r="BH482" i="3"/>
  <c r="BI482" i="3"/>
  <c r="BJ482" i="3"/>
  <c r="BK482" i="3"/>
  <c r="BA482" i="3"/>
  <c r="BB483" i="3"/>
  <c r="BC483" i="3"/>
  <c r="BD483" i="3"/>
  <c r="BE483" i="3"/>
  <c r="BF483" i="3"/>
  <c r="BG483" i="3"/>
  <c r="BH483" i="3"/>
  <c r="BI483" i="3"/>
  <c r="BJ483" i="3"/>
  <c r="BK483" i="3"/>
  <c r="BB484" i="3"/>
  <c r="BC484" i="3"/>
  <c r="BD484" i="3"/>
  <c r="BE484" i="3"/>
  <c r="BF484" i="3"/>
  <c r="BG484" i="3"/>
  <c r="BH484" i="3"/>
  <c r="BI484" i="3"/>
  <c r="BJ484" i="3"/>
  <c r="BK484" i="3"/>
  <c r="BA484" i="3"/>
  <c r="BB485" i="3"/>
  <c r="BC485" i="3"/>
  <c r="BD485" i="3"/>
  <c r="BE485" i="3"/>
  <c r="BF485" i="3"/>
  <c r="BG485" i="3"/>
  <c r="BH485" i="3"/>
  <c r="BI485" i="3"/>
  <c r="BJ485" i="3"/>
  <c r="BK485" i="3"/>
  <c r="BB486" i="3"/>
  <c r="BC486" i="3"/>
  <c r="BD486" i="3"/>
  <c r="BE486" i="3"/>
  <c r="BF486" i="3"/>
  <c r="BG486" i="3"/>
  <c r="BH486" i="3"/>
  <c r="BI486" i="3"/>
  <c r="BJ486" i="3"/>
  <c r="BK486" i="3"/>
  <c r="BA486" i="3"/>
  <c r="BB487" i="3"/>
  <c r="BC487" i="3"/>
  <c r="BD487" i="3"/>
  <c r="BE487" i="3"/>
  <c r="BF487" i="3"/>
  <c r="BG487" i="3"/>
  <c r="BH487" i="3"/>
  <c r="BI487" i="3"/>
  <c r="BJ487" i="3"/>
  <c r="BK487" i="3"/>
  <c r="BB488" i="3"/>
  <c r="BC488" i="3"/>
  <c r="BD488" i="3"/>
  <c r="BE488" i="3"/>
  <c r="BF488" i="3"/>
  <c r="BG488" i="3"/>
  <c r="BH488" i="3"/>
  <c r="BI488" i="3"/>
  <c r="BJ488" i="3"/>
  <c r="BK488" i="3"/>
  <c r="BA488" i="3"/>
  <c r="BB489" i="3"/>
  <c r="BC489" i="3"/>
  <c r="BD489" i="3"/>
  <c r="BE489" i="3"/>
  <c r="BF489" i="3"/>
  <c r="BG489" i="3"/>
  <c r="BH489" i="3"/>
  <c r="BI489" i="3"/>
  <c r="BJ489" i="3"/>
  <c r="BK489" i="3"/>
  <c r="BB490" i="3"/>
  <c r="BC490" i="3"/>
  <c r="BD490" i="3"/>
  <c r="BE490" i="3"/>
  <c r="BF490" i="3"/>
  <c r="BG490" i="3"/>
  <c r="BH490" i="3"/>
  <c r="BI490" i="3"/>
  <c r="BJ490" i="3"/>
  <c r="BK490" i="3"/>
  <c r="BA490" i="3"/>
  <c r="BB491" i="3"/>
  <c r="BC491" i="3"/>
  <c r="BD491" i="3"/>
  <c r="BE491" i="3"/>
  <c r="BF491" i="3"/>
  <c r="BG491" i="3"/>
  <c r="BH491" i="3"/>
  <c r="BI491" i="3"/>
  <c r="BJ491" i="3"/>
  <c r="BK491" i="3"/>
  <c r="BB492" i="3"/>
  <c r="BC492" i="3"/>
  <c r="BD492" i="3"/>
  <c r="BE492" i="3"/>
  <c r="BF492" i="3"/>
  <c r="BG492" i="3"/>
  <c r="BH492" i="3"/>
  <c r="BI492" i="3"/>
  <c r="BJ492" i="3"/>
  <c r="BK492" i="3"/>
  <c r="BA492" i="3"/>
  <c r="BB493" i="3"/>
  <c r="BC493" i="3"/>
  <c r="BD493" i="3"/>
  <c r="BE493" i="3"/>
  <c r="BF493" i="3"/>
  <c r="BG493" i="3"/>
  <c r="BH493" i="3"/>
  <c r="BI493" i="3"/>
  <c r="BJ493" i="3"/>
  <c r="BK493" i="3"/>
  <c r="BB494" i="3"/>
  <c r="BC494" i="3"/>
  <c r="BD494" i="3"/>
  <c r="BE494" i="3"/>
  <c r="BF494" i="3"/>
  <c r="BG494" i="3"/>
  <c r="BH494" i="3"/>
  <c r="BI494" i="3"/>
  <c r="BJ494" i="3"/>
  <c r="BK494" i="3"/>
  <c r="BA494" i="3"/>
  <c r="BB495" i="3"/>
  <c r="BC495" i="3"/>
  <c r="BD495" i="3"/>
  <c r="BE495" i="3"/>
  <c r="BF495" i="3"/>
  <c r="BG495" i="3"/>
  <c r="BH495" i="3"/>
  <c r="BI495" i="3"/>
  <c r="BJ495" i="3"/>
  <c r="BK495" i="3"/>
  <c r="BB496" i="3"/>
  <c r="BC496" i="3"/>
  <c r="BD496" i="3"/>
  <c r="BE496" i="3"/>
  <c r="BF496" i="3"/>
  <c r="BG496" i="3"/>
  <c r="BH496" i="3"/>
  <c r="BI496" i="3"/>
  <c r="BJ496" i="3"/>
  <c r="BK496" i="3"/>
  <c r="BA496" i="3"/>
  <c r="BB497" i="3"/>
  <c r="BC497" i="3"/>
  <c r="BD497" i="3"/>
  <c r="BE497" i="3"/>
  <c r="BF497" i="3"/>
  <c r="BG497" i="3"/>
  <c r="BH497" i="3"/>
  <c r="BI497" i="3"/>
  <c r="BJ497" i="3"/>
  <c r="BK497" i="3"/>
  <c r="BB498" i="3"/>
  <c r="BC498" i="3"/>
  <c r="BD498" i="3"/>
  <c r="BE498" i="3"/>
  <c r="BF498" i="3"/>
  <c r="BG498" i="3"/>
  <c r="BH498" i="3"/>
  <c r="BI498" i="3"/>
  <c r="BJ498" i="3"/>
  <c r="BK498" i="3"/>
  <c r="BA498" i="3"/>
  <c r="BB499" i="3"/>
  <c r="BC499" i="3"/>
  <c r="BD499" i="3"/>
  <c r="BE499" i="3"/>
  <c r="BF499" i="3"/>
  <c r="BG499" i="3"/>
  <c r="BH499" i="3"/>
  <c r="BI499" i="3"/>
  <c r="BJ499" i="3"/>
  <c r="BK499" i="3"/>
  <c r="BB500" i="3"/>
  <c r="BC500" i="3"/>
  <c r="BD500" i="3"/>
  <c r="BE500" i="3"/>
  <c r="BF500" i="3"/>
  <c r="BG500" i="3"/>
  <c r="BH500" i="3"/>
  <c r="BI500" i="3"/>
  <c r="BJ500" i="3"/>
  <c r="BK500" i="3"/>
  <c r="BA500" i="3"/>
  <c r="BB501" i="3"/>
  <c r="BC501" i="3"/>
  <c r="BD501" i="3"/>
  <c r="BE501" i="3"/>
  <c r="BF501" i="3"/>
  <c r="BG501" i="3"/>
  <c r="BH501" i="3"/>
  <c r="BI501" i="3"/>
  <c r="BJ501" i="3"/>
  <c r="BK501" i="3"/>
  <c r="BB502" i="3"/>
  <c r="BC502" i="3"/>
  <c r="BD502" i="3"/>
  <c r="BE502" i="3"/>
  <c r="BF502" i="3"/>
  <c r="BG502" i="3"/>
  <c r="BH502" i="3"/>
  <c r="BI502" i="3"/>
  <c r="BJ502" i="3"/>
  <c r="BK502" i="3"/>
  <c r="BA502" i="3"/>
  <c r="BB503" i="3"/>
  <c r="BC503" i="3"/>
  <c r="BD503" i="3"/>
  <c r="BE503" i="3"/>
  <c r="BF503" i="3"/>
  <c r="BG503" i="3"/>
  <c r="BH503" i="3"/>
  <c r="BI503" i="3"/>
  <c r="BJ503" i="3"/>
  <c r="BK503" i="3"/>
  <c r="BB504" i="3"/>
  <c r="BC504" i="3"/>
  <c r="BD504" i="3"/>
  <c r="BE504" i="3"/>
  <c r="BF504" i="3"/>
  <c r="BG504" i="3"/>
  <c r="BH504" i="3"/>
  <c r="BI504" i="3"/>
  <c r="BJ504" i="3"/>
  <c r="BK504" i="3"/>
  <c r="BA504" i="3"/>
  <c r="BB505" i="3"/>
  <c r="BC505" i="3"/>
  <c r="BD505" i="3"/>
  <c r="BE505" i="3"/>
  <c r="BF505" i="3"/>
  <c r="BG505" i="3"/>
  <c r="BH505" i="3"/>
  <c r="BI505" i="3"/>
  <c r="BJ505" i="3"/>
  <c r="BK505" i="3"/>
  <c r="BB506" i="3"/>
  <c r="BC506" i="3"/>
  <c r="BD506" i="3"/>
  <c r="BE506" i="3"/>
  <c r="BF506" i="3"/>
  <c r="BG506" i="3"/>
  <c r="BH506" i="3"/>
  <c r="BI506" i="3"/>
  <c r="BJ506" i="3"/>
  <c r="BK506" i="3"/>
  <c r="BA506" i="3"/>
  <c r="BB507" i="3"/>
  <c r="BC507" i="3"/>
  <c r="BD507" i="3"/>
  <c r="BE507" i="3"/>
  <c r="BF507" i="3"/>
  <c r="BG507" i="3"/>
  <c r="BH507" i="3"/>
  <c r="BI507" i="3"/>
  <c r="BJ507" i="3"/>
  <c r="BK507" i="3"/>
  <c r="BB508" i="3"/>
  <c r="BC508" i="3"/>
  <c r="BD508" i="3"/>
  <c r="BE508" i="3"/>
  <c r="BF508" i="3"/>
  <c r="BG508" i="3"/>
  <c r="BH508" i="3"/>
  <c r="BI508" i="3"/>
  <c r="BJ508" i="3"/>
  <c r="BK508" i="3"/>
  <c r="BA508" i="3"/>
  <c r="BB509" i="3"/>
  <c r="BC509" i="3"/>
  <c r="BD509" i="3"/>
  <c r="BE509" i="3"/>
  <c r="BF509" i="3"/>
  <c r="BG509" i="3"/>
  <c r="BH509" i="3"/>
  <c r="BI509" i="3"/>
  <c r="BJ509" i="3"/>
  <c r="BK509" i="3"/>
  <c r="BB510" i="3"/>
  <c r="BC510" i="3"/>
  <c r="BD510" i="3"/>
  <c r="BE510" i="3"/>
  <c r="BF510" i="3"/>
  <c r="BG510" i="3"/>
  <c r="BH510" i="3"/>
  <c r="BI510" i="3"/>
  <c r="BJ510" i="3"/>
  <c r="BK510" i="3"/>
  <c r="BA510" i="3"/>
  <c r="BB511" i="3"/>
  <c r="BC511" i="3"/>
  <c r="BD511" i="3"/>
  <c r="BE511" i="3"/>
  <c r="BF511" i="3"/>
  <c r="BG511" i="3"/>
  <c r="BH511" i="3"/>
  <c r="BI511" i="3"/>
  <c r="BJ511" i="3"/>
  <c r="BK511" i="3"/>
  <c r="BB512" i="3"/>
  <c r="BC512" i="3"/>
  <c r="BD512" i="3"/>
  <c r="BE512" i="3"/>
  <c r="BF512" i="3"/>
  <c r="BG512" i="3"/>
  <c r="BH512" i="3"/>
  <c r="BI512" i="3"/>
  <c r="BJ512" i="3"/>
  <c r="BK512" i="3"/>
  <c r="BA512" i="3"/>
  <c r="BB513" i="3"/>
  <c r="BC513" i="3"/>
  <c r="BD513" i="3"/>
  <c r="BE513" i="3"/>
  <c r="BF513" i="3"/>
  <c r="BG513" i="3"/>
  <c r="BH513" i="3"/>
  <c r="BI513" i="3"/>
  <c r="BJ513" i="3"/>
  <c r="BK513" i="3"/>
  <c r="BB514" i="3"/>
  <c r="BC514" i="3"/>
  <c r="BD514" i="3"/>
  <c r="BE514" i="3"/>
  <c r="BF514" i="3"/>
  <c r="BG514" i="3"/>
  <c r="BH514" i="3"/>
  <c r="BI514" i="3"/>
  <c r="BJ514" i="3"/>
  <c r="BK514" i="3"/>
  <c r="BA514" i="3"/>
  <c r="BB515" i="3"/>
  <c r="BC515" i="3"/>
  <c r="BD515" i="3"/>
  <c r="BE515" i="3"/>
  <c r="BF515" i="3"/>
  <c r="BG515" i="3"/>
  <c r="BH515" i="3"/>
  <c r="BI515" i="3"/>
  <c r="BJ515" i="3"/>
  <c r="BK515" i="3"/>
  <c r="BB516" i="3"/>
  <c r="BC516" i="3"/>
  <c r="BD516" i="3"/>
  <c r="BE516" i="3"/>
  <c r="BF516" i="3"/>
  <c r="BG516" i="3"/>
  <c r="BH516" i="3"/>
  <c r="BI516" i="3"/>
  <c r="BJ516" i="3"/>
  <c r="BK516" i="3"/>
  <c r="BA516" i="3"/>
  <c r="BB517" i="3"/>
  <c r="BC517" i="3"/>
  <c r="BD517" i="3"/>
  <c r="BE517" i="3"/>
  <c r="BF517" i="3"/>
  <c r="BG517" i="3"/>
  <c r="BH517" i="3"/>
  <c r="BI517" i="3"/>
  <c r="BJ517" i="3"/>
  <c r="BK517" i="3"/>
  <c r="BB518" i="3"/>
  <c r="BC518" i="3"/>
  <c r="BD518" i="3"/>
  <c r="BE518" i="3"/>
  <c r="BF518" i="3"/>
  <c r="BG518" i="3"/>
  <c r="BH518" i="3"/>
  <c r="BI518" i="3"/>
  <c r="BJ518" i="3"/>
  <c r="BK518" i="3"/>
  <c r="BA518" i="3"/>
  <c r="BB519" i="3"/>
  <c r="BC519" i="3"/>
  <c r="BD519" i="3"/>
  <c r="BE519" i="3"/>
  <c r="BF519" i="3"/>
  <c r="BG519" i="3"/>
  <c r="BH519" i="3"/>
  <c r="BI519" i="3"/>
  <c r="BJ519" i="3"/>
  <c r="BK519" i="3"/>
  <c r="BB520" i="3"/>
  <c r="BC520" i="3"/>
  <c r="BD520" i="3"/>
  <c r="BE520" i="3"/>
  <c r="BF520" i="3"/>
  <c r="BG520" i="3"/>
  <c r="BH520" i="3"/>
  <c r="BI520" i="3"/>
  <c r="BJ520" i="3"/>
  <c r="BK520" i="3"/>
  <c r="BA520" i="3"/>
  <c r="BB521" i="3"/>
  <c r="BC521" i="3"/>
  <c r="BD521" i="3"/>
  <c r="BE521" i="3"/>
  <c r="BF521" i="3"/>
  <c r="BG521" i="3"/>
  <c r="BH521" i="3"/>
  <c r="BI521" i="3"/>
  <c r="BJ521" i="3"/>
  <c r="BK521" i="3"/>
  <c r="BB522" i="3"/>
  <c r="BC522" i="3"/>
  <c r="BD522" i="3"/>
  <c r="BE522" i="3"/>
  <c r="BF522" i="3"/>
  <c r="BG522" i="3"/>
  <c r="BH522" i="3"/>
  <c r="BI522" i="3"/>
  <c r="BJ522" i="3"/>
  <c r="BK522" i="3"/>
  <c r="BA522" i="3"/>
  <c r="BB523" i="3"/>
  <c r="BC523" i="3"/>
  <c r="BD523" i="3"/>
  <c r="BE523" i="3"/>
  <c r="BF523" i="3"/>
  <c r="BG523" i="3"/>
  <c r="BH523" i="3"/>
  <c r="BI523" i="3"/>
  <c r="BJ523" i="3"/>
  <c r="BK523" i="3"/>
  <c r="BB524" i="3"/>
  <c r="BC524" i="3"/>
  <c r="BD524" i="3"/>
  <c r="BE524" i="3"/>
  <c r="BF524" i="3"/>
  <c r="BG524" i="3"/>
  <c r="BH524" i="3"/>
  <c r="BI524" i="3"/>
  <c r="BJ524" i="3"/>
  <c r="BK524" i="3"/>
  <c r="BA524" i="3"/>
  <c r="BB525" i="3"/>
  <c r="BC525" i="3"/>
  <c r="BD525" i="3"/>
  <c r="BE525" i="3"/>
  <c r="BF525" i="3"/>
  <c r="BG525" i="3"/>
  <c r="BH525" i="3"/>
  <c r="BI525" i="3"/>
  <c r="BJ525" i="3"/>
  <c r="BK525" i="3"/>
  <c r="BB526" i="3"/>
  <c r="BC526" i="3"/>
  <c r="BD526" i="3"/>
  <c r="BE526" i="3"/>
  <c r="BF526" i="3"/>
  <c r="BG526" i="3"/>
  <c r="BH526" i="3"/>
  <c r="BI526" i="3"/>
  <c r="BJ526" i="3"/>
  <c r="BK526" i="3"/>
  <c r="BA526" i="3"/>
  <c r="BB527" i="3"/>
  <c r="BC527" i="3"/>
  <c r="BD527" i="3"/>
  <c r="BE527" i="3"/>
  <c r="BF527" i="3"/>
  <c r="BG527" i="3"/>
  <c r="BH527" i="3"/>
  <c r="BI527" i="3"/>
  <c r="BJ527" i="3"/>
  <c r="BK527" i="3"/>
  <c r="BB528" i="3"/>
  <c r="BC528" i="3"/>
  <c r="BD528" i="3"/>
  <c r="BE528" i="3"/>
  <c r="BF528" i="3"/>
  <c r="BG528" i="3"/>
  <c r="BH528" i="3"/>
  <c r="BI528" i="3"/>
  <c r="BJ528" i="3"/>
  <c r="BK528" i="3"/>
  <c r="BA528" i="3"/>
  <c r="BB529" i="3"/>
  <c r="BC529" i="3"/>
  <c r="BD529" i="3"/>
  <c r="BE529" i="3"/>
  <c r="BF529" i="3"/>
  <c r="BG529" i="3"/>
  <c r="BH529" i="3"/>
  <c r="BI529" i="3"/>
  <c r="BJ529" i="3"/>
  <c r="BK529" i="3"/>
  <c r="BB530" i="3"/>
  <c r="BC530" i="3"/>
  <c r="BD530" i="3"/>
  <c r="BE530" i="3"/>
  <c r="BF530" i="3"/>
  <c r="BG530" i="3"/>
  <c r="BH530" i="3"/>
  <c r="BI530" i="3"/>
  <c r="BJ530" i="3"/>
  <c r="BK530" i="3"/>
  <c r="BA530" i="3"/>
  <c r="BB531" i="3"/>
  <c r="BC531" i="3"/>
  <c r="BD531" i="3"/>
  <c r="BE531" i="3"/>
  <c r="BF531" i="3"/>
  <c r="BG531" i="3"/>
  <c r="BH531" i="3"/>
  <c r="BI531" i="3"/>
  <c r="BJ531" i="3"/>
  <c r="BK531" i="3"/>
  <c r="BB532" i="3"/>
  <c r="BC532" i="3"/>
  <c r="BD532" i="3"/>
  <c r="BE532" i="3"/>
  <c r="BF532" i="3"/>
  <c r="BG532" i="3"/>
  <c r="BH532" i="3"/>
  <c r="BI532" i="3"/>
  <c r="BJ532" i="3"/>
  <c r="BK532" i="3"/>
  <c r="BA532" i="3"/>
  <c r="BB533" i="3"/>
  <c r="BC533" i="3"/>
  <c r="BD533" i="3"/>
  <c r="BE533" i="3"/>
  <c r="BF533" i="3"/>
  <c r="BG533" i="3"/>
  <c r="BH533" i="3"/>
  <c r="BI533" i="3"/>
  <c r="BJ533" i="3"/>
  <c r="BK533" i="3"/>
  <c r="BB534" i="3"/>
  <c r="BC534" i="3"/>
  <c r="BD534" i="3"/>
  <c r="BE534" i="3"/>
  <c r="BF534" i="3"/>
  <c r="BG534" i="3"/>
  <c r="BH534" i="3"/>
  <c r="BI534" i="3"/>
  <c r="BJ534" i="3"/>
  <c r="BK534" i="3"/>
  <c r="BA534" i="3"/>
  <c r="BB535" i="3"/>
  <c r="BC535" i="3"/>
  <c r="BD535" i="3"/>
  <c r="BE535" i="3"/>
  <c r="BF535" i="3"/>
  <c r="BG535" i="3"/>
  <c r="BH535" i="3"/>
  <c r="BI535" i="3"/>
  <c r="BJ535" i="3"/>
  <c r="BK535" i="3"/>
  <c r="BB536" i="3"/>
  <c r="BC536" i="3"/>
  <c r="BD536" i="3"/>
  <c r="BE536" i="3"/>
  <c r="BF536" i="3"/>
  <c r="BG536" i="3"/>
  <c r="BH536" i="3"/>
  <c r="BI536" i="3"/>
  <c r="BJ536" i="3"/>
  <c r="BK536" i="3"/>
  <c r="BA536" i="3"/>
  <c r="BB537" i="3"/>
  <c r="BC537" i="3"/>
  <c r="BD537" i="3"/>
  <c r="BE537" i="3"/>
  <c r="BF537" i="3"/>
  <c r="BG537" i="3"/>
  <c r="BH537" i="3"/>
  <c r="BI537" i="3"/>
  <c r="BJ537" i="3"/>
  <c r="BK537" i="3"/>
  <c r="BB538" i="3"/>
  <c r="BC538" i="3"/>
  <c r="BD538" i="3"/>
  <c r="BE538" i="3"/>
  <c r="BF538" i="3"/>
  <c r="BG538" i="3"/>
  <c r="BH538" i="3"/>
  <c r="BI538" i="3"/>
  <c r="BJ538" i="3"/>
  <c r="BK538" i="3"/>
  <c r="BA538" i="3"/>
  <c r="BB539" i="3"/>
  <c r="BC539" i="3"/>
  <c r="BD539" i="3"/>
  <c r="BE539" i="3"/>
  <c r="BF539" i="3"/>
  <c r="BG539" i="3"/>
  <c r="BH539" i="3"/>
  <c r="BI539" i="3"/>
  <c r="BJ539" i="3"/>
  <c r="BK539" i="3"/>
  <c r="BB540" i="3"/>
  <c r="BC540" i="3"/>
  <c r="BD540" i="3"/>
  <c r="BE540" i="3"/>
  <c r="BF540" i="3"/>
  <c r="BG540" i="3"/>
  <c r="BH540" i="3"/>
  <c r="BI540" i="3"/>
  <c r="BJ540" i="3"/>
  <c r="BK540" i="3"/>
  <c r="BA540" i="3"/>
  <c r="BB541" i="3"/>
  <c r="BC541" i="3"/>
  <c r="BD541" i="3"/>
  <c r="BE541" i="3"/>
  <c r="BF541" i="3"/>
  <c r="BG541" i="3"/>
  <c r="BH541" i="3"/>
  <c r="BI541" i="3"/>
  <c r="BJ541" i="3"/>
  <c r="BK541" i="3"/>
  <c r="BB542" i="3"/>
  <c r="BC542" i="3"/>
  <c r="BD542" i="3"/>
  <c r="BE542" i="3"/>
  <c r="BF542" i="3"/>
  <c r="BG542" i="3"/>
  <c r="BH542" i="3"/>
  <c r="BI542" i="3"/>
  <c r="BJ542" i="3"/>
  <c r="BK542" i="3"/>
  <c r="BA542" i="3"/>
  <c r="BB543" i="3"/>
  <c r="BC543" i="3"/>
  <c r="BD543" i="3"/>
  <c r="BE543" i="3"/>
  <c r="BF543" i="3"/>
  <c r="BG543" i="3"/>
  <c r="BH543" i="3"/>
  <c r="BI543" i="3"/>
  <c r="BJ543" i="3"/>
  <c r="BK543" i="3"/>
  <c r="BB544" i="3"/>
  <c r="BC544" i="3"/>
  <c r="BD544" i="3"/>
  <c r="BE544" i="3"/>
  <c r="BF544" i="3"/>
  <c r="BG544" i="3"/>
  <c r="BH544" i="3"/>
  <c r="BI544" i="3"/>
  <c r="BJ544" i="3"/>
  <c r="BK544" i="3"/>
  <c r="BA544" i="3"/>
  <c r="BB545" i="3"/>
  <c r="BC545" i="3"/>
  <c r="BD545" i="3"/>
  <c r="BE545" i="3"/>
  <c r="BF545" i="3"/>
  <c r="BG545" i="3"/>
  <c r="BH545" i="3"/>
  <c r="BI545" i="3"/>
  <c r="BJ545" i="3"/>
  <c r="BK545" i="3"/>
  <c r="BB546" i="3"/>
  <c r="BC546" i="3"/>
  <c r="BD546" i="3"/>
  <c r="BE546" i="3"/>
  <c r="BF546" i="3"/>
  <c r="BG546" i="3"/>
  <c r="BH546" i="3"/>
  <c r="BI546" i="3"/>
  <c r="BJ546" i="3"/>
  <c r="BK546" i="3"/>
  <c r="BA546" i="3"/>
  <c r="BB547" i="3"/>
  <c r="BC547" i="3"/>
  <c r="BD547" i="3"/>
  <c r="BE547" i="3"/>
  <c r="BF547" i="3"/>
  <c r="BG547" i="3"/>
  <c r="BH547" i="3"/>
  <c r="BI547" i="3"/>
  <c r="BJ547" i="3"/>
  <c r="BK547" i="3"/>
  <c r="BB548" i="3"/>
  <c r="BC548" i="3"/>
  <c r="BD548" i="3"/>
  <c r="BE548" i="3"/>
  <c r="BF548" i="3"/>
  <c r="BG548" i="3"/>
  <c r="BH548" i="3"/>
  <c r="BI548" i="3"/>
  <c r="BJ548" i="3"/>
  <c r="BK548" i="3"/>
  <c r="BA548" i="3"/>
  <c r="BB549" i="3"/>
  <c r="BC549" i="3"/>
  <c r="BD549" i="3"/>
  <c r="BE549" i="3"/>
  <c r="BF549" i="3"/>
  <c r="BG549" i="3"/>
  <c r="BH549" i="3"/>
  <c r="BI549" i="3"/>
  <c r="BJ549" i="3"/>
  <c r="BK549" i="3"/>
  <c r="BB550" i="3"/>
  <c r="BC550" i="3"/>
  <c r="BD550" i="3"/>
  <c r="BE550" i="3"/>
  <c r="BF550" i="3"/>
  <c r="BG550" i="3"/>
  <c r="BH550" i="3"/>
  <c r="BI550" i="3"/>
  <c r="BJ550" i="3"/>
  <c r="BK550" i="3"/>
  <c r="BA550" i="3"/>
  <c r="BB551" i="3"/>
  <c r="BC551" i="3"/>
  <c r="BD551" i="3"/>
  <c r="BE551" i="3"/>
  <c r="BF551" i="3"/>
  <c r="BG551" i="3"/>
  <c r="BH551" i="3"/>
  <c r="BI551" i="3"/>
  <c r="BJ551" i="3"/>
  <c r="BK551" i="3"/>
  <c r="BB552" i="3"/>
  <c r="BC552" i="3"/>
  <c r="BD552" i="3"/>
  <c r="BE552" i="3"/>
  <c r="BF552" i="3"/>
  <c r="BG552" i="3"/>
  <c r="BH552" i="3"/>
  <c r="BI552" i="3"/>
  <c r="BJ552" i="3"/>
  <c r="BK552" i="3"/>
  <c r="BA552" i="3"/>
  <c r="BB553" i="3"/>
  <c r="BC553" i="3"/>
  <c r="BD553" i="3"/>
  <c r="BE553" i="3"/>
  <c r="BF553" i="3"/>
  <c r="BG553" i="3"/>
  <c r="BH553" i="3"/>
  <c r="BI553" i="3"/>
  <c r="BJ553" i="3"/>
  <c r="BK553" i="3"/>
  <c r="BB554" i="3"/>
  <c r="BC554" i="3"/>
  <c r="BD554" i="3"/>
  <c r="BE554" i="3"/>
  <c r="BF554" i="3"/>
  <c r="BG554" i="3"/>
  <c r="BH554" i="3"/>
  <c r="BI554" i="3"/>
  <c r="BJ554" i="3"/>
  <c r="BK554" i="3"/>
  <c r="BA554" i="3"/>
  <c r="BB555" i="3"/>
  <c r="BC555" i="3"/>
  <c r="BD555" i="3"/>
  <c r="BE555" i="3"/>
  <c r="BF555" i="3"/>
  <c r="BG555" i="3"/>
  <c r="BH555" i="3"/>
  <c r="BI555" i="3"/>
  <c r="BJ555" i="3"/>
  <c r="BK555" i="3"/>
  <c r="BB556" i="3"/>
  <c r="BC556" i="3"/>
  <c r="BD556" i="3"/>
  <c r="BE556" i="3"/>
  <c r="BF556" i="3"/>
  <c r="BG556" i="3"/>
  <c r="BH556" i="3"/>
  <c r="BI556" i="3"/>
  <c r="BJ556" i="3"/>
  <c r="BK556" i="3"/>
  <c r="BA556" i="3"/>
  <c r="BB557" i="3"/>
  <c r="BC557" i="3"/>
  <c r="BD557" i="3"/>
  <c r="BE557" i="3"/>
  <c r="BF557" i="3"/>
  <c r="BG557" i="3"/>
  <c r="BH557" i="3"/>
  <c r="BI557" i="3"/>
  <c r="BJ557" i="3"/>
  <c r="BK557" i="3"/>
  <c r="BB558" i="3"/>
  <c r="BC558" i="3"/>
  <c r="BD558" i="3"/>
  <c r="BE558" i="3"/>
  <c r="BF558" i="3"/>
  <c r="BG558" i="3"/>
  <c r="BH558" i="3"/>
  <c r="BI558" i="3"/>
  <c r="BJ558" i="3"/>
  <c r="BK558" i="3"/>
  <c r="BA558" i="3"/>
  <c r="BB559" i="3"/>
  <c r="BC559" i="3"/>
  <c r="BD559" i="3"/>
  <c r="BE559" i="3"/>
  <c r="BF559" i="3"/>
  <c r="BG559" i="3"/>
  <c r="BH559" i="3"/>
  <c r="BI559" i="3"/>
  <c r="BJ559" i="3"/>
  <c r="BK559" i="3"/>
  <c r="BB560" i="3"/>
  <c r="BC560" i="3"/>
  <c r="BD560" i="3"/>
  <c r="BE560" i="3"/>
  <c r="BF560" i="3"/>
  <c r="BG560" i="3"/>
  <c r="BH560" i="3"/>
  <c r="BI560" i="3"/>
  <c r="BJ560" i="3"/>
  <c r="BK560" i="3"/>
  <c r="BA560" i="3"/>
  <c r="BB561" i="3"/>
  <c r="BC561" i="3"/>
  <c r="BD561" i="3"/>
  <c r="BE561" i="3"/>
  <c r="BF561" i="3"/>
  <c r="BG561" i="3"/>
  <c r="BH561" i="3"/>
  <c r="BI561" i="3"/>
  <c r="BJ561" i="3"/>
  <c r="BK561" i="3"/>
  <c r="BB562" i="3"/>
  <c r="BC562" i="3"/>
  <c r="BD562" i="3"/>
  <c r="BE562" i="3"/>
  <c r="BF562" i="3"/>
  <c r="BG562" i="3"/>
  <c r="BH562" i="3"/>
  <c r="BI562" i="3"/>
  <c r="BJ562" i="3"/>
  <c r="BK562" i="3"/>
  <c r="BA562" i="3"/>
  <c r="BB563" i="3"/>
  <c r="BC563" i="3"/>
  <c r="BD563" i="3"/>
  <c r="BE563" i="3"/>
  <c r="BF563" i="3"/>
  <c r="BG563" i="3"/>
  <c r="BH563" i="3"/>
  <c r="BI563" i="3"/>
  <c r="BJ563" i="3"/>
  <c r="BK563" i="3"/>
  <c r="BB564" i="3"/>
  <c r="BC564" i="3"/>
  <c r="BD564" i="3"/>
  <c r="BE564" i="3"/>
  <c r="BF564" i="3"/>
  <c r="BG564" i="3"/>
  <c r="BH564" i="3"/>
  <c r="BI564" i="3"/>
  <c r="BJ564" i="3"/>
  <c r="BK564" i="3"/>
  <c r="BA564" i="3"/>
  <c r="BB565" i="3"/>
  <c r="BC565" i="3"/>
  <c r="BD565" i="3"/>
  <c r="BE565" i="3"/>
  <c r="BF565" i="3"/>
  <c r="BG565" i="3"/>
  <c r="BH565" i="3"/>
  <c r="BI565" i="3"/>
  <c r="BJ565" i="3"/>
  <c r="BK565" i="3"/>
  <c r="BB566" i="3"/>
  <c r="BC566" i="3"/>
  <c r="BD566" i="3"/>
  <c r="BE566" i="3"/>
  <c r="BF566" i="3"/>
  <c r="BG566" i="3"/>
  <c r="BH566" i="3"/>
  <c r="BI566" i="3"/>
  <c r="BJ566" i="3"/>
  <c r="BK566" i="3"/>
  <c r="BA566" i="3"/>
  <c r="BB567" i="3"/>
  <c r="BC567" i="3"/>
  <c r="BD567" i="3"/>
  <c r="BE567" i="3"/>
  <c r="BF567" i="3"/>
  <c r="BG567" i="3"/>
  <c r="BH567" i="3"/>
  <c r="BI567" i="3"/>
  <c r="BJ567" i="3"/>
  <c r="BK567" i="3"/>
  <c r="BB568" i="3"/>
  <c r="BC568" i="3"/>
  <c r="BD568" i="3"/>
  <c r="BE568" i="3"/>
  <c r="BF568" i="3"/>
  <c r="BG568" i="3"/>
  <c r="BH568" i="3"/>
  <c r="BI568" i="3"/>
  <c r="BJ568" i="3"/>
  <c r="BK568" i="3"/>
  <c r="BA568" i="3"/>
  <c r="BB569" i="3"/>
  <c r="BC569" i="3"/>
  <c r="BD569" i="3"/>
  <c r="BE569" i="3"/>
  <c r="BF569" i="3"/>
  <c r="BG569" i="3"/>
  <c r="BH569" i="3"/>
  <c r="BI569" i="3"/>
  <c r="BJ569" i="3"/>
  <c r="BK569" i="3"/>
  <c r="BB570" i="3"/>
  <c r="BC570" i="3"/>
  <c r="BD570" i="3"/>
  <c r="BE570" i="3"/>
  <c r="BF570" i="3"/>
  <c r="BG570" i="3"/>
  <c r="BH570" i="3"/>
  <c r="BI570" i="3"/>
  <c r="BJ570" i="3"/>
  <c r="BK570" i="3"/>
  <c r="BA570" i="3"/>
  <c r="BB571" i="3"/>
  <c r="BC571" i="3"/>
  <c r="BD571" i="3"/>
  <c r="BE571" i="3"/>
  <c r="BF571" i="3"/>
  <c r="BG571" i="3"/>
  <c r="BH571" i="3"/>
  <c r="BI571" i="3"/>
  <c r="BJ571" i="3"/>
  <c r="BK571" i="3"/>
  <c r="BB572" i="3"/>
  <c r="BC572" i="3"/>
  <c r="BD572" i="3"/>
  <c r="BE572" i="3"/>
  <c r="BF572" i="3"/>
  <c r="BG572" i="3"/>
  <c r="BH572" i="3"/>
  <c r="BI572" i="3"/>
  <c r="BJ572" i="3"/>
  <c r="BK572" i="3"/>
  <c r="BA572" i="3"/>
  <c r="BB573" i="3"/>
  <c r="BC573" i="3"/>
  <c r="BD573" i="3"/>
  <c r="BE573" i="3"/>
  <c r="BF573" i="3"/>
  <c r="BG573" i="3"/>
  <c r="BH573" i="3"/>
  <c r="BI573" i="3"/>
  <c r="BJ573" i="3"/>
  <c r="BK573" i="3"/>
  <c r="BB574" i="3"/>
  <c r="BC574" i="3"/>
  <c r="BD574" i="3"/>
  <c r="BE574" i="3"/>
  <c r="BF574" i="3"/>
  <c r="BG574" i="3"/>
  <c r="BH574" i="3"/>
  <c r="BI574" i="3"/>
  <c r="BJ574" i="3"/>
  <c r="BK574" i="3"/>
  <c r="BA574" i="3"/>
  <c r="BB575" i="3"/>
  <c r="BC575" i="3"/>
  <c r="BD575" i="3"/>
  <c r="BE575" i="3"/>
  <c r="BF575" i="3"/>
  <c r="BG575" i="3"/>
  <c r="BH575" i="3"/>
  <c r="BI575" i="3"/>
  <c r="BJ575" i="3"/>
  <c r="BK575" i="3"/>
  <c r="BB576" i="3"/>
  <c r="BC576" i="3"/>
  <c r="BD576" i="3"/>
  <c r="BE576" i="3"/>
  <c r="BF576" i="3"/>
  <c r="BG576" i="3"/>
  <c r="BH576" i="3"/>
  <c r="BI576" i="3"/>
  <c r="BJ576" i="3"/>
  <c r="BK576" i="3"/>
  <c r="BA576" i="3"/>
  <c r="BB577" i="3"/>
  <c r="BC577" i="3"/>
  <c r="BD577" i="3"/>
  <c r="BE577" i="3"/>
  <c r="BF577" i="3"/>
  <c r="BG577" i="3"/>
  <c r="BH577" i="3"/>
  <c r="BI577" i="3"/>
  <c r="BJ577" i="3"/>
  <c r="BK577" i="3"/>
  <c r="BB578" i="3"/>
  <c r="BC578" i="3"/>
  <c r="BD578" i="3"/>
  <c r="BE578" i="3"/>
  <c r="BF578" i="3"/>
  <c r="BG578" i="3"/>
  <c r="BH578" i="3"/>
  <c r="BI578" i="3"/>
  <c r="BJ578" i="3"/>
  <c r="BK578" i="3"/>
  <c r="BA578" i="3"/>
  <c r="BB579" i="3"/>
  <c r="BC579" i="3"/>
  <c r="BD579" i="3"/>
  <c r="BE579" i="3"/>
  <c r="BF579" i="3"/>
  <c r="BG579" i="3"/>
  <c r="BH579" i="3"/>
  <c r="BI579" i="3"/>
  <c r="BJ579" i="3"/>
  <c r="BK579" i="3"/>
  <c r="BB580" i="3"/>
  <c r="BC580" i="3"/>
  <c r="BD580" i="3"/>
  <c r="BE580" i="3"/>
  <c r="BF580" i="3"/>
  <c r="BG580" i="3"/>
  <c r="BH580" i="3"/>
  <c r="BI580" i="3"/>
  <c r="BJ580" i="3"/>
  <c r="BK580" i="3"/>
  <c r="BA580" i="3"/>
  <c r="BB581" i="3"/>
  <c r="BC581" i="3"/>
  <c r="BD581" i="3"/>
  <c r="BE581" i="3"/>
  <c r="BF581" i="3"/>
  <c r="BG581" i="3"/>
  <c r="BH581" i="3"/>
  <c r="BI581" i="3"/>
  <c r="BJ581" i="3"/>
  <c r="BK581" i="3"/>
  <c r="BB582" i="3"/>
  <c r="BC582" i="3"/>
  <c r="BD582" i="3"/>
  <c r="BE582" i="3"/>
  <c r="BF582" i="3"/>
  <c r="BG582" i="3"/>
  <c r="BH582" i="3"/>
  <c r="BI582" i="3"/>
  <c r="BJ582" i="3"/>
  <c r="BK582" i="3"/>
  <c r="BA582" i="3"/>
  <c r="BB583" i="3"/>
  <c r="BC583" i="3"/>
  <c r="BD583" i="3"/>
  <c r="BE583" i="3"/>
  <c r="BF583" i="3"/>
  <c r="BG583" i="3"/>
  <c r="BH583" i="3"/>
  <c r="BI583" i="3"/>
  <c r="BJ583" i="3"/>
  <c r="BK583" i="3"/>
  <c r="BB584" i="3"/>
  <c r="BC584" i="3"/>
  <c r="BD584" i="3"/>
  <c r="BE584" i="3"/>
  <c r="BF584" i="3"/>
  <c r="BG584" i="3"/>
  <c r="BH584" i="3"/>
  <c r="BI584" i="3"/>
  <c r="BJ584" i="3"/>
  <c r="BK584" i="3"/>
  <c r="BA584" i="3"/>
  <c r="BB585" i="3"/>
  <c r="BC585" i="3"/>
  <c r="BD585" i="3"/>
  <c r="BE585" i="3"/>
  <c r="BF585" i="3"/>
  <c r="BG585" i="3"/>
  <c r="BH585" i="3"/>
  <c r="BI585" i="3"/>
  <c r="BJ585" i="3"/>
  <c r="BK585" i="3"/>
  <c r="BB586" i="3"/>
  <c r="BC586" i="3"/>
  <c r="BD586" i="3"/>
  <c r="BE586" i="3"/>
  <c r="BF586" i="3"/>
  <c r="BG586" i="3"/>
  <c r="BH586" i="3"/>
  <c r="BI586" i="3"/>
  <c r="BJ586" i="3"/>
  <c r="BK586" i="3"/>
  <c r="BA586" i="3"/>
  <c r="BB587" i="3"/>
  <c r="BC587" i="3"/>
  <c r="BD587" i="3"/>
  <c r="BE587" i="3"/>
  <c r="BF587" i="3"/>
  <c r="BG587" i="3"/>
  <c r="BH587" i="3"/>
  <c r="BI587" i="3"/>
  <c r="BJ587" i="3"/>
  <c r="BK587"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C1" i="73"/>
  <c r="J1" i="73" s="1"/>
  <c r="J20" i="79"/>
  <c r="F15" i="4"/>
  <c r="F8" i="1"/>
  <c r="F9" i="1"/>
  <c r="I20" i="79"/>
  <c r="G2" i="79"/>
  <c r="G17" i="79" s="1"/>
  <c r="I2" i="79"/>
  <c r="M2" i="79" s="1"/>
  <c r="C6" i="79"/>
  <c r="H17" i="79"/>
  <c r="I17" i="79"/>
  <c r="J17" i="79"/>
  <c r="C17" i="79"/>
  <c r="C18" i="79"/>
  <c r="B2" i="1"/>
  <c r="N8" i="71"/>
  <c r="B8" i="71" s="1"/>
  <c r="N7" i="71"/>
  <c r="N6" i="71"/>
  <c r="N5" i="71"/>
  <c r="O8" i="71"/>
  <c r="C8" i="71" s="1"/>
  <c r="O7" i="71"/>
  <c r="O6" i="71"/>
  <c r="O5" i="71"/>
  <c r="P8" i="71"/>
  <c r="E8" i="71"/>
  <c r="P7" i="71"/>
  <c r="E7" i="71"/>
  <c r="P6" i="71"/>
  <c r="E6" i="71"/>
  <c r="P5" i="71"/>
  <c r="E5" i="71"/>
  <c r="Q8" i="71"/>
  <c r="F8" i="71"/>
  <c r="Q7" i="71"/>
  <c r="F7" i="71"/>
  <c r="Q6" i="71"/>
  <c r="F6" i="71"/>
  <c r="Q5" i="71"/>
  <c r="F5" i="71"/>
  <c r="D9" i="71"/>
  <c r="N12" i="71"/>
  <c r="B12" i="71"/>
  <c r="N11" i="71"/>
  <c r="B11" i="71"/>
  <c r="N10" i="71"/>
  <c r="B10" i="71"/>
  <c r="O12" i="71"/>
  <c r="C12" i="71"/>
  <c r="D12" i="71" s="1"/>
  <c r="O11" i="71"/>
  <c r="C11" i="71"/>
  <c r="O10" i="71"/>
  <c r="C10" i="71"/>
  <c r="D10" i="71" s="1"/>
  <c r="P12" i="71"/>
  <c r="E12" i="71" s="1"/>
  <c r="E11" i="71" s="1"/>
  <c r="P11" i="71"/>
  <c r="P10" i="71"/>
  <c r="Q12" i="71"/>
  <c r="F12" i="71" s="1"/>
  <c r="Q11" i="71"/>
  <c r="Q10" i="71"/>
  <c r="D11" i="71"/>
  <c r="D13" i="71"/>
  <c r="N13" i="71"/>
  <c r="B14" i="71"/>
  <c r="O13" i="71"/>
  <c r="C14" i="71"/>
  <c r="P13" i="71"/>
  <c r="E14" i="71" s="1"/>
  <c r="Q13" i="71"/>
  <c r="F14" i="71" s="1"/>
  <c r="N14" i="71"/>
  <c r="O14" i="71"/>
  <c r="P14" i="71"/>
  <c r="E15" i="71"/>
  <c r="E16" i="71" s="1"/>
  <c r="Q14" i="71"/>
  <c r="F15" i="71"/>
  <c r="N15" i="71"/>
  <c r="O15" i="71"/>
  <c r="P15" i="71"/>
  <c r="Q15" i="71"/>
  <c r="D17" i="71"/>
  <c r="N17" i="71"/>
  <c r="B18" i="71"/>
  <c r="O17" i="71"/>
  <c r="C18" i="71"/>
  <c r="P17" i="71"/>
  <c r="E18" i="71" s="1"/>
  <c r="Q17" i="71"/>
  <c r="F18" i="71" s="1"/>
  <c r="N18" i="71"/>
  <c r="O18" i="71"/>
  <c r="P18" i="71"/>
  <c r="E19" i="71"/>
  <c r="E20" i="71" s="1"/>
  <c r="Q18" i="71"/>
  <c r="F19" i="71"/>
  <c r="N19" i="71"/>
  <c r="O19" i="71"/>
  <c r="P19" i="71"/>
  <c r="Q19" i="71"/>
  <c r="D21" i="71"/>
  <c r="N21" i="71"/>
  <c r="B22" i="71"/>
  <c r="O21" i="71"/>
  <c r="C22" i="71"/>
  <c r="P21" i="71"/>
  <c r="E22" i="71" s="1"/>
  <c r="Q21" i="71"/>
  <c r="F22" i="71" s="1"/>
  <c r="N22" i="71"/>
  <c r="O22" i="71"/>
  <c r="P22" i="71"/>
  <c r="E23" i="71"/>
  <c r="E24" i="71" s="1"/>
  <c r="Q22" i="71"/>
  <c r="F23" i="71"/>
  <c r="N23" i="71"/>
  <c r="O23" i="71"/>
  <c r="P23" i="71"/>
  <c r="Q23" i="71"/>
  <c r="BB10" i="3"/>
  <c r="BC10" i="3"/>
  <c r="BD10" i="3"/>
  <c r="BE10" i="3"/>
  <c r="BF10" i="3"/>
  <c r="BG10" i="3"/>
  <c r="BH10" i="3"/>
  <c r="BI10" i="3"/>
  <c r="BJ10" i="3"/>
  <c r="BK10" i="3"/>
  <c r="BE5" i="3"/>
  <c r="BI5" i="3"/>
  <c r="BL193" i="3"/>
  <c r="BL194" i="3"/>
  <c r="AZ194" i="3" s="1"/>
  <c r="BL195" i="3"/>
  <c r="BL196" i="3"/>
  <c r="AZ196" i="3" s="1"/>
  <c r="BL197" i="3"/>
  <c r="BL198" i="3"/>
  <c r="AZ198" i="3" s="1"/>
  <c r="BL199" i="3"/>
  <c r="BL200" i="3"/>
  <c r="AZ200" i="3" s="1"/>
  <c r="BL201" i="3"/>
  <c r="BL202" i="3"/>
  <c r="AZ202" i="3" s="1"/>
  <c r="BL203" i="3"/>
  <c r="BL204" i="3"/>
  <c r="AZ204" i="3" s="1"/>
  <c r="BL205" i="3"/>
  <c r="BL206" i="3"/>
  <c r="AZ206" i="3" s="1"/>
  <c r="BL207" i="3"/>
  <c r="BL208" i="3"/>
  <c r="AZ208" i="3" s="1"/>
  <c r="BL209" i="3"/>
  <c r="BL210" i="3"/>
  <c r="AZ210" i="3" s="1"/>
  <c r="BL211" i="3"/>
  <c r="BL212" i="3"/>
  <c r="AZ212" i="3" s="1"/>
  <c r="BL213" i="3"/>
  <c r="BL214" i="3"/>
  <c r="AZ214" i="3" s="1"/>
  <c r="BL215" i="3"/>
  <c r="BL216" i="3"/>
  <c r="AZ216" i="3" s="1"/>
  <c r="BL217" i="3"/>
  <c r="BL218" i="3"/>
  <c r="AZ218" i="3" s="1"/>
  <c r="BL219" i="3"/>
  <c r="BL220" i="3"/>
  <c r="AZ220" i="3" s="1"/>
  <c r="BL221" i="3"/>
  <c r="BL222" i="3"/>
  <c r="AZ222" i="3" s="1"/>
  <c r="BL223" i="3"/>
  <c r="BL224" i="3"/>
  <c r="AZ224" i="3" s="1"/>
  <c r="BL225" i="3"/>
  <c r="BL226" i="3"/>
  <c r="AZ226" i="3" s="1"/>
  <c r="BL227" i="3"/>
  <c r="BL228" i="3"/>
  <c r="AZ228" i="3" s="1"/>
  <c r="BL229" i="3"/>
  <c r="BL230" i="3"/>
  <c r="AZ230" i="3" s="1"/>
  <c r="BL231" i="3"/>
  <c r="BL232" i="3"/>
  <c r="AZ232" i="3" s="1"/>
  <c r="BL233" i="3"/>
  <c r="BL234" i="3"/>
  <c r="AZ234" i="3" s="1"/>
  <c r="BL235" i="3"/>
  <c r="BL236" i="3"/>
  <c r="AZ236" i="3" s="1"/>
  <c r="BL237" i="3"/>
  <c r="BL238" i="3"/>
  <c r="AZ238" i="3" s="1"/>
  <c r="BL239" i="3"/>
  <c r="BL240" i="3"/>
  <c r="AZ240" i="3" s="1"/>
  <c r="BL241" i="3"/>
  <c r="BL242" i="3"/>
  <c r="AZ242" i="3" s="1"/>
  <c r="BL243" i="3"/>
  <c r="BL244" i="3"/>
  <c r="AZ244" i="3" s="1"/>
  <c r="BL245" i="3"/>
  <c r="BL246" i="3"/>
  <c r="AZ246" i="3" s="1"/>
  <c r="BL247" i="3"/>
  <c r="BL248" i="3"/>
  <c r="AZ248" i="3" s="1"/>
  <c r="BL249" i="3"/>
  <c r="BL250" i="3"/>
  <c r="AZ250" i="3" s="1"/>
  <c r="BL251" i="3"/>
  <c r="BL252" i="3"/>
  <c r="AZ252" i="3" s="1"/>
  <c r="BL253" i="3"/>
  <c r="BL254" i="3"/>
  <c r="AZ254" i="3" s="1"/>
  <c r="BL255" i="3"/>
  <c r="BL256" i="3"/>
  <c r="AZ256" i="3" s="1"/>
  <c r="BL257" i="3"/>
  <c r="BL258" i="3"/>
  <c r="AZ258" i="3" s="1"/>
  <c r="BL259" i="3"/>
  <c r="BL260" i="3"/>
  <c r="AZ260" i="3" s="1"/>
  <c r="BL261" i="3"/>
  <c r="BL262" i="3"/>
  <c r="AZ262" i="3" s="1"/>
  <c r="BL263" i="3"/>
  <c r="BL264" i="3"/>
  <c r="AZ264" i="3" s="1"/>
  <c r="BL265" i="3"/>
  <c r="BL266" i="3"/>
  <c r="AZ266" i="3" s="1"/>
  <c r="BL267" i="3"/>
  <c r="BL268" i="3"/>
  <c r="AZ268" i="3" s="1"/>
  <c r="BL269" i="3"/>
  <c r="BL270" i="3"/>
  <c r="AZ270" i="3" s="1"/>
  <c r="BL271" i="3"/>
  <c r="BL272" i="3"/>
  <c r="AZ272" i="3" s="1"/>
  <c r="BL273" i="3"/>
  <c r="BL274" i="3"/>
  <c r="AZ274" i="3" s="1"/>
  <c r="BL275" i="3"/>
  <c r="BL276" i="3"/>
  <c r="AZ276" i="3" s="1"/>
  <c r="BL277" i="3"/>
  <c r="BL278" i="3"/>
  <c r="AZ278" i="3" s="1"/>
  <c r="BL279" i="3"/>
  <c r="BL280" i="3"/>
  <c r="AZ280" i="3" s="1"/>
  <c r="BL281" i="3"/>
  <c r="BL282" i="3"/>
  <c r="AZ282" i="3" s="1"/>
  <c r="BL283" i="3"/>
  <c r="BL284" i="3"/>
  <c r="AZ284" i="3" s="1"/>
  <c r="BL285" i="3"/>
  <c r="BL286" i="3"/>
  <c r="AZ286" i="3" s="1"/>
  <c r="BL287" i="3"/>
  <c r="BL288" i="3"/>
  <c r="AZ288" i="3" s="1"/>
  <c r="BL289" i="3"/>
  <c r="BL290" i="3"/>
  <c r="AZ290" i="3" s="1"/>
  <c r="BL291" i="3"/>
  <c r="BL292" i="3"/>
  <c r="AZ292" i="3" s="1"/>
  <c r="BL293" i="3"/>
  <c r="BL294" i="3"/>
  <c r="AZ294" i="3" s="1"/>
  <c r="BL295" i="3"/>
  <c r="BL296" i="3"/>
  <c r="AZ296" i="3" s="1"/>
  <c r="BL297" i="3"/>
  <c r="BL298" i="3"/>
  <c r="AZ298" i="3" s="1"/>
  <c r="BL299" i="3"/>
  <c r="BL300" i="3"/>
  <c r="AZ300" i="3" s="1"/>
  <c r="BL301" i="3"/>
  <c r="BL302" i="3"/>
  <c r="AZ302" i="3" s="1"/>
  <c r="BL303" i="3"/>
  <c r="BL304" i="3"/>
  <c r="AZ304" i="3" s="1"/>
  <c r="BL305" i="3"/>
  <c r="BL306" i="3"/>
  <c r="AZ306" i="3" s="1"/>
  <c r="BL307" i="3"/>
  <c r="BL308" i="3"/>
  <c r="AZ308" i="3" s="1"/>
  <c r="BL309" i="3"/>
  <c r="BL310" i="3"/>
  <c r="AZ310" i="3" s="1"/>
  <c r="BL311" i="3"/>
  <c r="BL312" i="3"/>
  <c r="AZ312" i="3" s="1"/>
  <c r="BL313" i="3"/>
  <c r="BL314" i="3"/>
  <c r="AZ314" i="3" s="1"/>
  <c r="BL315" i="3"/>
  <c r="BL316" i="3"/>
  <c r="AZ316" i="3" s="1"/>
  <c r="BL317" i="3"/>
  <c r="BL318" i="3"/>
  <c r="AZ318" i="3" s="1"/>
  <c r="BL319" i="3"/>
  <c r="BL320" i="3"/>
  <c r="AZ320" i="3" s="1"/>
  <c r="BL321" i="3"/>
  <c r="BL322" i="3"/>
  <c r="AZ322" i="3" s="1"/>
  <c r="BL323" i="3"/>
  <c r="BL324" i="3"/>
  <c r="AZ324" i="3" s="1"/>
  <c r="BL325" i="3"/>
  <c r="BL326" i="3"/>
  <c r="AZ326" i="3" s="1"/>
  <c r="BL327" i="3"/>
  <c r="BL328" i="3"/>
  <c r="AZ328" i="3" s="1"/>
  <c r="BL329" i="3"/>
  <c r="BL330" i="3"/>
  <c r="AZ330" i="3" s="1"/>
  <c r="BL331" i="3"/>
  <c r="BL332" i="3"/>
  <c r="AZ332" i="3" s="1"/>
  <c r="BL333" i="3"/>
  <c r="BL334" i="3"/>
  <c r="AZ334" i="3" s="1"/>
  <c r="BL335" i="3"/>
  <c r="BL336" i="3"/>
  <c r="AZ336" i="3" s="1"/>
  <c r="BL337" i="3"/>
  <c r="BL338" i="3"/>
  <c r="AZ338" i="3" s="1"/>
  <c r="BL339" i="3"/>
  <c r="BL340" i="3"/>
  <c r="AZ340" i="3" s="1"/>
  <c r="BL341" i="3"/>
  <c r="BL342" i="3"/>
  <c r="AZ342" i="3" s="1"/>
  <c r="BL343" i="3"/>
  <c r="BL344" i="3"/>
  <c r="AZ344" i="3" s="1"/>
  <c r="BL345" i="3"/>
  <c r="BL346" i="3"/>
  <c r="AZ346" i="3" s="1"/>
  <c r="BL347" i="3"/>
  <c r="BL348" i="3"/>
  <c r="AZ348" i="3" s="1"/>
  <c r="BL349" i="3"/>
  <c r="BL350" i="3"/>
  <c r="AZ350" i="3" s="1"/>
  <c r="BL351" i="3"/>
  <c r="BL352" i="3"/>
  <c r="AZ352" i="3" s="1"/>
  <c r="BL353" i="3"/>
  <c r="BL354" i="3"/>
  <c r="AZ354" i="3" s="1"/>
  <c r="BL355" i="3"/>
  <c r="BL356" i="3"/>
  <c r="AZ356" i="3" s="1"/>
  <c r="BL357" i="3"/>
  <c r="BL358" i="3"/>
  <c r="AZ358" i="3" s="1"/>
  <c r="BL359" i="3"/>
  <c r="BL360" i="3"/>
  <c r="AZ360" i="3" s="1"/>
  <c r="BL361" i="3"/>
  <c r="BL362" i="3"/>
  <c r="AZ362" i="3" s="1"/>
  <c r="BL363" i="3"/>
  <c r="BL364" i="3"/>
  <c r="AZ364" i="3" s="1"/>
  <c r="BL365" i="3"/>
  <c r="BL366" i="3"/>
  <c r="AZ366" i="3" s="1"/>
  <c r="BL367" i="3"/>
  <c r="BL368" i="3"/>
  <c r="AZ368" i="3" s="1"/>
  <c r="BL369" i="3"/>
  <c r="BL370" i="3"/>
  <c r="AZ370" i="3" s="1"/>
  <c r="BL371" i="3"/>
  <c r="BL372" i="3"/>
  <c r="AZ372" i="3" s="1"/>
  <c r="BL373" i="3"/>
  <c r="BL374" i="3"/>
  <c r="AZ374" i="3" s="1"/>
  <c r="BL375" i="3"/>
  <c r="BL376" i="3"/>
  <c r="AZ376" i="3" s="1"/>
  <c r="BL377" i="3"/>
  <c r="BL378" i="3"/>
  <c r="AZ378" i="3" s="1"/>
  <c r="BL379" i="3"/>
  <c r="BL380" i="3"/>
  <c r="AZ380" i="3" s="1"/>
  <c r="BL381" i="3"/>
  <c r="BL382" i="3"/>
  <c r="AZ382" i="3" s="1"/>
  <c r="BL383" i="3"/>
  <c r="BL384" i="3"/>
  <c r="AZ384" i="3" s="1"/>
  <c r="BL385" i="3"/>
  <c r="BL386" i="3"/>
  <c r="AZ386" i="3" s="1"/>
  <c r="BL387" i="3"/>
  <c r="BL388" i="3"/>
  <c r="AZ388" i="3" s="1"/>
  <c r="BL389" i="3"/>
  <c r="BL390" i="3"/>
  <c r="AZ390" i="3" s="1"/>
  <c r="BL391" i="3"/>
  <c r="BL392" i="3"/>
  <c r="AZ392" i="3" s="1"/>
  <c r="BL393" i="3"/>
  <c r="BL394" i="3"/>
  <c r="AZ394" i="3" s="1"/>
  <c r="BL395" i="3"/>
  <c r="BL396" i="3"/>
  <c r="AZ396" i="3" s="1"/>
  <c r="BL397" i="3"/>
  <c r="BL398" i="3"/>
  <c r="AZ398" i="3" s="1"/>
  <c r="BL399" i="3"/>
  <c r="BL400" i="3"/>
  <c r="AZ400" i="3" s="1"/>
  <c r="BL401" i="3"/>
  <c r="BL402" i="3"/>
  <c r="AZ402" i="3" s="1"/>
  <c r="BL403" i="3"/>
  <c r="BL404" i="3"/>
  <c r="AZ404" i="3" s="1"/>
  <c r="BL405" i="3"/>
  <c r="BL406" i="3"/>
  <c r="AZ406" i="3" s="1"/>
  <c r="BL407" i="3"/>
  <c r="BL408" i="3"/>
  <c r="AZ408" i="3" s="1"/>
  <c r="BL409" i="3"/>
  <c r="BL410" i="3"/>
  <c r="AZ410" i="3" s="1"/>
  <c r="BL411" i="3"/>
  <c r="BL412" i="3"/>
  <c r="AZ412" i="3" s="1"/>
  <c r="BL413" i="3"/>
  <c r="BL414" i="3"/>
  <c r="AZ414" i="3" s="1"/>
  <c r="BL415" i="3"/>
  <c r="BL416" i="3"/>
  <c r="AZ416" i="3" s="1"/>
  <c r="BL417" i="3"/>
  <c r="BL418" i="3"/>
  <c r="AZ418" i="3" s="1"/>
  <c r="BL419" i="3"/>
  <c r="BL420" i="3"/>
  <c r="AZ420" i="3" s="1"/>
  <c r="BL421" i="3"/>
  <c r="BL422" i="3"/>
  <c r="AZ422" i="3" s="1"/>
  <c r="BL423" i="3"/>
  <c r="BL424" i="3"/>
  <c r="AZ424" i="3" s="1"/>
  <c r="BL425" i="3"/>
  <c r="BL426" i="3"/>
  <c r="AZ426" i="3" s="1"/>
  <c r="BL427" i="3"/>
  <c r="BL428" i="3"/>
  <c r="AZ428" i="3" s="1"/>
  <c r="BL429" i="3"/>
  <c r="BL430" i="3"/>
  <c r="AZ430" i="3" s="1"/>
  <c r="BL431" i="3"/>
  <c r="BL432" i="3"/>
  <c r="AZ432" i="3" s="1"/>
  <c r="BL433" i="3"/>
  <c r="BL434" i="3"/>
  <c r="AZ434" i="3" s="1"/>
  <c r="BL435" i="3"/>
  <c r="BL436" i="3"/>
  <c r="AZ436" i="3" s="1"/>
  <c r="BL437" i="3"/>
  <c r="BL438" i="3"/>
  <c r="AZ438" i="3" s="1"/>
  <c r="BL439" i="3"/>
  <c r="BL440" i="3"/>
  <c r="AZ440" i="3" s="1"/>
  <c r="BL441" i="3"/>
  <c r="BL442" i="3"/>
  <c r="AZ442" i="3" s="1"/>
  <c r="BL443" i="3"/>
  <c r="BL444" i="3"/>
  <c r="AZ444" i="3" s="1"/>
  <c r="BL445" i="3"/>
  <c r="BL446" i="3"/>
  <c r="AZ446" i="3" s="1"/>
  <c r="BL447" i="3"/>
  <c r="BL448" i="3"/>
  <c r="AZ448" i="3" s="1"/>
  <c r="BL449" i="3"/>
  <c r="BL450" i="3"/>
  <c r="AZ450" i="3" s="1"/>
  <c r="BL451" i="3"/>
  <c r="BL452" i="3"/>
  <c r="AZ452" i="3" s="1"/>
  <c r="BL453" i="3"/>
  <c r="BL454" i="3"/>
  <c r="AZ454" i="3" s="1"/>
  <c r="BL455" i="3"/>
  <c r="BL456" i="3"/>
  <c r="AZ456" i="3" s="1"/>
  <c r="BL457" i="3"/>
  <c r="BL458" i="3"/>
  <c r="AZ458" i="3" s="1"/>
  <c r="BL459" i="3"/>
  <c r="BL460" i="3"/>
  <c r="AZ460" i="3" s="1"/>
  <c r="BL461" i="3"/>
  <c r="BL462" i="3"/>
  <c r="AZ462" i="3" s="1"/>
  <c r="BL463" i="3"/>
  <c r="BL464" i="3"/>
  <c r="AZ464" i="3" s="1"/>
  <c r="BL465" i="3"/>
  <c r="BL466" i="3"/>
  <c r="AZ466" i="3" s="1"/>
  <c r="BL467" i="3"/>
  <c r="BL468" i="3"/>
  <c r="AZ468" i="3" s="1"/>
  <c r="BL469" i="3"/>
  <c r="BL470" i="3"/>
  <c r="AZ470" i="3" s="1"/>
  <c r="BL471" i="3"/>
  <c r="BL472" i="3"/>
  <c r="AZ472" i="3" s="1"/>
  <c r="BL473" i="3"/>
  <c r="BL474" i="3"/>
  <c r="AZ474" i="3" s="1"/>
  <c r="BL475" i="3"/>
  <c r="BL476" i="3"/>
  <c r="AZ476" i="3" s="1"/>
  <c r="BL477" i="3"/>
  <c r="BL478" i="3"/>
  <c r="AZ478" i="3" s="1"/>
  <c r="BL479" i="3"/>
  <c r="BL480" i="3"/>
  <c r="AZ480" i="3" s="1"/>
  <c r="BL481" i="3"/>
  <c r="BL482" i="3"/>
  <c r="AZ482" i="3" s="1"/>
  <c r="BL483" i="3"/>
  <c r="BL484" i="3"/>
  <c r="AZ484" i="3" s="1"/>
  <c r="BL485" i="3"/>
  <c r="BL486" i="3"/>
  <c r="AZ486" i="3" s="1"/>
  <c r="BL487" i="3"/>
  <c r="BL488" i="3"/>
  <c r="AZ488" i="3" s="1"/>
  <c r="BL489" i="3"/>
  <c r="BL490" i="3"/>
  <c r="AZ490" i="3" s="1"/>
  <c r="BL491" i="3"/>
  <c r="BL492" i="3"/>
  <c r="AZ492" i="3" s="1"/>
  <c r="BL493" i="3"/>
  <c r="BL494" i="3"/>
  <c r="AZ494" i="3" s="1"/>
  <c r="BL495" i="3"/>
  <c r="BL496" i="3"/>
  <c r="AZ496" i="3" s="1"/>
  <c r="BL497" i="3"/>
  <c r="BL498" i="3"/>
  <c r="AZ498" i="3" s="1"/>
  <c r="BL499" i="3"/>
  <c r="BL500" i="3"/>
  <c r="AZ500" i="3" s="1"/>
  <c r="BL501" i="3"/>
  <c r="BL502" i="3"/>
  <c r="AZ502" i="3" s="1"/>
  <c r="BL503" i="3"/>
  <c r="BL504" i="3"/>
  <c r="AZ504" i="3" s="1"/>
  <c r="BL505" i="3"/>
  <c r="BL506" i="3"/>
  <c r="AZ506" i="3" s="1"/>
  <c r="BL507" i="3"/>
  <c r="BL508" i="3"/>
  <c r="AZ508" i="3" s="1"/>
  <c r="BL509" i="3"/>
  <c r="BL510" i="3"/>
  <c r="AZ510" i="3" s="1"/>
  <c r="BL511" i="3"/>
  <c r="BL512" i="3"/>
  <c r="AZ512" i="3" s="1"/>
  <c r="BL513" i="3"/>
  <c r="BL514" i="3"/>
  <c r="AZ514" i="3" s="1"/>
  <c r="BL515" i="3"/>
  <c r="BL516" i="3"/>
  <c r="AZ516" i="3" s="1"/>
  <c r="BL517" i="3"/>
  <c r="BL518" i="3"/>
  <c r="AZ518" i="3" s="1"/>
  <c r="BL519" i="3"/>
  <c r="BL520" i="3"/>
  <c r="AZ520" i="3" s="1"/>
  <c r="BL521" i="3"/>
  <c r="BL522" i="3"/>
  <c r="AZ522" i="3" s="1"/>
  <c r="BL523" i="3"/>
  <c r="BL524" i="3"/>
  <c r="AZ524" i="3" s="1"/>
  <c r="BL525" i="3"/>
  <c r="BL526" i="3"/>
  <c r="AZ526" i="3" s="1"/>
  <c r="BL527" i="3"/>
  <c r="BL528" i="3"/>
  <c r="AZ528" i="3" s="1"/>
  <c r="BL529" i="3"/>
  <c r="BL530" i="3"/>
  <c r="AZ530" i="3" s="1"/>
  <c r="BL531" i="3"/>
  <c r="BL532" i="3"/>
  <c r="AZ532" i="3" s="1"/>
  <c r="BL533" i="3"/>
  <c r="BL534" i="3"/>
  <c r="AZ534" i="3" s="1"/>
  <c r="BL535" i="3"/>
  <c r="BL536" i="3"/>
  <c r="AZ536" i="3" s="1"/>
  <c r="BL537" i="3"/>
  <c r="BL538" i="3"/>
  <c r="AZ538" i="3" s="1"/>
  <c r="BL539" i="3"/>
  <c r="BL540" i="3"/>
  <c r="AZ540" i="3" s="1"/>
  <c r="BL541" i="3"/>
  <c r="BL542" i="3"/>
  <c r="AZ542" i="3" s="1"/>
  <c r="BL543" i="3"/>
  <c r="BL544" i="3"/>
  <c r="AZ544" i="3" s="1"/>
  <c r="BL545" i="3"/>
  <c r="BL546" i="3"/>
  <c r="AZ546" i="3" s="1"/>
  <c r="BL547" i="3"/>
  <c r="BL548" i="3"/>
  <c r="AZ548" i="3" s="1"/>
  <c r="BL549" i="3"/>
  <c r="BL550" i="3"/>
  <c r="AZ550" i="3" s="1"/>
  <c r="BL551" i="3"/>
  <c r="BL552" i="3"/>
  <c r="AZ552" i="3" s="1"/>
  <c r="BL553" i="3"/>
  <c r="BL554" i="3"/>
  <c r="AZ554" i="3" s="1"/>
  <c r="BL555" i="3"/>
  <c r="BL556" i="3"/>
  <c r="AZ556" i="3" s="1"/>
  <c r="BL557" i="3"/>
  <c r="BL558" i="3"/>
  <c r="AZ558" i="3" s="1"/>
  <c r="BL559" i="3"/>
  <c r="BL560" i="3"/>
  <c r="AZ560" i="3" s="1"/>
  <c r="BL561" i="3"/>
  <c r="BL562" i="3"/>
  <c r="AZ562" i="3" s="1"/>
  <c r="BL563" i="3"/>
  <c r="BL564" i="3"/>
  <c r="AZ564" i="3" s="1"/>
  <c r="BL565" i="3"/>
  <c r="BL566" i="3"/>
  <c r="AZ566" i="3" s="1"/>
  <c r="BL567" i="3"/>
  <c r="BL568" i="3"/>
  <c r="AZ568" i="3" s="1"/>
  <c r="BL569" i="3"/>
  <c r="BL570" i="3"/>
  <c r="AZ570" i="3" s="1"/>
  <c r="BL571" i="3"/>
  <c r="BL572" i="3"/>
  <c r="AZ572" i="3" s="1"/>
  <c r="BL573" i="3"/>
  <c r="BL574" i="3"/>
  <c r="AZ574" i="3" s="1"/>
  <c r="BL575" i="3"/>
  <c r="BL576" i="3"/>
  <c r="AZ576" i="3" s="1"/>
  <c r="BL577" i="3"/>
  <c r="BL578" i="3"/>
  <c r="AZ578" i="3" s="1"/>
  <c r="BL579" i="3"/>
  <c r="BL580" i="3"/>
  <c r="AZ580" i="3" s="1"/>
  <c r="BL581" i="3"/>
  <c r="BL582" i="3"/>
  <c r="AZ582" i="3" s="1"/>
  <c r="BL583" i="3"/>
  <c r="BL584" i="3"/>
  <c r="AZ584" i="3" s="1"/>
  <c r="BL585" i="3"/>
  <c r="BL586" i="3"/>
  <c r="AZ586" i="3" s="1"/>
  <c r="BL587"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c r="H22" i="3"/>
  <c r="AC22" i="3"/>
  <c r="G22" i="3"/>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D29" i="79"/>
  <c r="F39" i="79"/>
  <c r="D39" i="79"/>
  <c r="J20" i="43"/>
  <c r="E15" i="4"/>
  <c r="F7" i="1" s="1"/>
  <c r="I20" i="43" s="1"/>
  <c r="G2" i="43"/>
  <c r="G17" i="43" s="1"/>
  <c r="I2" i="43"/>
  <c r="M2" i="43" s="1"/>
  <c r="C6" i="43" s="1"/>
  <c r="C7" i="43"/>
  <c r="H17" i="43"/>
  <c r="I17" i="43"/>
  <c r="J17" i="43"/>
  <c r="C17" i="43"/>
  <c r="C18" i="43"/>
  <c r="G19" i="43"/>
  <c r="F33" i="43"/>
  <c r="D33" i="43"/>
  <c r="B2" i="49"/>
  <c r="B11" i="49" s="1"/>
  <c r="E4" i="4" s="1"/>
  <c r="B5" i="62" s="1"/>
  <c r="B73" i="72" s="1"/>
  <c r="F7" i="68"/>
  <c r="C19" i="68"/>
  <c r="F20" i="68"/>
  <c r="B22" i="1"/>
  <c r="E1" i="73"/>
  <c r="K1" i="73" s="1"/>
  <c r="B23" i="1"/>
  <c r="F21" i="68"/>
  <c r="B24" i="1"/>
  <c r="F34" i="68"/>
  <c r="A6" i="1"/>
  <c r="K6" i="1"/>
  <c r="M6" i="1" s="1"/>
  <c r="A7" i="1"/>
  <c r="A8" i="1"/>
  <c r="A9" i="1"/>
  <c r="A10" i="1"/>
  <c r="K10" i="1"/>
  <c r="M10" i="1" s="1"/>
  <c r="A11" i="1"/>
  <c r="K11" i="1"/>
  <c r="M11" i="1" s="1"/>
  <c r="A12" i="1"/>
  <c r="K12" i="1"/>
  <c r="M12" i="1" s="1"/>
  <c r="A13" i="1"/>
  <c r="K13" i="1"/>
  <c r="M13" i="1" s="1"/>
  <c r="F35" i="68"/>
  <c r="C42" i="1"/>
  <c r="F36" i="68"/>
  <c r="BE11" i="3"/>
  <c r="BB11" i="3"/>
  <c r="BC11" i="3"/>
  <c r="BD11" i="3"/>
  <c r="BF11" i="3"/>
  <c r="BG11" i="3"/>
  <c r="BH11" i="3"/>
  <c r="BI11" i="3"/>
  <c r="BJ11" i="3"/>
  <c r="BK11" i="3"/>
  <c r="BM11" i="3"/>
  <c r="BN11" i="3"/>
  <c r="BO11" i="3"/>
  <c r="BP11" i="3"/>
  <c r="BQ11" i="3"/>
  <c r="BR11" i="3"/>
  <c r="BS11" i="3"/>
  <c r="BT11" i="3"/>
  <c r="F5" i="3"/>
  <c r="H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E5" i="6"/>
  <c r="D9" i="68" s="1"/>
  <c r="E37" i="68"/>
  <c r="F38" i="68"/>
  <c r="C40" i="68"/>
  <c r="G1" i="78"/>
  <c r="AH6" i="1"/>
  <c r="L1" i="73"/>
  <c r="B43" i="1"/>
  <c r="F33" i="78"/>
  <c r="L19" i="6"/>
  <c r="B52" i="1"/>
  <c r="F34" i="78"/>
  <c r="F15" i="78"/>
  <c r="F17" i="78"/>
  <c r="F18" i="78"/>
  <c r="F20" i="78"/>
  <c r="F23" i="78"/>
  <c r="F21" i="78"/>
  <c r="Y6" i="1"/>
  <c r="G15" i="4"/>
  <c r="F6" i="1"/>
  <c r="M47" i="78"/>
  <c r="J50" i="78"/>
  <c r="J51" i="78" s="1"/>
  <c r="G1" i="15"/>
  <c r="C27" i="66"/>
  <c r="C32" i="66"/>
  <c r="C6" i="80"/>
  <c r="F33" i="15"/>
  <c r="L20" i="6"/>
  <c r="F34" i="15"/>
  <c r="F15" i="15"/>
  <c r="F17" i="15"/>
  <c r="F18" i="15"/>
  <c r="F20" i="15"/>
  <c r="F23" i="15"/>
  <c r="F21" i="15"/>
  <c r="Y7" i="1"/>
  <c r="M47" i="15"/>
  <c r="J50" i="15"/>
  <c r="J51" i="15"/>
  <c r="G1" i="77"/>
  <c r="G40" i="81"/>
  <c r="G104" i="81" s="1"/>
  <c r="J106" i="81"/>
  <c r="J108" i="81" s="1"/>
  <c r="F33" i="77"/>
  <c r="L21" i="6"/>
  <c r="F34" i="77"/>
  <c r="F15" i="77"/>
  <c r="F17" i="77"/>
  <c r="F18" i="77"/>
  <c r="F20" i="77"/>
  <c r="F23" i="77"/>
  <c r="F21" i="77"/>
  <c r="Y8" i="1"/>
  <c r="B110" i="81"/>
  <c r="B111" i="81"/>
  <c r="AF8" i="1" s="1"/>
  <c r="M19" i="77"/>
  <c r="M20" i="77"/>
  <c r="M47" i="77"/>
  <c r="J50" i="77"/>
  <c r="J51" i="77" s="1"/>
  <c r="G1" i="82"/>
  <c r="F33" i="82"/>
  <c r="F61" i="82" s="1"/>
  <c r="L22" i="6"/>
  <c r="F34" i="82"/>
  <c r="F62" i="82" s="1"/>
  <c r="F15" i="82"/>
  <c r="F17" i="82"/>
  <c r="F18" i="82"/>
  <c r="F20" i="82"/>
  <c r="F23" i="82"/>
  <c r="F21" i="82"/>
  <c r="M47" i="82"/>
  <c r="J50" i="82"/>
  <c r="J51" i="82" s="1"/>
  <c r="A6" i="70"/>
  <c r="A7" i="70"/>
  <c r="A8" i="70"/>
  <c r="A9" i="70"/>
  <c r="A10" i="70"/>
  <c r="A11" i="70"/>
  <c r="A12" i="70"/>
  <c r="A13" i="70"/>
  <c r="E10" i="70"/>
  <c r="E11" i="70"/>
  <c r="E12" i="70"/>
  <c r="E13" i="70"/>
  <c r="M19" i="82"/>
  <c r="M20" i="82"/>
  <c r="AG9" i="1"/>
  <c r="D9" i="1"/>
  <c r="K59" i="82"/>
  <c r="P74" i="82"/>
  <c r="Q72" i="82"/>
  <c r="P61" i="82"/>
  <c r="Q59" i="82"/>
  <c r="F59" i="82"/>
  <c r="Q58" i="82"/>
  <c r="Q51" i="82"/>
  <c r="D46" i="82"/>
  <c r="F31" i="82"/>
  <c r="D24" i="82"/>
  <c r="D23" i="82"/>
  <c r="D22" i="82"/>
  <c r="M17" i="82"/>
  <c r="R9" i="81"/>
  <c r="R14" i="81"/>
  <c r="R19" i="81"/>
  <c r="R24" i="81"/>
  <c r="R28" i="81"/>
  <c r="R32" i="81"/>
  <c r="R36" i="81"/>
  <c r="R40" i="81"/>
  <c r="R43" i="81"/>
  <c r="R46" i="81"/>
  <c r="R49" i="81"/>
  <c r="R52" i="81"/>
  <c r="R55" i="81"/>
  <c r="R58" i="81"/>
  <c r="R62" i="81"/>
  <c r="R66" i="81"/>
  <c r="R69" i="81"/>
  <c r="R72" i="81"/>
  <c r="R75" i="81"/>
  <c r="R78" i="81"/>
  <c r="R81" i="81"/>
  <c r="R84" i="81"/>
  <c r="R87" i="81"/>
  <c r="R92" i="81"/>
  <c r="R95" i="81"/>
  <c r="O98" i="81"/>
  <c r="R98" i="81" s="1"/>
  <c r="N98" i="81"/>
  <c r="M109" i="81"/>
  <c r="M103" i="81"/>
  <c r="M104" i="81" s="1"/>
  <c r="N9" i="81"/>
  <c r="N14" i="81"/>
  <c r="N19" i="81"/>
  <c r="N24" i="81"/>
  <c r="N25" i="81"/>
  <c r="N28" i="81"/>
  <c r="N29" i="81"/>
  <c r="N32" i="81"/>
  <c r="N36" i="81"/>
  <c r="N40" i="81"/>
  <c r="N43" i="81"/>
  <c r="N46" i="81"/>
  <c r="N49" i="81"/>
  <c r="N52" i="81"/>
  <c r="N55" i="81"/>
  <c r="N58" i="81"/>
  <c r="N62" i="81"/>
  <c r="N66" i="81"/>
  <c r="N69" i="81"/>
  <c r="N72" i="81"/>
  <c r="N75" i="81"/>
  <c r="N78" i="81"/>
  <c r="N81" i="81"/>
  <c r="N84" i="81"/>
  <c r="N87" i="81"/>
  <c r="N92" i="81"/>
  <c r="N95" i="81"/>
  <c r="N103" i="81"/>
  <c r="H104" i="81"/>
  <c r="I104" i="81" s="1"/>
  <c r="K95" i="81"/>
  <c r="K92" i="81"/>
  <c r="K87" i="81"/>
  <c r="K84" i="81"/>
  <c r="K81" i="81"/>
  <c r="K78" i="81"/>
  <c r="K75" i="81"/>
  <c r="K72" i="81"/>
  <c r="K69" i="81"/>
  <c r="K66" i="81"/>
  <c r="K62" i="81"/>
  <c r="K58" i="81"/>
  <c r="K55" i="81"/>
  <c r="K52" i="81"/>
  <c r="K49" i="81"/>
  <c r="K46" i="81"/>
  <c r="K43" i="81"/>
  <c r="K36" i="81"/>
  <c r="K32" i="81"/>
  <c r="K28" i="81"/>
  <c r="K24" i="81"/>
  <c r="K19" i="81"/>
  <c r="K14" i="81"/>
  <c r="K9" i="81"/>
  <c r="A23" i="3"/>
  <c r="I3" i="66"/>
  <c r="I10" i="66" s="1"/>
  <c r="I15" i="66" s="1"/>
  <c r="I20" i="66" s="1"/>
  <c r="I4" i="66"/>
  <c r="I5" i="66"/>
  <c r="I6" i="66"/>
  <c r="I7" i="66"/>
  <c r="I8" i="66"/>
  <c r="I9" i="66"/>
  <c r="H113" i="79"/>
  <c r="F113" i="79"/>
  <c r="N99" i="79"/>
  <c r="N108" i="79"/>
  <c r="M99" i="79"/>
  <c r="M108" i="79"/>
  <c r="L99" i="79"/>
  <c r="L108" i="79"/>
  <c r="K99" i="79"/>
  <c r="K108" i="79"/>
  <c r="J99" i="79"/>
  <c r="J108" i="79"/>
  <c r="I99" i="79"/>
  <c r="I108" i="79"/>
  <c r="H99" i="79"/>
  <c r="H108" i="79"/>
  <c r="G99" i="79"/>
  <c r="G108" i="79"/>
  <c r="F99" i="79"/>
  <c r="F108" i="79"/>
  <c r="E99" i="79"/>
  <c r="E108" i="79"/>
  <c r="D99" i="79"/>
  <c r="D108" i="79"/>
  <c r="C99" i="79"/>
  <c r="C108" i="79"/>
  <c r="N100" i="79"/>
  <c r="M100" i="79"/>
  <c r="L100" i="79"/>
  <c r="K100" i="79"/>
  <c r="J100" i="79"/>
  <c r="I100" i="79"/>
  <c r="H100" i="79"/>
  <c r="G100" i="79"/>
  <c r="F100" i="79"/>
  <c r="E100" i="79"/>
  <c r="D100" i="79"/>
  <c r="C100" i="79"/>
  <c r="M88" i="79"/>
  <c r="N88" i="79"/>
  <c r="K88" i="79"/>
  <c r="J88" i="79"/>
  <c r="F81" i="79"/>
  <c r="H88" i="79"/>
  <c r="D88" i="79"/>
  <c r="G18" i="20"/>
  <c r="B88" i="79" s="1"/>
  <c r="M87" i="79"/>
  <c r="N87" i="79" s="1"/>
  <c r="K87" i="79"/>
  <c r="J87" i="79" s="1"/>
  <c r="H87" i="79"/>
  <c r="D87" i="79"/>
  <c r="M86" i="79"/>
  <c r="N86" i="79" s="1"/>
  <c r="K86" i="79"/>
  <c r="J86" i="79" s="1"/>
  <c r="H86" i="79"/>
  <c r="D86" i="79"/>
  <c r="G20" i="20"/>
  <c r="B86" i="79" s="1"/>
  <c r="M85" i="79"/>
  <c r="N85" i="79" s="1"/>
  <c r="K85" i="79"/>
  <c r="J85" i="79" s="1"/>
  <c r="H85" i="79"/>
  <c r="D85" i="79"/>
  <c r="G19" i="20"/>
  <c r="B85" i="79" s="1"/>
  <c r="M84" i="79"/>
  <c r="N84" i="79" s="1"/>
  <c r="K84" i="79"/>
  <c r="J84" i="79" s="1"/>
  <c r="H84" i="79"/>
  <c r="D84" i="79"/>
  <c r="B84" i="79"/>
  <c r="M83" i="79"/>
  <c r="N83" i="79"/>
  <c r="K83" i="79"/>
  <c r="J83" i="79"/>
  <c r="H83" i="79"/>
  <c r="D83" i="79"/>
  <c r="B83" i="79"/>
  <c r="M82" i="79"/>
  <c r="N82" i="79" s="1"/>
  <c r="K82" i="79"/>
  <c r="J82" i="79" s="1"/>
  <c r="H82" i="79"/>
  <c r="D82" i="79"/>
  <c r="G16" i="20"/>
  <c r="B82" i="79" s="1"/>
  <c r="M81" i="79"/>
  <c r="N81" i="79" s="1"/>
  <c r="K81" i="79"/>
  <c r="J81" i="79" s="1"/>
  <c r="H81" i="79"/>
  <c r="D81" i="79"/>
  <c r="E81" i="79"/>
  <c r="B79" i="79" s="1"/>
  <c r="G15" i="20"/>
  <c r="B81" i="79"/>
  <c r="M78" i="79"/>
  <c r="N78" i="79" s="1"/>
  <c r="K78" i="79"/>
  <c r="J78" i="79" s="1"/>
  <c r="F70" i="79"/>
  <c r="H78" i="79" s="1"/>
  <c r="D78" i="79"/>
  <c r="M77" i="79"/>
  <c r="N77" i="79"/>
  <c r="K77" i="79"/>
  <c r="J77" i="79"/>
  <c r="D77" i="79"/>
  <c r="C20" i="20"/>
  <c r="B77" i="79"/>
  <c r="M76" i="79"/>
  <c r="N76" i="79"/>
  <c r="K76" i="79"/>
  <c r="J76" i="79"/>
  <c r="D76" i="79"/>
  <c r="M75" i="79"/>
  <c r="N75" i="79"/>
  <c r="K75" i="79"/>
  <c r="J75" i="79"/>
  <c r="D75" i="79"/>
  <c r="C22" i="20"/>
  <c r="B75" i="79"/>
  <c r="M74" i="79"/>
  <c r="N74" i="79"/>
  <c r="K74" i="79"/>
  <c r="J74" i="79"/>
  <c r="D74" i="79"/>
  <c r="C21" i="20"/>
  <c r="B74" i="79"/>
  <c r="M73" i="79"/>
  <c r="N73" i="79"/>
  <c r="K73" i="79"/>
  <c r="J73" i="79"/>
  <c r="D73" i="79"/>
  <c r="C24" i="20"/>
  <c r="B73" i="79"/>
  <c r="M72" i="79"/>
  <c r="N72" i="79"/>
  <c r="K72" i="79"/>
  <c r="J72" i="79"/>
  <c r="D72" i="79"/>
  <c r="B72" i="79"/>
  <c r="M71" i="79"/>
  <c r="N71" i="79" s="1"/>
  <c r="K71" i="79"/>
  <c r="J71" i="79" s="1"/>
  <c r="H71" i="79"/>
  <c r="D71" i="79"/>
  <c r="C18" i="20"/>
  <c r="B71" i="79" s="1"/>
  <c r="M70" i="79"/>
  <c r="N70" i="79" s="1"/>
  <c r="K70" i="79"/>
  <c r="J70" i="79" s="1"/>
  <c r="H70" i="79"/>
  <c r="D70" i="79"/>
  <c r="E70" i="79"/>
  <c r="B68" i="79" s="1"/>
  <c r="C15" i="20"/>
  <c r="B70" i="79"/>
  <c r="M67" i="79"/>
  <c r="N67" i="79" s="1"/>
  <c r="K67" i="79"/>
  <c r="D67" i="79" s="1"/>
  <c r="N2" i="79"/>
  <c r="F59" i="79" s="1"/>
  <c r="B67" i="79"/>
  <c r="M66" i="79"/>
  <c r="N66" i="79" s="1"/>
  <c r="K66" i="79"/>
  <c r="J66" i="79" s="1"/>
  <c r="B66" i="79"/>
  <c r="M65" i="79"/>
  <c r="N65" i="79" s="1"/>
  <c r="K65" i="79"/>
  <c r="J65" i="79" s="1"/>
  <c r="B65" i="79"/>
  <c r="M64" i="79"/>
  <c r="N64" i="79" s="1"/>
  <c r="K64" i="79"/>
  <c r="D64" i="79" s="1"/>
  <c r="M63" i="79"/>
  <c r="N63" i="79"/>
  <c r="K63" i="79"/>
  <c r="J63" i="79"/>
  <c r="D63" i="79" s="1"/>
  <c r="B63" i="79"/>
  <c r="M62" i="79"/>
  <c r="N62" i="79"/>
  <c r="K62" i="79"/>
  <c r="D62" i="79" s="1"/>
  <c r="J62" i="79"/>
  <c r="M61" i="79"/>
  <c r="N61" i="79" s="1"/>
  <c r="K61" i="79"/>
  <c r="D61" i="79" s="1"/>
  <c r="B61" i="79"/>
  <c r="M60" i="79"/>
  <c r="N60" i="79" s="1"/>
  <c r="K60" i="79"/>
  <c r="J60" i="79" s="1"/>
  <c r="M59" i="79"/>
  <c r="N59" i="79" s="1"/>
  <c r="K59" i="79"/>
  <c r="J59" i="79" s="1"/>
  <c r="C17" i="20"/>
  <c r="B59" i="79"/>
  <c r="M56" i="79"/>
  <c r="N56" i="79"/>
  <c r="K56" i="79"/>
  <c r="J56" i="79"/>
  <c r="F48" i="79"/>
  <c r="H56" i="79"/>
  <c r="D56" i="79"/>
  <c r="B56" i="79"/>
  <c r="M55" i="79"/>
  <c r="N55" i="79"/>
  <c r="K55" i="79"/>
  <c r="J55" i="79"/>
  <c r="H55" i="79"/>
  <c r="D55" i="79"/>
  <c r="B55" i="79"/>
  <c r="M54" i="79"/>
  <c r="N54" i="79" s="1"/>
  <c r="K54" i="79"/>
  <c r="J54" i="79" s="1"/>
  <c r="H54" i="79"/>
  <c r="D54" i="79"/>
  <c r="B54" i="79"/>
  <c r="M53" i="79"/>
  <c r="N53" i="79" s="1"/>
  <c r="K53" i="79"/>
  <c r="J53" i="79" s="1"/>
  <c r="H53" i="79"/>
  <c r="D53" i="79"/>
  <c r="M52" i="79"/>
  <c r="N52" i="79"/>
  <c r="K52" i="79"/>
  <c r="J52" i="79"/>
  <c r="H52" i="79"/>
  <c r="D52" i="79"/>
  <c r="B52" i="79"/>
  <c r="M51" i="79"/>
  <c r="N51" i="79" s="1"/>
  <c r="K51" i="79"/>
  <c r="J51" i="79" s="1"/>
  <c r="H51" i="79"/>
  <c r="D51" i="79"/>
  <c r="M50" i="79"/>
  <c r="N50" i="79" s="1"/>
  <c r="K50" i="79"/>
  <c r="J50" i="79" s="1"/>
  <c r="H50" i="79"/>
  <c r="D50" i="79"/>
  <c r="B50" i="79"/>
  <c r="M49" i="79"/>
  <c r="N49" i="79" s="1"/>
  <c r="K49" i="79"/>
  <c r="J49" i="79" s="1"/>
  <c r="H49" i="79"/>
  <c r="D49" i="79"/>
  <c r="M48" i="79"/>
  <c r="N48" i="79" s="1"/>
  <c r="K48" i="79"/>
  <c r="J48" i="79" s="1"/>
  <c r="H48" i="79"/>
  <c r="D48" i="79"/>
  <c r="B48" i="79"/>
  <c r="C7" i="79"/>
  <c r="H39" i="79"/>
  <c r="F38" i="79"/>
  <c r="H38" i="79"/>
  <c r="F37" i="79"/>
  <c r="H37" i="79"/>
  <c r="F36" i="79"/>
  <c r="H36" i="79"/>
  <c r="F35" i="79"/>
  <c r="H35" i="79"/>
  <c r="F34" i="79"/>
  <c r="H34" i="79"/>
  <c r="F33" i="79"/>
  <c r="H33" i="79"/>
  <c r="I3" i="71"/>
  <c r="AD3" i="71"/>
  <c r="J3" i="71"/>
  <c r="AE3" i="71"/>
  <c r="AF3" i="71" s="1"/>
  <c r="K3" i="71"/>
  <c r="AG3" i="71" s="1"/>
  <c r="L3" i="71"/>
  <c r="AH3" i="71" s="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I19" i="79"/>
  <c r="E17" i="79"/>
  <c r="F15" i="79"/>
  <c r="E15" i="79"/>
  <c r="D15" i="79"/>
  <c r="C12" i="79" s="1"/>
  <c r="C15" i="79"/>
  <c r="AJ9" i="79"/>
  <c r="AJ12" i="79" s="1"/>
  <c r="AI9" i="79"/>
  <c r="AI12" i="79" s="1"/>
  <c r="AH9" i="79"/>
  <c r="AH12" i="79" s="1"/>
  <c r="AG9" i="79"/>
  <c r="AG12" i="79" s="1"/>
  <c r="AF9" i="79"/>
  <c r="AF12" i="79" s="1"/>
  <c r="AE9" i="79"/>
  <c r="AE12" i="79" s="1"/>
  <c r="AD9" i="79"/>
  <c r="AD12" i="79" s="1"/>
  <c r="AC9" i="79"/>
  <c r="AC12" i="79" s="1"/>
  <c r="AB9" i="79"/>
  <c r="AB12" i="79" s="1"/>
  <c r="AA9" i="79"/>
  <c r="AA12" i="79" s="1"/>
  <c r="Z9" i="79"/>
  <c r="Z12" i="79" s="1"/>
  <c r="Y12" i="79"/>
  <c r="N12" i="79"/>
  <c r="M12" i="79"/>
  <c r="N11" i="79"/>
  <c r="M11" i="79"/>
  <c r="C10" i="79"/>
  <c r="C11" i="79" s="1"/>
  <c r="AI10" i="79"/>
  <c r="AG10" i="79"/>
  <c r="AE10" i="79"/>
  <c r="AC10" i="79"/>
  <c r="AA10" i="79"/>
  <c r="Y10" i="79"/>
  <c r="N10" i="79"/>
  <c r="M10" i="79"/>
  <c r="N9" i="79"/>
  <c r="M9" i="79"/>
  <c r="C9" i="79"/>
  <c r="N8" i="79"/>
  <c r="M8" i="79"/>
  <c r="X7" i="79"/>
  <c r="N7" i="79"/>
  <c r="M7" i="79"/>
  <c r="A7" i="79"/>
  <c r="N6" i="79"/>
  <c r="M6" i="79"/>
  <c r="N5" i="79"/>
  <c r="M5" i="79"/>
  <c r="N4" i="79"/>
  <c r="M4" i="79"/>
  <c r="N3" i="79"/>
  <c r="M3" i="79"/>
  <c r="D1" i="79"/>
  <c r="N1" i="79"/>
  <c r="M1" i="79"/>
  <c r="D6" i="1"/>
  <c r="K59" i="78"/>
  <c r="P74" i="78"/>
  <c r="Q72" i="78"/>
  <c r="F61" i="78"/>
  <c r="F62" i="78"/>
  <c r="P61" i="78"/>
  <c r="Q59" i="78"/>
  <c r="F59" i="78"/>
  <c r="Q58" i="78"/>
  <c r="Q51" i="78"/>
  <c r="D46" i="78"/>
  <c r="F31" i="78"/>
  <c r="AG6" i="1"/>
  <c r="M19" i="78"/>
  <c r="M20" i="78"/>
  <c r="D24" i="78"/>
  <c r="D23" i="78"/>
  <c r="D22" i="78"/>
  <c r="M17" i="78"/>
  <c r="D8" i="1"/>
  <c r="K59" i="77"/>
  <c r="P74" i="77"/>
  <c r="Q72" i="77"/>
  <c r="F61" i="77"/>
  <c r="F62" i="77"/>
  <c r="P61" i="77"/>
  <c r="Q59" i="77"/>
  <c r="F59" i="77"/>
  <c r="Q58" i="77"/>
  <c r="Q51" i="77"/>
  <c r="D46" i="77"/>
  <c r="F31" i="77"/>
  <c r="D24" i="77"/>
  <c r="D23" i="77"/>
  <c r="D22" i="77"/>
  <c r="M17" i="77"/>
  <c r="F34" i="11"/>
  <c r="F35" i="11"/>
  <c r="C36" i="11"/>
  <c r="F38" i="11"/>
  <c r="E37" i="11"/>
  <c r="F20" i="11"/>
  <c r="F21" i="11"/>
  <c r="C40" i="11" s="1"/>
  <c r="F7" i="11"/>
  <c r="C7" i="11" s="1"/>
  <c r="C8" i="11"/>
  <c r="B31" i="1"/>
  <c r="E19" i="11"/>
  <c r="C21" i="11"/>
  <c r="G41" i="11"/>
  <c r="F36" i="11"/>
  <c r="G22" i="11"/>
  <c r="E10" i="11"/>
  <c r="E9" i="11"/>
  <c r="D9" i="11"/>
  <c r="C9"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S22" i="31" s="1"/>
  <c r="R22" i="31" s="1"/>
  <c r="Q25" i="31"/>
  <c r="O25" i="31"/>
  <c r="M25" i="31"/>
  <c r="K25" i="31"/>
  <c r="I25" i="31"/>
  <c r="G25" i="31"/>
  <c r="E25" i="31"/>
  <c r="C25" i="31"/>
  <c r="S24" i="31"/>
  <c r="P23" i="31"/>
  <c r="N23" i="31"/>
  <c r="L23" i="31"/>
  <c r="J23" i="31"/>
  <c r="H23" i="31"/>
  <c r="F23" i="31"/>
  <c r="D23" i="31"/>
  <c r="B22" i="31"/>
  <c r="B21" i="3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c r="J8" i="31" s="1"/>
  <c r="K8" i="31" s="1"/>
  <c r="L8" i="31" s="1"/>
  <c r="M8" i="31" s="1"/>
  <c r="N8" i="31" s="1"/>
  <c r="O8" i="31" s="1"/>
  <c r="P8" i="31" s="1"/>
  <c r="Q8" i="31" s="1"/>
  <c r="R8" i="31" s="1"/>
  <c r="S8" i="31" s="1"/>
  <c r="D6" i="31"/>
  <c r="E6" i="31"/>
  <c r="F6" i="31" s="1"/>
  <c r="G6" i="31"/>
  <c r="H6" i="31" s="1"/>
  <c r="I6" i="31" s="1"/>
  <c r="J6" i="31" s="1"/>
  <c r="K6" i="3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73" i="71"/>
  <c r="F72" i="71"/>
  <c r="E72" i="71"/>
  <c r="E71" i="71" s="1"/>
  <c r="E70" i="71" s="1"/>
  <c r="C72" i="71"/>
  <c r="D72" i="71"/>
  <c r="B72" i="71"/>
  <c r="F71" i="71"/>
  <c r="F70" i="71" s="1"/>
  <c r="C71" i="71"/>
  <c r="B71" i="71"/>
  <c r="B70" i="71" s="1"/>
  <c r="D69" i="71"/>
  <c r="F68" i="71"/>
  <c r="E68" i="71"/>
  <c r="E67" i="71" s="1"/>
  <c r="C68" i="71"/>
  <c r="D68" i="71"/>
  <c r="B68" i="71"/>
  <c r="F67" i="71"/>
  <c r="F66" i="71" s="1"/>
  <c r="C67" i="71"/>
  <c r="B67" i="71"/>
  <c r="B66" i="71" s="1"/>
  <c r="E66" i="71"/>
  <c r="D65" i="71"/>
  <c r="F64" i="71"/>
  <c r="V64" i="71"/>
  <c r="E64" i="71"/>
  <c r="U64" i="71"/>
  <c r="C64" i="71"/>
  <c r="T64" i="71"/>
  <c r="B64" i="71"/>
  <c r="S64" i="71"/>
  <c r="Q64" i="71"/>
  <c r="P64" i="71"/>
  <c r="O64" i="71"/>
  <c r="N64" i="71"/>
  <c r="D64" i="71"/>
  <c r="Q63" i="71"/>
  <c r="P63" i="71"/>
  <c r="O63" i="71"/>
  <c r="N63" i="71"/>
  <c r="F63" i="71"/>
  <c r="F62" i="71" s="1"/>
  <c r="E63" i="71"/>
  <c r="C63" i="71"/>
  <c r="B63" i="71"/>
  <c r="B62" i="71" s="1"/>
  <c r="Q62" i="71"/>
  <c r="P62" i="71"/>
  <c r="O62" i="71"/>
  <c r="N62" i="71"/>
  <c r="E62" i="71"/>
  <c r="Q61" i="71"/>
  <c r="P61" i="71"/>
  <c r="O61" i="71"/>
  <c r="N61" i="71"/>
  <c r="D61" i="71"/>
  <c r="F60" i="71"/>
  <c r="V60" i="71"/>
  <c r="E60" i="71"/>
  <c r="U60" i="71"/>
  <c r="C60" i="71"/>
  <c r="T60" i="71"/>
  <c r="B60" i="71"/>
  <c r="S60" i="71"/>
  <c r="Q60" i="71"/>
  <c r="P60" i="71"/>
  <c r="O60" i="71"/>
  <c r="N60" i="71"/>
  <c r="D60" i="71"/>
  <c r="Q59" i="71"/>
  <c r="P59" i="71"/>
  <c r="O59" i="71"/>
  <c r="N59" i="71"/>
  <c r="F59" i="71"/>
  <c r="F58" i="71" s="1"/>
  <c r="E59" i="71"/>
  <c r="C59" i="71"/>
  <c r="B59" i="71"/>
  <c r="B58" i="71" s="1"/>
  <c r="Q58" i="71"/>
  <c r="P58" i="71"/>
  <c r="O58" i="71"/>
  <c r="N58" i="71"/>
  <c r="E58" i="71"/>
  <c r="Q57" i="71"/>
  <c r="P57" i="71"/>
  <c r="O57" i="71"/>
  <c r="N57" i="71"/>
  <c r="D57" i="71"/>
  <c r="F56" i="71"/>
  <c r="V56" i="71"/>
  <c r="E56" i="71"/>
  <c r="U56" i="71"/>
  <c r="C56" i="71"/>
  <c r="T56" i="71"/>
  <c r="B56" i="71"/>
  <c r="S56" i="71"/>
  <c r="Q56" i="71"/>
  <c r="P56" i="71"/>
  <c r="O56" i="71"/>
  <c r="N56" i="71"/>
  <c r="D56" i="71"/>
  <c r="Q55" i="71"/>
  <c r="P55" i="71"/>
  <c r="O55" i="71"/>
  <c r="N55" i="71"/>
  <c r="F55" i="71"/>
  <c r="F54" i="71" s="1"/>
  <c r="E55" i="71"/>
  <c r="C55" i="71"/>
  <c r="B55" i="71"/>
  <c r="B54" i="71" s="1"/>
  <c r="Q54" i="71"/>
  <c r="P54" i="71"/>
  <c r="O54" i="71"/>
  <c r="N54" i="71"/>
  <c r="E54" i="71"/>
  <c r="Q53" i="71"/>
  <c r="P53" i="71"/>
  <c r="O53" i="71"/>
  <c r="N53" i="71"/>
  <c r="D53" i="71"/>
  <c r="F52" i="71"/>
  <c r="V52" i="71"/>
  <c r="E52" i="71"/>
  <c r="U52" i="71"/>
  <c r="C52" i="71"/>
  <c r="T52" i="71"/>
  <c r="B52" i="71"/>
  <c r="S52" i="71"/>
  <c r="Q52" i="71"/>
  <c r="P52" i="71"/>
  <c r="O52" i="71"/>
  <c r="N52" i="71"/>
  <c r="D52" i="71"/>
  <c r="F51" i="71"/>
  <c r="E51" i="71"/>
  <c r="C51" i="71"/>
  <c r="B51" i="71"/>
  <c r="D51" i="71"/>
  <c r="D49" i="71"/>
  <c r="Q45" i="71"/>
  <c r="F46" i="71"/>
  <c r="Q46" i="71"/>
  <c r="F47" i="71"/>
  <c r="Q47" i="71"/>
  <c r="F48" i="71"/>
  <c r="V48" i="71" s="1"/>
  <c r="P45" i="71"/>
  <c r="E46" i="71" s="1"/>
  <c r="E47" i="71" s="1"/>
  <c r="P46" i="71"/>
  <c r="P47" i="71"/>
  <c r="O45" i="71"/>
  <c r="C46" i="71"/>
  <c r="D46" i="71" s="1"/>
  <c r="O46" i="71"/>
  <c r="C47" i="71"/>
  <c r="O47" i="71"/>
  <c r="C48" i="71"/>
  <c r="N45" i="71"/>
  <c r="B46" i="71" s="1"/>
  <c r="B47" i="71" s="1"/>
  <c r="N46" i="71"/>
  <c r="N47" i="71"/>
  <c r="Q48" i="71"/>
  <c r="P48" i="71"/>
  <c r="O48" i="71"/>
  <c r="N48" i="71"/>
  <c r="D47" i="71"/>
  <c r="D45" i="71"/>
  <c r="Q41" i="71"/>
  <c r="F42" i="71"/>
  <c r="Q42" i="71"/>
  <c r="F43" i="71"/>
  <c r="Q43" i="71"/>
  <c r="F44" i="71"/>
  <c r="V44" i="71" s="1"/>
  <c r="P41" i="71"/>
  <c r="E42" i="71" s="1"/>
  <c r="E43" i="71" s="1"/>
  <c r="P42" i="71"/>
  <c r="P43" i="71"/>
  <c r="O41" i="71"/>
  <c r="C42" i="71"/>
  <c r="D42" i="71" s="1"/>
  <c r="O42" i="71"/>
  <c r="C43" i="71"/>
  <c r="O43" i="71"/>
  <c r="C44" i="71"/>
  <c r="N41" i="71"/>
  <c r="B42" i="71" s="1"/>
  <c r="B43" i="71" s="1"/>
  <c r="N42" i="71"/>
  <c r="N43" i="71"/>
  <c r="Q44" i="71"/>
  <c r="P44" i="71"/>
  <c r="O44" i="71"/>
  <c r="N44" i="71"/>
  <c r="D43" i="71"/>
  <c r="D41" i="71"/>
  <c r="Q37" i="71"/>
  <c r="F38" i="71"/>
  <c r="Q38" i="71"/>
  <c r="F39" i="71"/>
  <c r="Q39" i="71"/>
  <c r="F40" i="71"/>
  <c r="V40" i="71" s="1"/>
  <c r="P37" i="71"/>
  <c r="E38" i="71" s="1"/>
  <c r="E39" i="71" s="1"/>
  <c r="P38" i="71"/>
  <c r="P39" i="71"/>
  <c r="O37" i="71"/>
  <c r="C38" i="71"/>
  <c r="D38" i="71" s="1"/>
  <c r="O38" i="71"/>
  <c r="C39" i="71"/>
  <c r="O39" i="71"/>
  <c r="C40" i="71"/>
  <c r="N37" i="71"/>
  <c r="B38" i="71" s="1"/>
  <c r="B39" i="71" s="1"/>
  <c r="N38" i="71"/>
  <c r="N39" i="71"/>
  <c r="Q40" i="71"/>
  <c r="P40" i="71"/>
  <c r="O40" i="71"/>
  <c r="N40" i="71"/>
  <c r="D39" i="71"/>
  <c r="D37" i="71"/>
  <c r="Q33" i="71"/>
  <c r="F34" i="71"/>
  <c r="Q34" i="71"/>
  <c r="F35" i="71"/>
  <c r="Q35" i="71"/>
  <c r="F36" i="71"/>
  <c r="V36" i="71" s="1"/>
  <c r="P33" i="71"/>
  <c r="E34" i="71" s="1"/>
  <c r="E35" i="71" s="1"/>
  <c r="P34" i="71"/>
  <c r="P35" i="71"/>
  <c r="O33" i="71"/>
  <c r="C34" i="71"/>
  <c r="D34" i="71" s="1"/>
  <c r="O34" i="71"/>
  <c r="C35" i="71"/>
  <c r="O35" i="71"/>
  <c r="C36" i="71"/>
  <c r="N33" i="71"/>
  <c r="B34" i="71" s="1"/>
  <c r="B35" i="71" s="1"/>
  <c r="N34" i="71"/>
  <c r="N35" i="71"/>
  <c r="Q36" i="71"/>
  <c r="P36" i="71"/>
  <c r="O36" i="71"/>
  <c r="N36" i="71"/>
  <c r="D35" i="71"/>
  <c r="D33" i="71"/>
  <c r="Q29" i="71"/>
  <c r="F30" i="71"/>
  <c r="Q30" i="71"/>
  <c r="F31" i="71"/>
  <c r="Q31" i="71"/>
  <c r="F32" i="71"/>
  <c r="V32" i="71" s="1"/>
  <c r="P29" i="71"/>
  <c r="E30" i="71" s="1"/>
  <c r="E31" i="71" s="1"/>
  <c r="P30" i="71"/>
  <c r="P31" i="71"/>
  <c r="T32" i="71"/>
  <c r="N29" i="71"/>
  <c r="B30" i="71" s="1"/>
  <c r="N30" i="71"/>
  <c r="N31" i="71"/>
  <c r="Q32" i="71"/>
  <c r="P32" i="71"/>
  <c r="O32" i="71"/>
  <c r="N32" i="71"/>
  <c r="D32" i="71"/>
  <c r="O31" i="71"/>
  <c r="O29" i="71"/>
  <c r="C30" i="71"/>
  <c r="D30" i="71" s="1"/>
  <c r="O30" i="71"/>
  <c r="C31" i="71"/>
  <c r="D31" i="71" s="1"/>
  <c r="D29" i="71"/>
  <c r="Q25" i="71"/>
  <c r="F26" i="71" s="1"/>
  <c r="Q26" i="71"/>
  <c r="Q27" i="71"/>
  <c r="P25" i="71"/>
  <c r="E26" i="71"/>
  <c r="P26" i="71"/>
  <c r="E27" i="71"/>
  <c r="P27" i="71"/>
  <c r="E28" i="71"/>
  <c r="U28" i="71" s="1"/>
  <c r="O25" i="71"/>
  <c r="C26" i="71" s="1"/>
  <c r="O26" i="71"/>
  <c r="O27" i="71"/>
  <c r="N25" i="71"/>
  <c r="B26" i="71"/>
  <c r="N26" i="71"/>
  <c r="B27" i="71"/>
  <c r="N27" i="71"/>
  <c r="B28" i="71"/>
  <c r="S28" i="71" s="1"/>
  <c r="Q28" i="71"/>
  <c r="P28" i="71"/>
  <c r="O28" i="71"/>
  <c r="N28" i="71"/>
  <c r="D26" i="71"/>
  <c r="D25" i="71"/>
  <c r="U24" i="71"/>
  <c r="Q24" i="71"/>
  <c r="P24" i="71"/>
  <c r="O24" i="71"/>
  <c r="N24" i="71"/>
  <c r="AB23" i="71"/>
  <c r="AA23" i="71"/>
  <c r="Y23" i="71"/>
  <c r="Z23" i="71" s="1"/>
  <c r="X23" i="71"/>
  <c r="AB22" i="71"/>
  <c r="AA22" i="71"/>
  <c r="Y22" i="71"/>
  <c r="Z22" i="71"/>
  <c r="X22" i="71"/>
  <c r="AB21" i="71"/>
  <c r="AA21" i="71"/>
  <c r="Y21" i="71"/>
  <c r="Z21" i="71" s="1"/>
  <c r="X21" i="71"/>
  <c r="Q20" i="71"/>
  <c r="AB20" i="71"/>
  <c r="P20" i="71"/>
  <c r="AA20" i="71"/>
  <c r="O20" i="71"/>
  <c r="Y20" i="71"/>
  <c r="Z20" i="71" s="1"/>
  <c r="N20" i="71"/>
  <c r="U20" i="71"/>
  <c r="AB19" i="71"/>
  <c r="AA19" i="71"/>
  <c r="Y19" i="71"/>
  <c r="Z19" i="71" s="1"/>
  <c r="AB18" i="71"/>
  <c r="AA18" i="71"/>
  <c r="Y18" i="71"/>
  <c r="Z18" i="71"/>
  <c r="AB17" i="71"/>
  <c r="AA17" i="71"/>
  <c r="Y17" i="71"/>
  <c r="Z17" i="71" s="1"/>
  <c r="Q16" i="71"/>
  <c r="AB16" i="71"/>
  <c r="P16" i="71"/>
  <c r="AA16" i="71"/>
  <c r="O16" i="71"/>
  <c r="Y16" i="71"/>
  <c r="Z16" i="71" s="1"/>
  <c r="N16" i="71"/>
  <c r="U16" i="71"/>
  <c r="AB15" i="71"/>
  <c r="AA15" i="71"/>
  <c r="Y15" i="71"/>
  <c r="Z15" i="71" s="1"/>
  <c r="AB14" i="71"/>
  <c r="AA14" i="71"/>
  <c r="Y14" i="71"/>
  <c r="Z14" i="71"/>
  <c r="AB13" i="71"/>
  <c r="AA13" i="71"/>
  <c r="Y13" i="71"/>
  <c r="Z13" i="71" s="1"/>
  <c r="AB12" i="71"/>
  <c r="AA12" i="71"/>
  <c r="Y12" i="71"/>
  <c r="Z12" i="71"/>
  <c r="V12" i="71"/>
  <c r="U12" i="71"/>
  <c r="T12" i="71"/>
  <c r="S12" i="71"/>
  <c r="AB11" i="71"/>
  <c r="AA11" i="71"/>
  <c r="Y11" i="71"/>
  <c r="Z11" i="71" s="1"/>
  <c r="AB10" i="71"/>
  <c r="AA10" i="71"/>
  <c r="Y10" i="71"/>
  <c r="Z10" i="71"/>
  <c r="Q9" i="71"/>
  <c r="P9" i="71"/>
  <c r="O9" i="71"/>
  <c r="N9" i="71"/>
  <c r="AA8" i="71"/>
  <c r="V8" i="71"/>
  <c r="T8" i="71"/>
  <c r="S8" i="71"/>
  <c r="Y7" i="71"/>
  <c r="Z7" i="71" s="1"/>
  <c r="AA6" i="71"/>
  <c r="AB5" i="71"/>
  <c r="X5" i="71"/>
  <c r="AA3" i="71"/>
  <c r="C10" i="43"/>
  <c r="C11" i="43" s="1"/>
  <c r="E8" i="43"/>
  <c r="E10" i="43"/>
  <c r="C9" i="43"/>
  <c r="F34" i="43"/>
  <c r="F35" i="43"/>
  <c r="F36" i="43"/>
  <c r="F37" i="43"/>
  <c r="F38" i="43"/>
  <c r="F39" i="43"/>
  <c r="H33" i="43"/>
  <c r="H34" i="43"/>
  <c r="H35" i="43"/>
  <c r="H36" i="43"/>
  <c r="H37" i="43"/>
  <c r="H38" i="43"/>
  <c r="H39" i="43"/>
  <c r="C99" i="43"/>
  <c r="D99" i="43"/>
  <c r="F113" i="43"/>
  <c r="H113" i="43"/>
  <c r="A7" i="43"/>
  <c r="N99" i="43"/>
  <c r="N108" i="43"/>
  <c r="M99" i="43"/>
  <c r="M108" i="43"/>
  <c r="L99" i="43"/>
  <c r="L108" i="43"/>
  <c r="K99" i="43"/>
  <c r="K108" i="43"/>
  <c r="J99" i="43"/>
  <c r="J108" i="43"/>
  <c r="I99" i="43"/>
  <c r="I108" i="43"/>
  <c r="H99" i="43"/>
  <c r="H108" i="43"/>
  <c r="G99" i="43"/>
  <c r="G108" i="43"/>
  <c r="F99" i="43"/>
  <c r="F108" i="43"/>
  <c r="E99" i="43"/>
  <c r="E108" i="43"/>
  <c r="N100" i="43"/>
  <c r="M100" i="43"/>
  <c r="L100" i="43"/>
  <c r="K100" i="43"/>
  <c r="J100" i="43"/>
  <c r="I100" i="43"/>
  <c r="H100" i="43"/>
  <c r="G100" i="43"/>
  <c r="F100" i="43"/>
  <c r="E100" i="43"/>
  <c r="M88" i="43"/>
  <c r="N88" i="43"/>
  <c r="K88" i="43"/>
  <c r="J88" i="43"/>
  <c r="F81" i="43"/>
  <c r="H88" i="43"/>
  <c r="D88" i="43"/>
  <c r="B88" i="43"/>
  <c r="M87" i="43"/>
  <c r="N87" i="43"/>
  <c r="K87" i="43"/>
  <c r="J87" i="43"/>
  <c r="H87" i="43"/>
  <c r="D87" i="43"/>
  <c r="M86" i="43"/>
  <c r="N86" i="43"/>
  <c r="K86" i="43"/>
  <c r="J86" i="43"/>
  <c r="H86" i="43"/>
  <c r="D86" i="43"/>
  <c r="B86" i="43"/>
  <c r="M85" i="43"/>
  <c r="N85" i="43" s="1"/>
  <c r="K85" i="43"/>
  <c r="J85" i="43" s="1"/>
  <c r="H85" i="43"/>
  <c r="D85" i="43"/>
  <c r="B85" i="43"/>
  <c r="M84" i="43"/>
  <c r="N84" i="43"/>
  <c r="K84" i="43"/>
  <c r="J84" i="43"/>
  <c r="H84" i="43"/>
  <c r="D84" i="43"/>
  <c r="B84" i="43"/>
  <c r="M83" i="43"/>
  <c r="N83" i="43" s="1"/>
  <c r="K83" i="43"/>
  <c r="J83" i="43" s="1"/>
  <c r="H83" i="43"/>
  <c r="D83" i="43"/>
  <c r="B83" i="43"/>
  <c r="M82" i="43"/>
  <c r="N82" i="43"/>
  <c r="K82" i="43"/>
  <c r="J82" i="43"/>
  <c r="H82" i="43"/>
  <c r="D82" i="43"/>
  <c r="B82" i="43"/>
  <c r="M81" i="43"/>
  <c r="N81" i="43" s="1"/>
  <c r="K81" i="43"/>
  <c r="J81" i="43" s="1"/>
  <c r="H81" i="43"/>
  <c r="D81" i="43"/>
  <c r="E81" i="43"/>
  <c r="B81" i="43"/>
  <c r="B79" i="43"/>
  <c r="M78" i="43"/>
  <c r="N78" i="43"/>
  <c r="K78" i="43"/>
  <c r="J78" i="43"/>
  <c r="F70" i="43"/>
  <c r="H78" i="43"/>
  <c r="D78" i="43"/>
  <c r="M77" i="43"/>
  <c r="N77" i="43" s="1"/>
  <c r="K77" i="43"/>
  <c r="J77" i="43" s="1"/>
  <c r="H77" i="43"/>
  <c r="D77" i="43"/>
  <c r="B77" i="43"/>
  <c r="M76" i="43"/>
  <c r="N76" i="43"/>
  <c r="K76" i="43"/>
  <c r="J76" i="43"/>
  <c r="H76" i="43"/>
  <c r="D76" i="43"/>
  <c r="M75" i="43"/>
  <c r="N75" i="43"/>
  <c r="K75" i="43"/>
  <c r="J75" i="43"/>
  <c r="H75" i="43"/>
  <c r="D75" i="43"/>
  <c r="B75" i="43"/>
  <c r="M74" i="43"/>
  <c r="N74" i="43" s="1"/>
  <c r="K74" i="43"/>
  <c r="J74" i="43" s="1"/>
  <c r="H74" i="43"/>
  <c r="D74" i="43"/>
  <c r="B74" i="43"/>
  <c r="M73" i="43"/>
  <c r="N73" i="43"/>
  <c r="K73" i="43"/>
  <c r="J73" i="43"/>
  <c r="H73" i="43"/>
  <c r="D73" i="43"/>
  <c r="B73" i="43"/>
  <c r="M72" i="43"/>
  <c r="N72" i="43" s="1"/>
  <c r="K72" i="43"/>
  <c r="J72" i="43" s="1"/>
  <c r="H72" i="43"/>
  <c r="D72" i="43"/>
  <c r="B72" i="43"/>
  <c r="M71" i="43"/>
  <c r="N71" i="43"/>
  <c r="K71" i="43"/>
  <c r="J71" i="43"/>
  <c r="H71" i="43"/>
  <c r="D71" i="43"/>
  <c r="B71" i="43"/>
  <c r="M70" i="43"/>
  <c r="N70" i="43" s="1"/>
  <c r="K70" i="43"/>
  <c r="J70" i="43" s="1"/>
  <c r="H70" i="43"/>
  <c r="D70" i="43"/>
  <c r="E70" i="43"/>
  <c r="B70" i="43"/>
  <c r="B68" i="43"/>
  <c r="M67" i="43"/>
  <c r="N67" i="43"/>
  <c r="K67" i="43"/>
  <c r="J67" i="43"/>
  <c r="F59" i="43"/>
  <c r="H67" i="43"/>
  <c r="D67" i="43"/>
  <c r="B67" i="43"/>
  <c r="M66" i="43"/>
  <c r="N66" i="43"/>
  <c r="K66" i="43"/>
  <c r="J66" i="43"/>
  <c r="H66" i="43"/>
  <c r="D66" i="43"/>
  <c r="B66" i="43"/>
  <c r="M65" i="43"/>
  <c r="N65" i="43" s="1"/>
  <c r="K65" i="43"/>
  <c r="J65" i="43" s="1"/>
  <c r="H65" i="43"/>
  <c r="D65" i="43"/>
  <c r="B65" i="43"/>
  <c r="M64" i="43"/>
  <c r="N64" i="43"/>
  <c r="K64" i="43"/>
  <c r="J64" i="43"/>
  <c r="H64" i="43"/>
  <c r="D64" i="43"/>
  <c r="M63" i="43"/>
  <c r="N63" i="43"/>
  <c r="K63" i="43"/>
  <c r="J63" i="43"/>
  <c r="H63" i="43"/>
  <c r="D63" i="43"/>
  <c r="B63" i="43"/>
  <c r="M62" i="43"/>
  <c r="N62" i="43" s="1"/>
  <c r="K62" i="43"/>
  <c r="J62" i="43" s="1"/>
  <c r="H62" i="43"/>
  <c r="D62" i="43"/>
  <c r="M61" i="43"/>
  <c r="N61" i="43" s="1"/>
  <c r="K61" i="43"/>
  <c r="J61" i="43" s="1"/>
  <c r="H61" i="43"/>
  <c r="D61" i="43"/>
  <c r="B61" i="43"/>
  <c r="M60" i="43"/>
  <c r="N60" i="43"/>
  <c r="K60" i="43"/>
  <c r="J60" i="43"/>
  <c r="H60" i="43"/>
  <c r="D60" i="43"/>
  <c r="B60" i="43"/>
  <c r="M59" i="43"/>
  <c r="N59" i="43" s="1"/>
  <c r="K59" i="43"/>
  <c r="J59" i="43" s="1"/>
  <c r="H59" i="43"/>
  <c r="D59" i="43"/>
  <c r="E59" i="43"/>
  <c r="B59" i="43"/>
  <c r="B57" i="43"/>
  <c r="M56" i="43"/>
  <c r="N56" i="43"/>
  <c r="J56" i="43"/>
  <c r="N2" i="43"/>
  <c r="F48" i="43" s="1"/>
  <c r="H56" i="43"/>
  <c r="B56" i="43"/>
  <c r="M55" i="43"/>
  <c r="N55" i="43" s="1"/>
  <c r="J55" i="43"/>
  <c r="B55" i="43"/>
  <c r="M54" i="43"/>
  <c r="N54" i="43"/>
  <c r="J54" i="43"/>
  <c r="H54" i="43"/>
  <c r="B54" i="43"/>
  <c r="M53" i="43"/>
  <c r="N53" i="43" s="1"/>
  <c r="J53" i="43"/>
  <c r="M52" i="43"/>
  <c r="N52" i="43" s="1"/>
  <c r="H52" i="43"/>
  <c r="B52" i="43"/>
  <c r="M51" i="43"/>
  <c r="N51" i="43" s="1"/>
  <c r="J51" i="43"/>
  <c r="M50" i="43"/>
  <c r="N50" i="43" s="1"/>
  <c r="J50" i="43"/>
  <c r="B50" i="43"/>
  <c r="M49" i="43"/>
  <c r="N49" i="43"/>
  <c r="J49" i="43"/>
  <c r="H49" i="43"/>
  <c r="B49" i="43"/>
  <c r="M48" i="43"/>
  <c r="N48" i="43" s="1"/>
  <c r="J48" i="43"/>
  <c r="B48" i="43"/>
  <c r="P24" i="43"/>
  <c r="B66" i="40" s="1"/>
  <c r="P22" i="43"/>
  <c r="O19" i="43"/>
  <c r="I19" i="43"/>
  <c r="E17" i="43"/>
  <c r="F15" i="43"/>
  <c r="E15" i="43"/>
  <c r="D15" i="43"/>
  <c r="C15" i="43"/>
  <c r="AJ9" i="43"/>
  <c r="AJ12" i="43"/>
  <c r="AI9" i="43"/>
  <c r="AI12" i="43"/>
  <c r="AH9" i="43"/>
  <c r="AH12" i="43"/>
  <c r="AG9" i="43"/>
  <c r="AG12" i="43"/>
  <c r="AF9" i="43"/>
  <c r="AF12" i="43"/>
  <c r="AE9" i="43"/>
  <c r="AE12" i="43"/>
  <c r="AD9" i="43"/>
  <c r="AD12" i="43"/>
  <c r="AC9" i="43"/>
  <c r="AC12" i="43"/>
  <c r="AB9" i="43"/>
  <c r="AB12" i="43"/>
  <c r="AA9" i="43"/>
  <c r="AA12" i="43"/>
  <c r="Z9" i="43"/>
  <c r="Z12" i="43"/>
  <c r="Y12" i="43"/>
  <c r="N12" i="43"/>
  <c r="M12" i="43"/>
  <c r="C12" i="43"/>
  <c r="N11" i="43"/>
  <c r="M11" i="43"/>
  <c r="AJ10" i="43"/>
  <c r="AI10" i="43"/>
  <c r="AH10" i="43"/>
  <c r="AG10" i="43"/>
  <c r="AF10" i="43"/>
  <c r="AE10" i="43"/>
  <c r="AD10" i="43"/>
  <c r="AC10" i="43"/>
  <c r="AB10" i="43"/>
  <c r="AA10" i="43"/>
  <c r="Z10" i="43"/>
  <c r="Y10" i="43"/>
  <c r="N10" i="43"/>
  <c r="M10" i="43"/>
  <c r="N9" i="43"/>
  <c r="M9" i="43"/>
  <c r="N8" i="43"/>
  <c r="M8" i="43"/>
  <c r="X7" i="43"/>
  <c r="N7" i="43"/>
  <c r="M7" i="43"/>
  <c r="N6" i="43"/>
  <c r="M6" i="43"/>
  <c r="N5" i="43"/>
  <c r="M5" i="43"/>
  <c r="N4" i="43"/>
  <c r="M4" i="43"/>
  <c r="N3" i="43"/>
  <c r="M3" i="43"/>
  <c r="N1" i="43"/>
  <c r="M1" i="43"/>
  <c r="B120" i="40"/>
  <c r="B118"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D96" i="40"/>
  <c r="E96" i="40" s="1"/>
  <c r="F96" i="40"/>
  <c r="G96" i="40" s="1"/>
  <c r="H96" i="40" s="1"/>
  <c r="I96" i="40" s="1"/>
  <c r="J96" i="40" s="1"/>
  <c r="K96" i="40" s="1"/>
  <c r="L96" i="40" s="1"/>
  <c r="M96" i="40" s="1"/>
  <c r="B95" i="40"/>
  <c r="D94" i="40"/>
  <c r="E94" i="40"/>
  <c r="F94" i="40" s="1"/>
  <c r="G94" i="40" s="1"/>
  <c r="D92" i="40"/>
  <c r="E92" i="40"/>
  <c r="F92" i="40" s="1"/>
  <c r="G92" i="40"/>
  <c r="D90" i="40"/>
  <c r="E90" i="40"/>
  <c r="F90" i="40" s="1"/>
  <c r="G90" i="40" s="1"/>
  <c r="D88" i="40"/>
  <c r="E88" i="40"/>
  <c r="F88" i="40" s="1"/>
  <c r="G88" i="40"/>
  <c r="D86" i="40"/>
  <c r="E86" i="40"/>
  <c r="F86" i="40" s="1"/>
  <c r="G86" i="40" s="1"/>
  <c r="D84" i="40"/>
  <c r="E84" i="40"/>
  <c r="F84" i="40" s="1"/>
  <c r="G84" i="40"/>
  <c r="B81" i="40"/>
  <c r="B79" i="40"/>
  <c r="B77" i="40"/>
  <c r="D76" i="40"/>
  <c r="E76" i="40" s="1"/>
  <c r="F76" i="40" s="1"/>
  <c r="G76" i="40" s="1"/>
  <c r="H76" i="40"/>
  <c r="I76" i="40" s="1"/>
  <c r="J76" i="40" s="1"/>
  <c r="K76" i="40" s="1"/>
  <c r="L76" i="40" s="1"/>
  <c r="M76" i="40" s="1"/>
  <c r="M74" i="40"/>
  <c r="L74" i="40"/>
  <c r="K74" i="40"/>
  <c r="J74" i="40"/>
  <c r="I74" i="40"/>
  <c r="H74" i="40"/>
  <c r="G74" i="40"/>
  <c r="F74" i="40"/>
  <c r="E74" i="40"/>
  <c r="D74" i="40"/>
  <c r="C74" i="40"/>
  <c r="C7" i="40"/>
  <c r="C63" i="40" s="1"/>
  <c r="D63" i="40"/>
  <c r="C65" i="40"/>
  <c r="R41" i="40"/>
  <c r="H60" i="40"/>
  <c r="I60" i="40" s="1"/>
  <c r="C60" i="40" s="1"/>
  <c r="H59" i="40"/>
  <c r="I59" i="40"/>
  <c r="C59" i="40" s="1"/>
  <c r="H58" i="40"/>
  <c r="I58" i="40" s="1"/>
  <c r="C58" i="40" s="1"/>
  <c r="H57" i="40"/>
  <c r="I57" i="40"/>
  <c r="C57" i="40" s="1"/>
  <c r="H56" i="40"/>
  <c r="I56" i="40" s="1"/>
  <c r="C56" i="40" s="1"/>
  <c r="H55" i="40"/>
  <c r="I55" i="40"/>
  <c r="C55" i="40" s="1"/>
  <c r="H54" i="40"/>
  <c r="I54" i="40" s="1"/>
  <c r="C54" i="40"/>
  <c r="H53" i="40"/>
  <c r="I53" i="40"/>
  <c r="C53" i="40" s="1"/>
  <c r="H52" i="40"/>
  <c r="I52" i="40" s="1"/>
  <c r="C52" i="40"/>
  <c r="F35" i="4"/>
  <c r="J50" i="40" s="1"/>
  <c r="I48" i="40"/>
  <c r="J48" i="40" s="1"/>
  <c r="G48" i="40"/>
  <c r="H48" i="40" s="1"/>
  <c r="E48" i="40"/>
  <c r="F48" i="40" s="1"/>
  <c r="V41" i="40"/>
  <c r="T41" i="40"/>
  <c r="P43" i="40"/>
  <c r="P42" i="40"/>
  <c r="P41" i="40"/>
  <c r="J40" i="40"/>
  <c r="AC40" i="40"/>
  <c r="H40" i="40"/>
  <c r="AB40" i="40"/>
  <c r="F40" i="40"/>
  <c r="AA40" i="40"/>
  <c r="Q40" i="40"/>
  <c r="Z40" i="40"/>
  <c r="W40" i="40"/>
  <c r="U40" i="40"/>
  <c r="S40" i="40"/>
  <c r="Q39" i="40"/>
  <c r="Z39" i="40" s="1"/>
  <c r="J38" i="40"/>
  <c r="AC38" i="40"/>
  <c r="H38" i="40"/>
  <c r="AB38" i="40"/>
  <c r="F38" i="40"/>
  <c r="AA38" i="40"/>
  <c r="Q38" i="40"/>
  <c r="Z38" i="40"/>
  <c r="W38" i="40"/>
  <c r="U38" i="40"/>
  <c r="S38" i="40"/>
  <c r="J37" i="40"/>
  <c r="AC37" i="40" s="1"/>
  <c r="H37" i="40"/>
  <c r="F37" i="40"/>
  <c r="Q37" i="40"/>
  <c r="Z37" i="40" s="1"/>
  <c r="W37" i="40"/>
  <c r="J36" i="40"/>
  <c r="AC36" i="40"/>
  <c r="H36" i="40"/>
  <c r="AB36" i="40"/>
  <c r="F36" i="40"/>
  <c r="AA36" i="40"/>
  <c r="Q36" i="40"/>
  <c r="Z36" i="40"/>
  <c r="W36" i="40"/>
  <c r="U36" i="40"/>
  <c r="S36" i="40"/>
  <c r="J35" i="40"/>
  <c r="AC35" i="40" s="1"/>
  <c r="H35" i="40"/>
  <c r="F35" i="40"/>
  <c r="AA35" i="40" s="1"/>
  <c r="Q35" i="40"/>
  <c r="Z35" i="40" s="1"/>
  <c r="W35" i="40"/>
  <c r="S35" i="40"/>
  <c r="J34" i="40"/>
  <c r="AC34" i="40"/>
  <c r="H34" i="40"/>
  <c r="AB34" i="40"/>
  <c r="F34" i="40"/>
  <c r="AA34" i="40"/>
  <c r="Q34" i="40"/>
  <c r="Z34" i="40"/>
  <c r="W34" i="40"/>
  <c r="U34" i="40"/>
  <c r="S34" i="40"/>
  <c r="J33" i="40"/>
  <c r="AC33" i="40" s="1"/>
  <c r="H33" i="40"/>
  <c r="F33" i="40"/>
  <c r="Q33" i="40"/>
  <c r="Z33" i="40" s="1"/>
  <c r="W33" i="40"/>
  <c r="Q32" i="40"/>
  <c r="Z32" i="40"/>
  <c r="J31" i="40"/>
  <c r="AC31" i="40" s="1"/>
  <c r="H31" i="40"/>
  <c r="F31" i="40"/>
  <c r="Q31" i="40"/>
  <c r="Z31" i="40" s="1"/>
  <c r="W31" i="40"/>
  <c r="C30" i="40"/>
  <c r="J30" i="40"/>
  <c r="AC30" i="40" s="1"/>
  <c r="H30" i="40"/>
  <c r="F30" i="40"/>
  <c r="AA30" i="40" s="1"/>
  <c r="Q30" i="40"/>
  <c r="Z30" i="40" s="1"/>
  <c r="W30" i="40"/>
  <c r="S30" i="40"/>
  <c r="J28" i="40"/>
  <c r="AC28" i="40"/>
  <c r="H28" i="40"/>
  <c r="AB28" i="40"/>
  <c r="F28" i="40"/>
  <c r="AA28" i="40"/>
  <c r="Q28" i="40"/>
  <c r="Z28" i="40"/>
  <c r="W28" i="40"/>
  <c r="U28" i="40"/>
  <c r="S28" i="40"/>
  <c r="C28" i="40"/>
  <c r="Q27" i="40"/>
  <c r="Z27" i="40"/>
  <c r="J25" i="40"/>
  <c r="AC25" i="40" s="1"/>
  <c r="H25" i="40"/>
  <c r="F25" i="40"/>
  <c r="AA25" i="40" s="1"/>
  <c r="Q25" i="40"/>
  <c r="Z25" i="40" s="1"/>
  <c r="W25" i="40"/>
  <c r="S25" i="40"/>
  <c r="C25" i="40"/>
  <c r="J23" i="40"/>
  <c r="AC23" i="40" s="1"/>
  <c r="H23" i="40"/>
  <c r="F23" i="40"/>
  <c r="Q23" i="40"/>
  <c r="Z23" i="40" s="1"/>
  <c r="W23" i="40"/>
  <c r="C23" i="40"/>
  <c r="J21" i="40"/>
  <c r="AC21" i="40" s="1"/>
  <c r="H21" i="40"/>
  <c r="F21" i="40"/>
  <c r="AA21" i="40" s="1"/>
  <c r="Q21" i="40"/>
  <c r="Z21" i="40" s="1"/>
  <c r="W21" i="40"/>
  <c r="S21" i="40"/>
  <c r="C21" i="40"/>
  <c r="J19" i="40"/>
  <c r="AC19" i="40" s="1"/>
  <c r="H19" i="40"/>
  <c r="F19" i="40"/>
  <c r="Q19" i="40"/>
  <c r="Z19" i="40" s="1"/>
  <c r="W19" i="40"/>
  <c r="C19" i="40"/>
  <c r="J17" i="40"/>
  <c r="AC17" i="40" s="1"/>
  <c r="H17" i="40"/>
  <c r="F17" i="40"/>
  <c r="AA17" i="40" s="1"/>
  <c r="Q17" i="40"/>
  <c r="Z17" i="40" s="1"/>
  <c r="W17" i="40"/>
  <c r="S17" i="40"/>
  <c r="C17" i="40"/>
  <c r="J15" i="40"/>
  <c r="AC15" i="40" s="1"/>
  <c r="H15" i="40"/>
  <c r="F15" i="40"/>
  <c r="Q15" i="40"/>
  <c r="Z15" i="40" s="1"/>
  <c r="W15" i="40"/>
  <c r="C15" i="40"/>
  <c r="J14" i="40"/>
  <c r="AC14" i="40" s="1"/>
  <c r="H14" i="40"/>
  <c r="F14" i="40"/>
  <c r="AA14" i="40" s="1"/>
  <c r="Q14" i="40"/>
  <c r="Z14" i="40" s="1"/>
  <c r="W14" i="40"/>
  <c r="S14" i="40"/>
  <c r="Q13" i="40"/>
  <c r="Z13" i="40"/>
  <c r="J12" i="40"/>
  <c r="AC12" i="40" s="1"/>
  <c r="H12" i="40"/>
  <c r="F12" i="40"/>
  <c r="AA12" i="40" s="1"/>
  <c r="Q12" i="40"/>
  <c r="Z12" i="40" s="1"/>
  <c r="W12" i="40"/>
  <c r="S12" i="40"/>
  <c r="J11" i="40"/>
  <c r="AC11" i="40"/>
  <c r="H11" i="40"/>
  <c r="AB11" i="40"/>
  <c r="F11" i="40"/>
  <c r="AA11" i="40"/>
  <c r="Q11" i="40"/>
  <c r="Z11" i="40"/>
  <c r="W11" i="40"/>
  <c r="U11" i="40"/>
  <c r="S11" i="40"/>
  <c r="Q10" i="40"/>
  <c r="Z10" i="40" s="1"/>
  <c r="J9" i="40"/>
  <c r="AC9" i="40" s="1"/>
  <c r="H9" i="40"/>
  <c r="F9" i="40"/>
  <c r="AA9" i="40" s="1"/>
  <c r="Q9" i="40"/>
  <c r="Z9" i="40" s="1"/>
  <c r="W9" i="40"/>
  <c r="S9" i="40"/>
  <c r="J8" i="40"/>
  <c r="AC8" i="40"/>
  <c r="H8" i="40"/>
  <c r="AB8" i="40"/>
  <c r="F8" i="40"/>
  <c r="AA8" i="40"/>
  <c r="W8" i="40"/>
  <c r="U8" i="40"/>
  <c r="S8" i="40"/>
  <c r="B131" i="39"/>
  <c r="B129" i="39"/>
  <c r="B127" i="39"/>
  <c r="D126" i="39"/>
  <c r="E126" i="39"/>
  <c r="F126" i="39" s="1"/>
  <c r="G126" i="39" s="1"/>
  <c r="H126" i="39" s="1"/>
  <c r="I126" i="39"/>
  <c r="J126" i="39" s="1"/>
  <c r="K126" i="39" s="1"/>
  <c r="L126" i="39" s="1"/>
  <c r="M126" i="39" s="1"/>
  <c r="D124" i="39"/>
  <c r="E124" i="39"/>
  <c r="F124" i="39" s="1"/>
  <c r="G124" i="39" s="1"/>
  <c r="H124" i="39" s="1"/>
  <c r="I124" i="39"/>
  <c r="J124" i="39" s="1"/>
  <c r="K124" i="39" s="1"/>
  <c r="L124" i="39" s="1"/>
  <c r="M124" i="39" s="1"/>
  <c r="D122" i="39"/>
  <c r="E122" i="39"/>
  <c r="F122" i="39" s="1"/>
  <c r="G122" i="39" s="1"/>
  <c r="H122" i="39" s="1"/>
  <c r="I122" i="39"/>
  <c r="J122" i="39" s="1"/>
  <c r="K122" i="39" s="1"/>
  <c r="L122" i="39" s="1"/>
  <c r="M122" i="39" s="1"/>
  <c r="D120" i="39"/>
  <c r="E120" i="39"/>
  <c r="F120" i="39" s="1"/>
  <c r="G120" i="39" s="1"/>
  <c r="H120" i="39" s="1"/>
  <c r="I120" i="39"/>
  <c r="J120" i="39" s="1"/>
  <c r="K120" i="39" s="1"/>
  <c r="L120" i="39" s="1"/>
  <c r="M120" i="39" s="1"/>
  <c r="M116" i="39"/>
  <c r="L116" i="39"/>
  <c r="K116" i="39"/>
  <c r="J116" i="39"/>
  <c r="I116" i="39"/>
  <c r="H116" i="39"/>
  <c r="G116" i="39"/>
  <c r="F116" i="39"/>
  <c r="E116" i="39"/>
  <c r="D116" i="39"/>
  <c r="C116" i="39"/>
  <c r="B114" i="39"/>
  <c r="B112" i="39"/>
  <c r="B110" i="39"/>
  <c r="D109" i="39"/>
  <c r="E109" i="39"/>
  <c r="F109" i="39" s="1"/>
  <c r="G109" i="39" s="1"/>
  <c r="H109" i="39" s="1"/>
  <c r="I109" i="39"/>
  <c r="J109" i="39" s="1"/>
  <c r="K109" i="39" s="1"/>
  <c r="L109" i="39" s="1"/>
  <c r="M109" i="39" s="1"/>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D81" i="39"/>
  <c r="E81" i="39" s="1"/>
  <c r="M79" i="39"/>
  <c r="L79" i="39"/>
  <c r="K79" i="39"/>
  <c r="J79" i="39"/>
  <c r="I79" i="39"/>
  <c r="H79" i="39"/>
  <c r="G79" i="39"/>
  <c r="F79" i="39"/>
  <c r="E79" i="39"/>
  <c r="D79" i="39"/>
  <c r="C79" i="39"/>
  <c r="C7" i="39"/>
  <c r="C68" i="39" s="1"/>
  <c r="D68" i="39" s="1"/>
  <c r="R46" i="39"/>
  <c r="H65" i="39"/>
  <c r="I65" i="39"/>
  <c r="C65" i="39" s="1"/>
  <c r="H64" i="39"/>
  <c r="I64" i="39" s="1"/>
  <c r="C64" i="39"/>
  <c r="H63" i="39"/>
  <c r="I63" i="39"/>
  <c r="C63" i="39" s="1"/>
  <c r="H62" i="39"/>
  <c r="I62" i="39" s="1"/>
  <c r="C62" i="39"/>
  <c r="H61" i="39"/>
  <c r="I61" i="39"/>
  <c r="C61" i="39" s="1"/>
  <c r="H60" i="39"/>
  <c r="I60" i="39" s="1"/>
  <c r="C60" i="39"/>
  <c r="H59" i="39"/>
  <c r="I59" i="39"/>
  <c r="C59" i="39" s="1"/>
  <c r="H58" i="39"/>
  <c r="I58" i="39" s="1"/>
  <c r="C58" i="39"/>
  <c r="H57" i="39"/>
  <c r="I57" i="39"/>
  <c r="C57" i="39" s="1"/>
  <c r="J55" i="39"/>
  <c r="I53" i="39"/>
  <c r="J53" i="39" s="1"/>
  <c r="G53" i="39"/>
  <c r="H53" i="39" s="1"/>
  <c r="E53" i="39"/>
  <c r="F53" i="39" s="1"/>
  <c r="V46" i="39"/>
  <c r="T46" i="39"/>
  <c r="P48" i="39"/>
  <c r="P47" i="39"/>
  <c r="P46" i="39"/>
  <c r="Q45" i="39"/>
  <c r="Z45" i="39"/>
  <c r="J44" i="39"/>
  <c r="AC44" i="39" s="1"/>
  <c r="H44" i="39"/>
  <c r="F44" i="39"/>
  <c r="Q44" i="39"/>
  <c r="Z44" i="39" s="1"/>
  <c r="W44" i="39"/>
  <c r="Q43" i="39"/>
  <c r="Z43" i="39"/>
  <c r="J42" i="39"/>
  <c r="AC42" i="39" s="1"/>
  <c r="H42" i="39"/>
  <c r="F42" i="39"/>
  <c r="Q42" i="39"/>
  <c r="Z42" i="39" s="1"/>
  <c r="W42" i="39"/>
  <c r="J41" i="39"/>
  <c r="AC41" i="39"/>
  <c r="H41" i="39"/>
  <c r="AB41" i="39"/>
  <c r="F41" i="39"/>
  <c r="AA41" i="39"/>
  <c r="Q41" i="39"/>
  <c r="Z41" i="39"/>
  <c r="W41" i="39"/>
  <c r="U41" i="39"/>
  <c r="S41" i="39"/>
  <c r="J40" i="39"/>
  <c r="AC40" i="39" s="1"/>
  <c r="H40" i="39"/>
  <c r="F40" i="39"/>
  <c r="AA40" i="39" s="1"/>
  <c r="Q40" i="39"/>
  <c r="Z40" i="39" s="1"/>
  <c r="W40" i="39"/>
  <c r="S40" i="39"/>
  <c r="J39" i="39"/>
  <c r="AC39" i="39"/>
  <c r="H39" i="39"/>
  <c r="AB39" i="39"/>
  <c r="F39" i="39"/>
  <c r="AA39" i="39"/>
  <c r="Q39" i="39"/>
  <c r="Z39" i="39"/>
  <c r="W39" i="39"/>
  <c r="U39" i="39"/>
  <c r="S39" i="39"/>
  <c r="J38" i="39"/>
  <c r="AC38" i="39" s="1"/>
  <c r="H38" i="39"/>
  <c r="AB38" i="39" s="1"/>
  <c r="F38" i="39"/>
  <c r="AA38" i="39" s="1"/>
  <c r="Q38" i="39"/>
  <c r="Z38" i="39"/>
  <c r="Q37" i="39"/>
  <c r="Z37" i="39"/>
  <c r="J36" i="39"/>
  <c r="AC36" i="39" s="1"/>
  <c r="H36" i="39"/>
  <c r="F36" i="39"/>
  <c r="AA36" i="39" s="1"/>
  <c r="Q36" i="39"/>
  <c r="Z36" i="39" s="1"/>
  <c r="W36" i="39"/>
  <c r="S36" i="39"/>
  <c r="Q35" i="39"/>
  <c r="Z35" i="39"/>
  <c r="J34" i="39"/>
  <c r="AC34" i="39" s="1"/>
  <c r="H34" i="39"/>
  <c r="F34" i="39"/>
  <c r="AA34" i="39" s="1"/>
  <c r="Q34" i="39"/>
  <c r="Z34" i="39" s="1"/>
  <c r="W34" i="39"/>
  <c r="S34" i="39"/>
  <c r="J32" i="39"/>
  <c r="AC32" i="39"/>
  <c r="H32" i="39"/>
  <c r="AB32" i="39"/>
  <c r="F32" i="39"/>
  <c r="AA32" i="39"/>
  <c r="Q32" i="39"/>
  <c r="Z32" i="39"/>
  <c r="W32" i="39"/>
  <c r="U32" i="39"/>
  <c r="S32" i="39"/>
  <c r="J31" i="39"/>
  <c r="AC31" i="39" s="1"/>
  <c r="H31" i="39"/>
  <c r="F31" i="39"/>
  <c r="Q31" i="39"/>
  <c r="Z31" i="39" s="1"/>
  <c r="W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s="1"/>
  <c r="J15" i="39"/>
  <c r="AC15" i="39" s="1"/>
  <c r="H15" i="39"/>
  <c r="AB15" i="39" s="1"/>
  <c r="F15" i="39"/>
  <c r="AA15" i="39" s="1"/>
  <c r="Q15" i="39"/>
  <c r="Z15" i="39" s="1"/>
  <c r="W15" i="39"/>
  <c r="U15" i="39"/>
  <c r="S15" i="39"/>
  <c r="C15" i="39"/>
  <c r="J14" i="39"/>
  <c r="AC14" i="39" s="1"/>
  <c r="H14" i="39"/>
  <c r="F14" i="39"/>
  <c r="AA14" i="39" s="1"/>
  <c r="Q14" i="39"/>
  <c r="Z14" i="39" s="1"/>
  <c r="W14" i="39"/>
  <c r="J13" i="39"/>
  <c r="AC13" i="39"/>
  <c r="H13" i="39"/>
  <c r="AB13" i="39"/>
  <c r="F13" i="39"/>
  <c r="AA13" i="39"/>
  <c r="Q13" i="39"/>
  <c r="Z13" i="39"/>
  <c r="W13" i="39"/>
  <c r="U13" i="39"/>
  <c r="S13" i="39"/>
  <c r="J12" i="39"/>
  <c r="AC12" i="39" s="1"/>
  <c r="H12" i="39"/>
  <c r="F12" i="39"/>
  <c r="AA12" i="39" s="1"/>
  <c r="Q12" i="39"/>
  <c r="Z12" i="39" s="1"/>
  <c r="W12" i="39"/>
  <c r="S12" i="39"/>
  <c r="Q11" i="39"/>
  <c r="Z11" i="39"/>
  <c r="Q10" i="39"/>
  <c r="Z10" i="39"/>
  <c r="J9" i="39"/>
  <c r="AC9" i="39"/>
  <c r="H9" i="39"/>
  <c r="AB9" i="39"/>
  <c r="F9" i="39"/>
  <c r="AA9" i="39"/>
  <c r="Q9" i="39"/>
  <c r="Z9" i="39"/>
  <c r="W9" i="39"/>
  <c r="U9" i="39"/>
  <c r="S9" i="39"/>
  <c r="J8" i="39"/>
  <c r="H8" i="39"/>
  <c r="AB8" i="39" s="1"/>
  <c r="F8" i="39"/>
  <c r="U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c r="F78" i="36" s="1"/>
  <c r="G78" i="36"/>
  <c r="H78" i="36" s="1"/>
  <c r="I78" i="36" s="1"/>
  <c r="J78" i="36" s="1"/>
  <c r="K78" i="36" s="1"/>
  <c r="L78" i="36" s="1"/>
  <c r="M78" i="36" s="1"/>
  <c r="B75" i="36"/>
  <c r="B73" i="36"/>
  <c r="B71" i="36"/>
  <c r="D70" i="36"/>
  <c r="D68" i="36"/>
  <c r="E68" i="36"/>
  <c r="F68" i="36" s="1"/>
  <c r="G68" i="36"/>
  <c r="D66" i="36"/>
  <c r="E66" i="36"/>
  <c r="F66" i="36" s="1"/>
  <c r="G66" i="36" s="1"/>
  <c r="D64" i="36"/>
  <c r="E64" i="36"/>
  <c r="F64" i="36" s="1"/>
  <c r="G64" i="36"/>
  <c r="D62" i="36"/>
  <c r="E62" i="36"/>
  <c r="F62" i="36" s="1"/>
  <c r="G62" i="36" s="1"/>
  <c r="B59" i="36"/>
  <c r="B57" i="36"/>
  <c r="B55" i="36"/>
  <c r="F54" i="36"/>
  <c r="G54" i="36" s="1"/>
  <c r="H54" i="36"/>
  <c r="I54" i="36" s="1"/>
  <c r="C51" i="36"/>
  <c r="C7" i="36"/>
  <c r="C46" i="36"/>
  <c r="I42" i="36"/>
  <c r="J42" i="36"/>
  <c r="G42" i="36"/>
  <c r="H42" i="36"/>
  <c r="E42" i="36"/>
  <c r="F42" i="36"/>
  <c r="V35" i="36"/>
  <c r="R35" i="36"/>
  <c r="T35" i="36"/>
  <c r="P37" i="36"/>
  <c r="P36" i="36"/>
  <c r="P35" i="36"/>
  <c r="Q34" i="36"/>
  <c r="Z34" i="36"/>
  <c r="J33" i="36"/>
  <c r="AC33" i="36" s="1"/>
  <c r="H33" i="36"/>
  <c r="F33" i="36"/>
  <c r="AA33" i="36" s="1"/>
  <c r="Q33" i="36"/>
  <c r="Z33" i="36" s="1"/>
  <c r="W33" i="36"/>
  <c r="Q32" i="36"/>
  <c r="Z32" i="36"/>
  <c r="J31" i="36"/>
  <c r="AC31" i="36" s="1"/>
  <c r="H31" i="36"/>
  <c r="F31" i="36"/>
  <c r="AA31" i="36" s="1"/>
  <c r="Q31" i="36"/>
  <c r="Z31" i="36" s="1"/>
  <c r="W31" i="36"/>
  <c r="J30" i="36"/>
  <c r="AC30" i="36"/>
  <c r="H30" i="36"/>
  <c r="AB30" i="36"/>
  <c r="F30" i="36"/>
  <c r="AA30" i="36"/>
  <c r="Q30" i="36"/>
  <c r="Z30" i="36"/>
  <c r="W30" i="36"/>
  <c r="U30" i="36"/>
  <c r="S30" i="36"/>
  <c r="J29" i="36"/>
  <c r="AC29" i="36" s="1"/>
  <c r="H29" i="36"/>
  <c r="F29" i="36"/>
  <c r="AA29" i="36" s="1"/>
  <c r="Q29" i="36"/>
  <c r="Z29" i="36" s="1"/>
  <c r="W29" i="36"/>
  <c r="S29" i="36"/>
  <c r="J28" i="36"/>
  <c r="AC28" i="36"/>
  <c r="H28" i="36"/>
  <c r="AB28" i="36"/>
  <c r="F28" i="36"/>
  <c r="AA28" i="36"/>
  <c r="Q28" i="36"/>
  <c r="Z28" i="36"/>
  <c r="W28" i="36"/>
  <c r="U28" i="36"/>
  <c r="S28" i="36"/>
  <c r="J27" i="36"/>
  <c r="AC27" i="36" s="1"/>
  <c r="H27" i="36"/>
  <c r="F27" i="36"/>
  <c r="AA27" i="36" s="1"/>
  <c r="Q27" i="36"/>
  <c r="Z27" i="36" s="1"/>
  <c r="W27" i="36"/>
  <c r="J26" i="36"/>
  <c r="AC26" i="36"/>
  <c r="H26" i="36"/>
  <c r="AB26" i="36"/>
  <c r="F26" i="36"/>
  <c r="AA26" i="36"/>
  <c r="Q26" i="36"/>
  <c r="Z26" i="36"/>
  <c r="W26" i="36"/>
  <c r="U26" i="36"/>
  <c r="S26" i="36"/>
  <c r="J25" i="36"/>
  <c r="AC25" i="36" s="1"/>
  <c r="H25" i="36"/>
  <c r="F25" i="36"/>
  <c r="AA25" i="36" s="1"/>
  <c r="Q25" i="36"/>
  <c r="Z25" i="36" s="1"/>
  <c r="W25" i="36"/>
  <c r="S25" i="36"/>
  <c r="Q24" i="36"/>
  <c r="Z24" i="36"/>
  <c r="J23" i="36"/>
  <c r="AC23" i="36" s="1"/>
  <c r="H23" i="36"/>
  <c r="F23" i="36"/>
  <c r="AA23" i="36" s="1"/>
  <c r="Q23" i="36"/>
  <c r="Z23" i="36" s="1"/>
  <c r="W23" i="36"/>
  <c r="S23" i="36"/>
  <c r="J22" i="36"/>
  <c r="AC22" i="36"/>
  <c r="H22" i="36"/>
  <c r="AB22" i="36"/>
  <c r="F22" i="36"/>
  <c r="AA22" i="36"/>
  <c r="Q22" i="36"/>
  <c r="Z22" i="36"/>
  <c r="W22" i="36"/>
  <c r="U22" i="36"/>
  <c r="S22" i="36"/>
  <c r="J20" i="36"/>
  <c r="AC20" i="36" s="1"/>
  <c r="H20" i="36"/>
  <c r="F20" i="36"/>
  <c r="AA20" i="36" s="1"/>
  <c r="Q20" i="36"/>
  <c r="Z20" i="36" s="1"/>
  <c r="W20" i="36"/>
  <c r="C20" i="36"/>
  <c r="J18" i="36"/>
  <c r="AC18" i="36" s="1"/>
  <c r="H18" i="36"/>
  <c r="F18" i="36"/>
  <c r="AA18" i="36" s="1"/>
  <c r="Q18" i="36"/>
  <c r="Z18" i="36" s="1"/>
  <c r="W18" i="36"/>
  <c r="S18" i="36"/>
  <c r="C18" i="36"/>
  <c r="J16" i="36"/>
  <c r="AC16" i="36" s="1"/>
  <c r="H16" i="36"/>
  <c r="F16" i="36"/>
  <c r="AA16" i="36" s="1"/>
  <c r="Q16" i="36"/>
  <c r="Z16" i="36" s="1"/>
  <c r="W16" i="36"/>
  <c r="C16" i="36"/>
  <c r="J14" i="36"/>
  <c r="AC14" i="36" s="1"/>
  <c r="H14" i="36"/>
  <c r="F14" i="36"/>
  <c r="AA14" i="36" s="1"/>
  <c r="Q14" i="36"/>
  <c r="Z14" i="36" s="1"/>
  <c r="W14" i="36"/>
  <c r="S14" i="36"/>
  <c r="C14" i="36"/>
  <c r="J13" i="36"/>
  <c r="AC13" i="36" s="1"/>
  <c r="H13" i="36"/>
  <c r="F13" i="36"/>
  <c r="AA13" i="36" s="1"/>
  <c r="Q13" i="36"/>
  <c r="Z13" i="36" s="1"/>
  <c r="W13" i="36"/>
  <c r="Q12" i="36"/>
  <c r="Z12" i="36"/>
  <c r="J11" i="36"/>
  <c r="AC11" i="36" s="1"/>
  <c r="H11" i="36"/>
  <c r="F11" i="36"/>
  <c r="AA11" i="36" s="1"/>
  <c r="Q11" i="36"/>
  <c r="Z11" i="36" s="1"/>
  <c r="W11" i="36"/>
  <c r="J10" i="36"/>
  <c r="AC10" i="36"/>
  <c r="H10" i="36"/>
  <c r="AB10" i="36"/>
  <c r="F10" i="36"/>
  <c r="AA10" i="36"/>
  <c r="Q10" i="36"/>
  <c r="Z10" i="36"/>
  <c r="W10" i="36"/>
  <c r="U10" i="36"/>
  <c r="S10" i="36"/>
  <c r="J9" i="36"/>
  <c r="AC9" i="36" s="1"/>
  <c r="H9" i="36"/>
  <c r="F9" i="36"/>
  <c r="AA9" i="36" s="1"/>
  <c r="Q9" i="36"/>
  <c r="Z9" i="36" s="1"/>
  <c r="W9" i="36"/>
  <c r="S9" i="36"/>
  <c r="J8" i="36"/>
  <c r="AC8" i="36"/>
  <c r="H8" i="36"/>
  <c r="AB8" i="36"/>
  <c r="F8" i="36"/>
  <c r="AA8" i="36"/>
  <c r="W8" i="36"/>
  <c r="U8" i="36"/>
  <c r="S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c r="F89" i="35" s="1"/>
  <c r="G89" i="35"/>
  <c r="H89" i="35" s="1"/>
  <c r="I89" i="35" s="1"/>
  <c r="J89" i="35" s="1"/>
  <c r="K89" i="35" s="1"/>
  <c r="L89" i="35" s="1"/>
  <c r="M89" i="35" s="1"/>
  <c r="D87" i="35"/>
  <c r="E87" i="35"/>
  <c r="F87" i="35" s="1"/>
  <c r="G87" i="35"/>
  <c r="H87" i="35" s="1"/>
  <c r="I87" i="35" s="1"/>
  <c r="J87" i="35" s="1"/>
  <c r="K87" i="35" s="1"/>
  <c r="L87" i="35" s="1"/>
  <c r="M87" i="35" s="1"/>
  <c r="G85" i="35"/>
  <c r="F85" i="35"/>
  <c r="E85" i="35"/>
  <c r="D85" i="35"/>
  <c r="C85" i="35"/>
  <c r="D84" i="35"/>
  <c r="E84" i="35" s="1"/>
  <c r="F84" i="35"/>
  <c r="G84" i="35" s="1"/>
  <c r="H84" i="35" s="1"/>
  <c r="I84" i="35" s="1"/>
  <c r="J84" i="35" s="1"/>
  <c r="K84" i="35" s="1"/>
  <c r="L84" i="35" s="1"/>
  <c r="M84" i="35" s="1"/>
  <c r="D80" i="35"/>
  <c r="E80" i="35" s="1"/>
  <c r="F80" i="35" s="1"/>
  <c r="G80" i="35" s="1"/>
  <c r="H80" i="35" s="1"/>
  <c r="I80" i="35" s="1"/>
  <c r="J80" i="35" s="1"/>
  <c r="K80" i="35" s="1"/>
  <c r="L80" i="35" s="1"/>
  <c r="M80" i="35" s="1"/>
  <c r="C26" i="35"/>
  <c r="C79" i="35" s="1"/>
  <c r="B77" i="35"/>
  <c r="B75" i="35"/>
  <c r="B73" i="35"/>
  <c r="D72" i="35"/>
  <c r="E72" i="35"/>
  <c r="F72" i="35" s="1"/>
  <c r="G72" i="35" s="1"/>
  <c r="D70" i="35"/>
  <c r="E70" i="35"/>
  <c r="F70" i="35" s="1"/>
  <c r="G70" i="35"/>
  <c r="D68" i="35"/>
  <c r="E68" i="35"/>
  <c r="F68" i="35" s="1"/>
  <c r="G68" i="35" s="1"/>
  <c r="D66" i="35"/>
  <c r="E66" i="35"/>
  <c r="F66" i="35" s="1"/>
  <c r="G66" i="35"/>
  <c r="D64" i="35"/>
  <c r="E64" i="35"/>
  <c r="F64" i="35" s="1"/>
  <c r="G64" i="35" s="1"/>
  <c r="B61" i="35"/>
  <c r="B59" i="35"/>
  <c r="B57" i="35"/>
  <c r="F56" i="35"/>
  <c r="G56" i="35" s="1"/>
  <c r="H56" i="35"/>
  <c r="I56" i="35" s="1"/>
  <c r="C53" i="35"/>
  <c r="C7" i="35"/>
  <c r="C48" i="35"/>
  <c r="I44" i="35"/>
  <c r="J44" i="35"/>
  <c r="G44" i="35"/>
  <c r="H44" i="35"/>
  <c r="E44" i="35"/>
  <c r="F44" i="35"/>
  <c r="V37" i="35"/>
  <c r="R37" i="35"/>
  <c r="T37" i="35"/>
  <c r="P39" i="35"/>
  <c r="P38" i="35"/>
  <c r="B38" i="35"/>
  <c r="P37" i="35"/>
  <c r="J36" i="35"/>
  <c r="AC36" i="35" s="1"/>
  <c r="H36" i="35"/>
  <c r="F36" i="35"/>
  <c r="AA36" i="35" s="1"/>
  <c r="Q36" i="35"/>
  <c r="Z36" i="35" s="1"/>
  <c r="W36" i="35"/>
  <c r="S36" i="35"/>
  <c r="Q35" i="35"/>
  <c r="Z35" i="35"/>
  <c r="J34" i="35"/>
  <c r="AC34" i="35" s="1"/>
  <c r="H34" i="35"/>
  <c r="F34" i="35"/>
  <c r="AA34" i="35" s="1"/>
  <c r="Q34" i="35"/>
  <c r="Z34" i="35" s="1"/>
  <c r="W34" i="35"/>
  <c r="S34" i="35"/>
  <c r="J33" i="35"/>
  <c r="AC33" i="35"/>
  <c r="H33" i="35"/>
  <c r="AB33" i="35"/>
  <c r="F33" i="35"/>
  <c r="AA33" i="35"/>
  <c r="Q33" i="35"/>
  <c r="Z33" i="35"/>
  <c r="W33" i="35"/>
  <c r="U33" i="35"/>
  <c r="S33" i="35"/>
  <c r="J32" i="35"/>
  <c r="AC32" i="35" s="1"/>
  <c r="H32" i="35"/>
  <c r="F32" i="35"/>
  <c r="AA32" i="35" s="1"/>
  <c r="Q32" i="35"/>
  <c r="Z32" i="35" s="1"/>
  <c r="W32" i="35"/>
  <c r="J31" i="35"/>
  <c r="AC31" i="35"/>
  <c r="H31" i="35"/>
  <c r="AB31" i="35"/>
  <c r="F31" i="35"/>
  <c r="AA31" i="35"/>
  <c r="Q31" i="35"/>
  <c r="Z31" i="35"/>
  <c r="W31" i="35"/>
  <c r="U31" i="35"/>
  <c r="S31" i="35"/>
  <c r="J30" i="35"/>
  <c r="AC30" i="35" s="1"/>
  <c r="H30" i="35"/>
  <c r="F30" i="35"/>
  <c r="AA30" i="35" s="1"/>
  <c r="Q30" i="35"/>
  <c r="Z30" i="35" s="1"/>
  <c r="W30" i="35"/>
  <c r="S30" i="35"/>
  <c r="J29" i="35"/>
  <c r="AC29" i="35"/>
  <c r="H29" i="35"/>
  <c r="AB29" i="35"/>
  <c r="F29" i="35"/>
  <c r="AA29" i="35"/>
  <c r="Q29" i="35"/>
  <c r="Z29" i="35"/>
  <c r="W29" i="35"/>
  <c r="U29" i="35"/>
  <c r="S29" i="35"/>
  <c r="J28" i="35"/>
  <c r="AC28" i="35" s="1"/>
  <c r="H28" i="35"/>
  <c r="F28" i="35"/>
  <c r="AA28" i="35" s="1"/>
  <c r="Q28" i="35"/>
  <c r="Z28" i="35" s="1"/>
  <c r="W28" i="35"/>
  <c r="J27" i="35"/>
  <c r="AC27" i="35"/>
  <c r="H27" i="35"/>
  <c r="AB27" i="35"/>
  <c r="F27" i="35"/>
  <c r="AA27" i="35"/>
  <c r="Q27" i="35"/>
  <c r="Z27" i="35"/>
  <c r="W27" i="35"/>
  <c r="U27" i="35"/>
  <c r="S27" i="35"/>
  <c r="J26" i="35"/>
  <c r="AC26" i="35" s="1"/>
  <c r="H26" i="35"/>
  <c r="F26" i="35"/>
  <c r="AA26" i="35" s="1"/>
  <c r="Q26" i="35"/>
  <c r="Z26" i="35" s="1"/>
  <c r="W26" i="35"/>
  <c r="S26" i="35"/>
  <c r="Q25" i="35"/>
  <c r="Z25" i="35"/>
  <c r="J24" i="35"/>
  <c r="AC24" i="35" s="1"/>
  <c r="H24" i="35"/>
  <c r="F24" i="35"/>
  <c r="AA24" i="35" s="1"/>
  <c r="Q24" i="35"/>
  <c r="Z24" i="35" s="1"/>
  <c r="W24" i="35"/>
  <c r="S24" i="35"/>
  <c r="Q23" i="35"/>
  <c r="Z23" i="35"/>
  <c r="J22" i="35"/>
  <c r="AC22" i="35" s="1"/>
  <c r="H22" i="35"/>
  <c r="F22" i="35"/>
  <c r="AA22" i="35" s="1"/>
  <c r="Q22" i="35"/>
  <c r="Z22" i="35" s="1"/>
  <c r="W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s="1"/>
  <c r="H12" i="35"/>
  <c r="F12" i="35"/>
  <c r="AA12" i="35" s="1"/>
  <c r="Q12" i="35"/>
  <c r="Z12" i="35" s="1"/>
  <c r="W12" i="35"/>
  <c r="J11" i="35"/>
  <c r="AC11" i="35"/>
  <c r="H11" i="35"/>
  <c r="AB11" i="35"/>
  <c r="F11" i="35"/>
  <c r="AA11" i="35"/>
  <c r="Q11" i="35"/>
  <c r="Z11" i="35"/>
  <c r="W11" i="35"/>
  <c r="U11" i="35"/>
  <c r="S11" i="35"/>
  <c r="J10" i="35"/>
  <c r="AC10" i="35" s="1"/>
  <c r="H10" i="35"/>
  <c r="F10" i="35"/>
  <c r="AA10" i="35" s="1"/>
  <c r="Q10" i="35"/>
  <c r="Z10" i="35" s="1"/>
  <c r="W10" i="35"/>
  <c r="S10" i="35"/>
  <c r="Q9" i="35"/>
  <c r="Z9" i="35"/>
  <c r="J8" i="35"/>
  <c r="AC8" i="35" s="1"/>
  <c r="H8" i="35"/>
  <c r="F8" i="35"/>
  <c r="AA8" i="35" s="1"/>
  <c r="W8" i="35"/>
  <c r="S8" i="35"/>
  <c r="F3" i="35"/>
  <c r="D3" i="35"/>
  <c r="B112" i="37"/>
  <c r="B110" i="37"/>
  <c r="B108" i="37"/>
  <c r="D107" i="37"/>
  <c r="E107" i="37" s="1"/>
  <c r="F107" i="37"/>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H28" i="37" s="1"/>
  <c r="B84" i="37"/>
  <c r="B82" i="37"/>
  <c r="J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J14" i="37" s="1"/>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C7" i="37"/>
  <c r="C52" i="37" s="1"/>
  <c r="I48" i="37"/>
  <c r="J48" i="37" s="1"/>
  <c r="G48" i="37"/>
  <c r="H48" i="37" s="1"/>
  <c r="E48" i="37"/>
  <c r="F48" i="37" s="1"/>
  <c r="V41" i="37"/>
  <c r="R41" i="37"/>
  <c r="T41" i="37"/>
  <c r="P43" i="37"/>
  <c r="P42" i="37"/>
  <c r="P41" i="37"/>
  <c r="J40" i="37"/>
  <c r="AC40" i="37" s="1"/>
  <c r="H40" i="37"/>
  <c r="F40" i="37"/>
  <c r="AA40" i="37" s="1"/>
  <c r="Q40" i="37"/>
  <c r="Z40" i="37" s="1"/>
  <c r="W40" i="37"/>
  <c r="S40" i="37"/>
  <c r="Q39" i="37"/>
  <c r="Z39" i="37"/>
  <c r="J38" i="37"/>
  <c r="AC38" i="37" s="1"/>
  <c r="H38" i="37"/>
  <c r="F38" i="37"/>
  <c r="AA38" i="37" s="1"/>
  <c r="Q38" i="37"/>
  <c r="Z38" i="37" s="1"/>
  <c r="W38" i="37"/>
  <c r="S38" i="37"/>
  <c r="J37" i="37"/>
  <c r="AC37" i="37"/>
  <c r="H37" i="37"/>
  <c r="AB37" i="37"/>
  <c r="F37" i="37"/>
  <c r="AA37" i="37"/>
  <c r="Q37" i="37"/>
  <c r="Z37" i="37"/>
  <c r="W37" i="37"/>
  <c r="U37" i="37"/>
  <c r="S37" i="37"/>
  <c r="J36" i="37"/>
  <c r="AC36" i="37" s="1"/>
  <c r="H36" i="37"/>
  <c r="F36" i="37"/>
  <c r="AA36" i="37" s="1"/>
  <c r="Q36" i="37"/>
  <c r="Z36" i="37" s="1"/>
  <c r="W36" i="37"/>
  <c r="J35" i="37"/>
  <c r="AC35" i="37"/>
  <c r="H35" i="37"/>
  <c r="AB35" i="37"/>
  <c r="F35" i="37"/>
  <c r="AA35" i="37"/>
  <c r="Q35" i="37"/>
  <c r="Z35" i="37"/>
  <c r="W35" i="37"/>
  <c r="U35" i="37"/>
  <c r="S35" i="37"/>
  <c r="J34" i="37"/>
  <c r="AC34" i="37" s="1"/>
  <c r="H34" i="37"/>
  <c r="F34" i="37"/>
  <c r="AA34" i="37" s="1"/>
  <c r="Q34" i="37"/>
  <c r="Z34" i="37" s="1"/>
  <c r="W34" i="37"/>
  <c r="S34" i="37"/>
  <c r="J33" i="37"/>
  <c r="AC33" i="37"/>
  <c r="H33" i="37"/>
  <c r="AB33" i="37"/>
  <c r="F33" i="37"/>
  <c r="AA33" i="37"/>
  <c r="Q33" i="37"/>
  <c r="Z33" i="37"/>
  <c r="W33" i="37"/>
  <c r="U33" i="37"/>
  <c r="S33" i="37"/>
  <c r="J32" i="37"/>
  <c r="AC32" i="37" s="1"/>
  <c r="H32" i="37"/>
  <c r="F32" i="37"/>
  <c r="AA32" i="37" s="1"/>
  <c r="Q32" i="37"/>
  <c r="Z32" i="37" s="1"/>
  <c r="W32" i="37"/>
  <c r="J31" i="37"/>
  <c r="AC31" i="37"/>
  <c r="H31" i="37"/>
  <c r="AB31" i="37"/>
  <c r="F31" i="37"/>
  <c r="AA31" i="37"/>
  <c r="Q31" i="37"/>
  <c r="Z31" i="37"/>
  <c r="W31" i="37"/>
  <c r="U31" i="37"/>
  <c r="S31" i="37"/>
  <c r="J30" i="37"/>
  <c r="AC30" i="37" s="1"/>
  <c r="H30" i="37"/>
  <c r="F30" i="37"/>
  <c r="AA30" i="37" s="1"/>
  <c r="Q30" i="37"/>
  <c r="Z30" i="37" s="1"/>
  <c r="W30" i="37"/>
  <c r="S30" i="37"/>
  <c r="J29" i="37"/>
  <c r="AC29" i="37"/>
  <c r="H29" i="37"/>
  <c r="AB29" i="37"/>
  <c r="F29" i="37"/>
  <c r="AA29" i="37"/>
  <c r="Q29" i="37"/>
  <c r="Z29" i="37"/>
  <c r="W29" i="37"/>
  <c r="U29" i="37"/>
  <c r="S29" i="37"/>
  <c r="J28" i="37"/>
  <c r="AC28" i="37" s="1"/>
  <c r="F28" i="37"/>
  <c r="AA28" i="37" s="1"/>
  <c r="Q28" i="37"/>
  <c r="Z28" i="37" s="1"/>
  <c r="W28" i="37"/>
  <c r="J27" i="37"/>
  <c r="AC27" i="37"/>
  <c r="H27" i="37"/>
  <c r="AB27" i="37"/>
  <c r="F27" i="37"/>
  <c r="AA27" i="37"/>
  <c r="Q27" i="37"/>
  <c r="Z27" i="37"/>
  <c r="W27" i="37"/>
  <c r="U27" i="37"/>
  <c r="S27" i="37"/>
  <c r="H26" i="37"/>
  <c r="Q26" i="37"/>
  <c r="Z26" i="37" s="1"/>
  <c r="J25" i="37"/>
  <c r="AC25" i="37"/>
  <c r="H25" i="37"/>
  <c r="AB25" i="37"/>
  <c r="F25" i="37"/>
  <c r="AA25" i="37"/>
  <c r="Q25" i="37"/>
  <c r="Z25" i="37"/>
  <c r="W25" i="37"/>
  <c r="U25" i="37"/>
  <c r="S25" i="37"/>
  <c r="J23" i="37"/>
  <c r="AC23" i="37" s="1"/>
  <c r="H23" i="37"/>
  <c r="F23" i="37"/>
  <c r="AA23" i="37" s="1"/>
  <c r="Q23" i="37"/>
  <c r="Z23" i="37" s="1"/>
  <c r="W23" i="37"/>
  <c r="C23" i="37"/>
  <c r="J21" i="37"/>
  <c r="AC21" i="37" s="1"/>
  <c r="H21" i="37"/>
  <c r="F21" i="37"/>
  <c r="AA21" i="37" s="1"/>
  <c r="Q21" i="37"/>
  <c r="Z21" i="37" s="1"/>
  <c r="W21" i="37"/>
  <c r="S21" i="37"/>
  <c r="C21" i="37"/>
  <c r="J19" i="37"/>
  <c r="AC19" i="37" s="1"/>
  <c r="H19" i="37"/>
  <c r="F19" i="37"/>
  <c r="AA19" i="37" s="1"/>
  <c r="Q19" i="37"/>
  <c r="Z19" i="37" s="1"/>
  <c r="W19" i="37"/>
  <c r="C19" i="37"/>
  <c r="J17" i="37"/>
  <c r="AC17" i="37" s="1"/>
  <c r="H17" i="37"/>
  <c r="F17" i="37"/>
  <c r="AA17" i="37" s="1"/>
  <c r="Q17" i="37"/>
  <c r="Z17" i="37" s="1"/>
  <c r="W17" i="37"/>
  <c r="S17" i="37"/>
  <c r="C17" i="37"/>
  <c r="J15" i="37"/>
  <c r="AC15" i="37" s="1"/>
  <c r="H15" i="37"/>
  <c r="F15" i="37"/>
  <c r="AA15" i="37" s="1"/>
  <c r="Q15" i="37"/>
  <c r="Z15" i="37" s="1"/>
  <c r="W15" i="37"/>
  <c r="C15" i="37"/>
  <c r="H14" i="37"/>
  <c r="Q14" i="37"/>
  <c r="Z14" i="37" s="1"/>
  <c r="J13" i="37"/>
  <c r="AC13" i="37"/>
  <c r="H13" i="37"/>
  <c r="AB13" i="37"/>
  <c r="F13" i="37"/>
  <c r="AA13" i="37"/>
  <c r="Q13" i="37"/>
  <c r="Z13" i="37"/>
  <c r="W13" i="37"/>
  <c r="U13" i="37"/>
  <c r="S13" i="37"/>
  <c r="J12" i="37"/>
  <c r="AC12" i="37" s="1"/>
  <c r="F12" i="37"/>
  <c r="AA12" i="37" s="1"/>
  <c r="Q12" i="37"/>
  <c r="Z12" i="37" s="1"/>
  <c r="W12" i="37"/>
  <c r="J11" i="37"/>
  <c r="AC11" i="37"/>
  <c r="H11" i="37"/>
  <c r="AB11" i="37"/>
  <c r="F11" i="37"/>
  <c r="AA11" i="37"/>
  <c r="Q11" i="37"/>
  <c r="Z11" i="37"/>
  <c r="W11" i="37"/>
  <c r="U11" i="37"/>
  <c r="S11" i="37"/>
  <c r="J10" i="37"/>
  <c r="AC10" i="37" s="1"/>
  <c r="H10" i="37"/>
  <c r="F10" i="37"/>
  <c r="AA10" i="37" s="1"/>
  <c r="Q10" i="37"/>
  <c r="Z10" i="37" s="1"/>
  <c r="W10" i="37"/>
  <c r="S10" i="37"/>
  <c r="Q9" i="37"/>
  <c r="Z9" i="37"/>
  <c r="J8" i="37"/>
  <c r="AC8" i="37" s="1"/>
  <c r="H8" i="37"/>
  <c r="F8" i="37"/>
  <c r="AA8" i="37" s="1"/>
  <c r="W8" i="37"/>
  <c r="S8" i="37"/>
  <c r="B131" i="34"/>
  <c r="B129" i="34"/>
  <c r="B127" i="34"/>
  <c r="D126" i="34"/>
  <c r="E126" i="34"/>
  <c r="F126" i="34" s="1"/>
  <c r="G126" i="34" s="1"/>
  <c r="D124" i="34"/>
  <c r="E124" i="34"/>
  <c r="F124" i="34" s="1"/>
  <c r="G124" i="34"/>
  <c r="H124" i="34" s="1"/>
  <c r="I124" i="34" s="1"/>
  <c r="J124" i="34" s="1"/>
  <c r="K124" i="34" s="1"/>
  <c r="L124" i="34" s="1"/>
  <c r="M124" i="34" s="1"/>
  <c r="D120" i="34"/>
  <c r="E120" i="34"/>
  <c r="F120" i="34" s="1"/>
  <c r="G120" i="34"/>
  <c r="H120" i="34" s="1"/>
  <c r="I120" i="34" s="1"/>
  <c r="J120" i="34" s="1"/>
  <c r="K120" i="34" s="1"/>
  <c r="L120" i="34" s="1"/>
  <c r="M120" i="34" s="1"/>
  <c r="D118" i="34"/>
  <c r="E118" i="34"/>
  <c r="F118" i="34" s="1"/>
  <c r="G118" i="34"/>
  <c r="D116" i="34"/>
  <c r="E116" i="34"/>
  <c r="F116" i="34" s="1"/>
  <c r="G116" i="34" s="1"/>
  <c r="H116" i="34" s="1"/>
  <c r="I116" i="34" s="1"/>
  <c r="J116" i="34" s="1"/>
  <c r="K116" i="34" s="1"/>
  <c r="L116" i="34" s="1"/>
  <c r="M116" i="34" s="1"/>
  <c r="D114" i="34"/>
  <c r="E114" i="34"/>
  <c r="F114" i="34" s="1"/>
  <c r="G114" i="34" s="1"/>
  <c r="H114" i="34" s="1"/>
  <c r="I114" i="34" s="1"/>
  <c r="J114" i="34" s="1"/>
  <c r="K114" i="34" s="1"/>
  <c r="L114" i="34" s="1"/>
  <c r="M114" i="34" s="1"/>
  <c r="D112" i="34"/>
  <c r="E112" i="34"/>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B99" i="34"/>
  <c r="B97" i="34"/>
  <c r="B95" i="34"/>
  <c r="B93" i="34"/>
  <c r="D92" i="34"/>
  <c r="E92" i="34"/>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c r="F88" i="34" s="1"/>
  <c r="G88" i="34"/>
  <c r="H88" i="34" s="1"/>
  <c r="I88" i="34" s="1"/>
  <c r="J88" i="34" s="1"/>
  <c r="K88" i="34" s="1"/>
  <c r="L88" i="34" s="1"/>
  <c r="M88" i="34" s="1"/>
  <c r="D86" i="34"/>
  <c r="E86" i="34"/>
  <c r="F86" i="34" s="1"/>
  <c r="G86" i="34"/>
  <c r="D84" i="34"/>
  <c r="E84" i="34"/>
  <c r="F84" i="34" s="1"/>
  <c r="G84" i="34" s="1"/>
  <c r="D82" i="34"/>
  <c r="E82" i="34"/>
  <c r="F82" i="34" s="1"/>
  <c r="G82" i="34"/>
  <c r="D80" i="34"/>
  <c r="E80" i="34"/>
  <c r="F80" i="34" s="1"/>
  <c r="G80" i="34" s="1"/>
  <c r="D78" i="34"/>
  <c r="E78" i="34"/>
  <c r="F78" i="34" s="1"/>
  <c r="G78" i="34"/>
  <c r="B75" i="34"/>
  <c r="B73" i="34"/>
  <c r="H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c r="H67" i="34" s="1"/>
  <c r="I67" i="34"/>
  <c r="C64" i="34"/>
  <c r="C7" i="34"/>
  <c r="C59" i="34" s="1"/>
  <c r="I55" i="34"/>
  <c r="J55" i="34"/>
  <c r="G55" i="34"/>
  <c r="H55" i="34"/>
  <c r="E55" i="34"/>
  <c r="F55" i="34"/>
  <c r="V48" i="34"/>
  <c r="R48" i="34"/>
  <c r="T48" i="34"/>
  <c r="P50" i="34"/>
  <c r="P49" i="34"/>
  <c r="P48" i="34"/>
  <c r="Q47" i="34"/>
  <c r="Z47" i="34"/>
  <c r="J46" i="34"/>
  <c r="AC46" i="34" s="1"/>
  <c r="H46" i="34"/>
  <c r="F46" i="34"/>
  <c r="AA46" i="34" s="1"/>
  <c r="Q46" i="34"/>
  <c r="Z46" i="34" s="1"/>
  <c r="W46" i="34"/>
  <c r="S46" i="34"/>
  <c r="Q45" i="34"/>
  <c r="Z45" i="34"/>
  <c r="J44" i="34"/>
  <c r="AC44" i="34" s="1"/>
  <c r="H44" i="34"/>
  <c r="F44" i="34"/>
  <c r="AA44" i="34" s="1"/>
  <c r="Q44" i="34"/>
  <c r="Z44" i="34" s="1"/>
  <c r="W44" i="34"/>
  <c r="S44" i="34"/>
  <c r="J43" i="34"/>
  <c r="AC43" i="34"/>
  <c r="H43" i="34"/>
  <c r="AB43" i="34"/>
  <c r="F43" i="34"/>
  <c r="AA43" i="34"/>
  <c r="Q43" i="34"/>
  <c r="Z43" i="34"/>
  <c r="W43" i="34"/>
  <c r="U43" i="34"/>
  <c r="S43" i="34"/>
  <c r="J42" i="34"/>
  <c r="AC42" i="34" s="1"/>
  <c r="H42" i="34"/>
  <c r="F42" i="34"/>
  <c r="AA42" i="34" s="1"/>
  <c r="Q42" i="34"/>
  <c r="Z42" i="34" s="1"/>
  <c r="W42" i="34"/>
  <c r="J41" i="34"/>
  <c r="AC41" i="34"/>
  <c r="H41" i="34"/>
  <c r="AB41" i="34"/>
  <c r="F41" i="34"/>
  <c r="AA41" i="34"/>
  <c r="Q41" i="34"/>
  <c r="Z41" i="34"/>
  <c r="W41" i="34"/>
  <c r="U41" i="34"/>
  <c r="S41" i="34"/>
  <c r="J40" i="34"/>
  <c r="AC40" i="34" s="1"/>
  <c r="H40" i="34"/>
  <c r="F40" i="34"/>
  <c r="AA40" i="34" s="1"/>
  <c r="Q40" i="34"/>
  <c r="Z40" i="34" s="1"/>
  <c r="W40" i="34"/>
  <c r="S40" i="34"/>
  <c r="J39" i="34"/>
  <c r="AC39" i="34"/>
  <c r="H39" i="34"/>
  <c r="AB39" i="34"/>
  <c r="F39" i="34"/>
  <c r="AA39" i="34"/>
  <c r="Q39" i="34"/>
  <c r="Z39" i="34"/>
  <c r="W39" i="34"/>
  <c r="U39" i="34"/>
  <c r="S39" i="34"/>
  <c r="J38" i="34"/>
  <c r="AC38" i="34" s="1"/>
  <c r="H38" i="34"/>
  <c r="F38" i="34"/>
  <c r="AA38" i="34" s="1"/>
  <c r="Q38" i="34"/>
  <c r="Z38" i="34" s="1"/>
  <c r="W38" i="34"/>
  <c r="J37" i="34"/>
  <c r="AC37" i="34"/>
  <c r="H37" i="34"/>
  <c r="AB37" i="34"/>
  <c r="F37" i="34"/>
  <c r="AA37" i="34"/>
  <c r="Q37" i="34"/>
  <c r="Z37" i="34"/>
  <c r="W37" i="34"/>
  <c r="U37" i="34"/>
  <c r="S37" i="34"/>
  <c r="J36" i="34"/>
  <c r="AC36" i="34" s="1"/>
  <c r="H36" i="34"/>
  <c r="F36" i="34"/>
  <c r="AA36" i="34" s="1"/>
  <c r="Q36" i="34"/>
  <c r="Z36" i="34" s="1"/>
  <c r="W36" i="34"/>
  <c r="S36" i="34"/>
  <c r="J35" i="34"/>
  <c r="AC35" i="34"/>
  <c r="H35" i="34"/>
  <c r="AB35" i="34"/>
  <c r="F35" i="34"/>
  <c r="AA35" i="34"/>
  <c r="Q35" i="34"/>
  <c r="Z35" i="34"/>
  <c r="W35" i="34"/>
  <c r="U35" i="34"/>
  <c r="S35" i="34"/>
  <c r="J34" i="34"/>
  <c r="AC34" i="34" s="1"/>
  <c r="H34" i="34"/>
  <c r="F34" i="34"/>
  <c r="AA34" i="34" s="1"/>
  <c r="Q34" i="34"/>
  <c r="Z34" i="34" s="1"/>
  <c r="W34" i="34"/>
  <c r="J33" i="34"/>
  <c r="AC33" i="34"/>
  <c r="H33" i="34"/>
  <c r="AB33" i="34"/>
  <c r="F33" i="34"/>
  <c r="AA33" i="34"/>
  <c r="Q33" i="34"/>
  <c r="Z33" i="34"/>
  <c r="W33" i="34"/>
  <c r="U33" i="34"/>
  <c r="S33" i="34"/>
  <c r="J32" i="34"/>
  <c r="AC32" i="34" s="1"/>
  <c r="H32" i="34"/>
  <c r="F32" i="34"/>
  <c r="AA32" i="34" s="1"/>
  <c r="Q32" i="34"/>
  <c r="Z32" i="34" s="1"/>
  <c r="W32" i="34"/>
  <c r="S32" i="34"/>
  <c r="Q31" i="34"/>
  <c r="Z31" i="34"/>
  <c r="J30" i="34"/>
  <c r="AC30" i="34" s="1"/>
  <c r="H30" i="34"/>
  <c r="F30" i="34"/>
  <c r="AA30" i="34" s="1"/>
  <c r="Q30" i="34"/>
  <c r="Z30" i="34" s="1"/>
  <c r="W30" i="34"/>
  <c r="S30" i="34"/>
  <c r="Q29" i="34"/>
  <c r="Z29" i="34"/>
  <c r="J28" i="34"/>
  <c r="AC28" i="34" s="1"/>
  <c r="H28" i="34"/>
  <c r="F28" i="34"/>
  <c r="AA28" i="34" s="1"/>
  <c r="Q28" i="34"/>
  <c r="Z28" i="34" s="1"/>
  <c r="W28" i="34"/>
  <c r="S28" i="34"/>
  <c r="Q27" i="34"/>
  <c r="Z27" i="34"/>
  <c r="J25" i="34"/>
  <c r="AC25" i="34" s="1"/>
  <c r="H25" i="34"/>
  <c r="F25" i="34"/>
  <c r="AA25" i="34" s="1"/>
  <c r="Q25" i="34"/>
  <c r="Z25" i="34" s="1"/>
  <c r="W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s="1"/>
  <c r="F13" i="34"/>
  <c r="AA13" i="34" s="1"/>
  <c r="Q13" i="34"/>
  <c r="Z13" i="34" s="1"/>
  <c r="W13" i="34"/>
  <c r="J12" i="34"/>
  <c r="AC12" i="34"/>
  <c r="H12" i="34"/>
  <c r="AB12" i="34"/>
  <c r="F12" i="34"/>
  <c r="AA12" i="34"/>
  <c r="Q12" i="34"/>
  <c r="Z12" i="34"/>
  <c r="W12" i="34"/>
  <c r="U12" i="34"/>
  <c r="S12" i="34"/>
  <c r="J11" i="34"/>
  <c r="AC11" i="34" s="1"/>
  <c r="H11" i="34"/>
  <c r="F11" i="34"/>
  <c r="AA11" i="34" s="1"/>
  <c r="Q11" i="34"/>
  <c r="Z11" i="34" s="1"/>
  <c r="W11" i="34"/>
  <c r="S11" i="34"/>
  <c r="J10" i="34"/>
  <c r="AC10" i="34"/>
  <c r="H10" i="34"/>
  <c r="AB10" i="34"/>
  <c r="F10" i="34"/>
  <c r="AA10" i="34"/>
  <c r="Q10" i="34"/>
  <c r="Z10" i="34"/>
  <c r="W10" i="34"/>
  <c r="U10" i="34"/>
  <c r="S10" i="34"/>
  <c r="J9" i="34"/>
  <c r="AC9" i="34" s="1"/>
  <c r="H9" i="34"/>
  <c r="F9" i="34"/>
  <c r="AA9" i="34" s="1"/>
  <c r="Q9" i="34"/>
  <c r="Z9" i="34" s="1"/>
  <c r="W9" i="34"/>
  <c r="J8" i="34"/>
  <c r="AC8" i="34"/>
  <c r="H8" i="34"/>
  <c r="AB8" i="34"/>
  <c r="F8" i="34"/>
  <c r="AA8" i="34"/>
  <c r="W8" i="34"/>
  <c r="U8" i="34"/>
  <c r="S8" i="34"/>
  <c r="B130" i="33"/>
  <c r="B128" i="33"/>
  <c r="B126" i="33"/>
  <c r="D125" i="33"/>
  <c r="E125" i="33" s="1"/>
  <c r="F125" i="33"/>
  <c r="G125" i="33" s="1"/>
  <c r="D123" i="33"/>
  <c r="E123" i="33" s="1"/>
  <c r="F123" i="33"/>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c r="G117" i="33" s="1"/>
  <c r="D115" i="33"/>
  <c r="E115" i="33" s="1"/>
  <c r="F115" i="33"/>
  <c r="G115" i="33" s="1"/>
  <c r="H115" i="33" s="1"/>
  <c r="I115" i="33" s="1"/>
  <c r="J115" i="33" s="1"/>
  <c r="K115" i="33" s="1"/>
  <c r="L115" i="33" s="1"/>
  <c r="M115" i="33" s="1"/>
  <c r="D113" i="33"/>
  <c r="E113" i="33"/>
  <c r="F113" i="33" s="1"/>
  <c r="G113" i="33" s="1"/>
  <c r="H113" i="33" s="1"/>
  <c r="I113" i="33" s="1"/>
  <c r="J113" i="33" s="1"/>
  <c r="K113" i="33" s="1"/>
  <c r="L113" i="33" s="1"/>
  <c r="M113" i="33" s="1"/>
  <c r="D111" i="33"/>
  <c r="E111" i="33"/>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8" i="33"/>
  <c r="B96" i="33"/>
  <c r="J30" i="33" s="1"/>
  <c r="B94" i="33"/>
  <c r="B92" i="33"/>
  <c r="J28" i="33" s="1"/>
  <c r="D91" i="33"/>
  <c r="E91" i="33"/>
  <c r="F91" i="33" s="1"/>
  <c r="G91" i="33" s="1"/>
  <c r="H91" i="33" s="1"/>
  <c r="I91" i="33" s="1"/>
  <c r="J91" i="33" s="1"/>
  <c r="K91" i="33" s="1"/>
  <c r="L91" i="33" s="1"/>
  <c r="M91" i="33" s="1"/>
  <c r="B90" i="33"/>
  <c r="B88" i="33"/>
  <c r="J26" i="33" s="1"/>
  <c r="D87" i="33"/>
  <c r="E87" i="33"/>
  <c r="F87" i="33" s="1"/>
  <c r="G87" i="33" s="1"/>
  <c r="H87" i="33" s="1"/>
  <c r="I87" i="33" s="1"/>
  <c r="J87" i="33" s="1"/>
  <c r="K87" i="33" s="1"/>
  <c r="L87" i="33" s="1"/>
  <c r="M87" i="33" s="1"/>
  <c r="D85" i="33"/>
  <c r="E85" i="33"/>
  <c r="F85" i="33" s="1"/>
  <c r="G85" i="33" s="1"/>
  <c r="D83" i="33"/>
  <c r="E83" i="33"/>
  <c r="F83" i="33" s="1"/>
  <c r="G83" i="33" s="1"/>
  <c r="D81" i="33"/>
  <c r="E81" i="33"/>
  <c r="F81" i="33" s="1"/>
  <c r="G81" i="33" s="1"/>
  <c r="D79" i="33"/>
  <c r="E79" i="33"/>
  <c r="F79" i="33" s="1"/>
  <c r="G79" i="33" s="1"/>
  <c r="D77" i="33"/>
  <c r="E77" i="33"/>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C7" i="33"/>
  <c r="C58" i="33"/>
  <c r="D58" i="33" s="1"/>
  <c r="I54" i="33"/>
  <c r="J54" i="33"/>
  <c r="G54" i="33"/>
  <c r="H54" i="33"/>
  <c r="E54" i="33"/>
  <c r="F54" i="33"/>
  <c r="V47" i="33"/>
  <c r="R47" i="33"/>
  <c r="T47" i="33"/>
  <c r="P49" i="33"/>
  <c r="P48" i="33"/>
  <c r="P47" i="33"/>
  <c r="J46" i="33"/>
  <c r="AC46" i="33"/>
  <c r="H46" i="33"/>
  <c r="AB46" i="33"/>
  <c r="F46" i="33"/>
  <c r="AA46" i="33"/>
  <c r="Q46" i="33"/>
  <c r="Z46" i="33"/>
  <c r="W46" i="33"/>
  <c r="U46" i="33"/>
  <c r="S46" i="33"/>
  <c r="J45" i="33"/>
  <c r="AC45" i="33" s="1"/>
  <c r="H45" i="33"/>
  <c r="AB45" i="33" s="1"/>
  <c r="F45" i="33"/>
  <c r="AA45" i="33" s="1"/>
  <c r="Q45" i="33"/>
  <c r="Z45" i="33" s="1"/>
  <c r="W45" i="33"/>
  <c r="S45" i="33"/>
  <c r="J44" i="33"/>
  <c r="AC44" i="33"/>
  <c r="H44" i="33"/>
  <c r="AB44" i="33"/>
  <c r="F44" i="33"/>
  <c r="AA44" i="33"/>
  <c r="Q44" i="33"/>
  <c r="Z44" i="33"/>
  <c r="W44" i="33"/>
  <c r="U44" i="33"/>
  <c r="S44" i="33"/>
  <c r="J43" i="33"/>
  <c r="AC43" i="33" s="1"/>
  <c r="H43" i="33"/>
  <c r="AB43" i="33" s="1"/>
  <c r="F43" i="33"/>
  <c r="AA43" i="33" s="1"/>
  <c r="Q43" i="33"/>
  <c r="Z43" i="33" s="1"/>
  <c r="W43" i="33"/>
  <c r="S43" i="33"/>
  <c r="J42" i="33"/>
  <c r="AC42" i="33"/>
  <c r="H42" i="33"/>
  <c r="AB42" i="33"/>
  <c r="F42" i="33"/>
  <c r="AA42" i="33"/>
  <c r="Q42" i="33"/>
  <c r="Z42" i="33"/>
  <c r="W42" i="33"/>
  <c r="U42" i="33"/>
  <c r="S42" i="33"/>
  <c r="J41" i="33"/>
  <c r="AC41" i="33" s="1"/>
  <c r="H41" i="33"/>
  <c r="AB41" i="33" s="1"/>
  <c r="F41" i="33"/>
  <c r="AA41" i="33" s="1"/>
  <c r="Q41" i="33"/>
  <c r="Z41" i="33" s="1"/>
  <c r="W41" i="33"/>
  <c r="S41" i="33"/>
  <c r="J40" i="33"/>
  <c r="AC40" i="33"/>
  <c r="H40" i="33"/>
  <c r="AB40" i="33"/>
  <c r="F40" i="33"/>
  <c r="AA40" i="33"/>
  <c r="Q40" i="33"/>
  <c r="Z40" i="33"/>
  <c r="W40" i="33"/>
  <c r="U40" i="33"/>
  <c r="S40" i="33"/>
  <c r="J39" i="33"/>
  <c r="AC39" i="33" s="1"/>
  <c r="H39" i="33"/>
  <c r="AB39" i="33" s="1"/>
  <c r="F39" i="33"/>
  <c r="AA39" i="33" s="1"/>
  <c r="Q39" i="33"/>
  <c r="Z39" i="33" s="1"/>
  <c r="W39" i="33"/>
  <c r="S39" i="33"/>
  <c r="J38" i="33"/>
  <c r="AC38" i="33"/>
  <c r="H38" i="33"/>
  <c r="AB38" i="33"/>
  <c r="F38" i="33"/>
  <c r="AA38" i="33"/>
  <c r="Q38" i="33"/>
  <c r="Z38" i="33"/>
  <c r="W38" i="33"/>
  <c r="U38" i="33"/>
  <c r="S38" i="33"/>
  <c r="J37" i="33"/>
  <c r="AC37" i="33" s="1"/>
  <c r="H37" i="33"/>
  <c r="AB37" i="33" s="1"/>
  <c r="F37" i="33"/>
  <c r="AA37" i="33" s="1"/>
  <c r="Q37" i="33"/>
  <c r="Z37" i="33" s="1"/>
  <c r="W37" i="33"/>
  <c r="S37" i="33"/>
  <c r="J36" i="33"/>
  <c r="AC36" i="33"/>
  <c r="H36" i="33"/>
  <c r="AB36" i="33"/>
  <c r="F36" i="33"/>
  <c r="AA36" i="33"/>
  <c r="Q36" i="33"/>
  <c r="Z36" i="33"/>
  <c r="W36" i="33"/>
  <c r="U36" i="33"/>
  <c r="S36" i="33"/>
  <c r="J35" i="33"/>
  <c r="AC35" i="33" s="1"/>
  <c r="H35" i="33"/>
  <c r="AB35" i="33" s="1"/>
  <c r="F35" i="33"/>
  <c r="AA35" i="33" s="1"/>
  <c r="Q35" i="33"/>
  <c r="Z35" i="33" s="1"/>
  <c r="W35" i="33"/>
  <c r="S35" i="33"/>
  <c r="J34" i="33"/>
  <c r="AC34" i="33"/>
  <c r="H34" i="33"/>
  <c r="AB34" i="33"/>
  <c r="F34" i="33"/>
  <c r="AA34" i="33"/>
  <c r="Q34" i="33"/>
  <c r="Z34" i="33"/>
  <c r="W34" i="33"/>
  <c r="U34" i="33"/>
  <c r="S34" i="33"/>
  <c r="J33" i="33"/>
  <c r="AC33" i="33" s="1"/>
  <c r="H33" i="33"/>
  <c r="AB33" i="33" s="1"/>
  <c r="F33" i="33"/>
  <c r="AA33" i="33" s="1"/>
  <c r="Q33" i="33"/>
  <c r="Z33" i="33" s="1"/>
  <c r="W33" i="33"/>
  <c r="S33" i="33"/>
  <c r="J32" i="33"/>
  <c r="AC32" i="33"/>
  <c r="H32" i="33"/>
  <c r="AB32" i="33"/>
  <c r="F32" i="33"/>
  <c r="AA32" i="33"/>
  <c r="Q32" i="33"/>
  <c r="Z32" i="33"/>
  <c r="W32" i="33"/>
  <c r="U32" i="33"/>
  <c r="S32" i="33"/>
  <c r="J31" i="33"/>
  <c r="AC31" i="33" s="1"/>
  <c r="H31" i="33"/>
  <c r="AB31" i="33" s="1"/>
  <c r="F31" i="33"/>
  <c r="AA31" i="33" s="1"/>
  <c r="Q31" i="33"/>
  <c r="Z31" i="33" s="1"/>
  <c r="W31" i="33"/>
  <c r="S31" i="33"/>
  <c r="Q30" i="33"/>
  <c r="Z30" i="33"/>
  <c r="J29" i="33"/>
  <c r="AC29" i="33" s="1"/>
  <c r="H29" i="33"/>
  <c r="AB29" i="33" s="1"/>
  <c r="F29" i="33"/>
  <c r="AA29" i="33" s="1"/>
  <c r="Q29" i="33"/>
  <c r="Z29" i="33" s="1"/>
  <c r="W29" i="33"/>
  <c r="S29" i="33"/>
  <c r="Q28" i="33"/>
  <c r="Z28" i="33"/>
  <c r="J27" i="33"/>
  <c r="AC27" i="33" s="1"/>
  <c r="H27" i="33"/>
  <c r="AB27" i="33" s="1"/>
  <c r="F27" i="33"/>
  <c r="AA27" i="33" s="1"/>
  <c r="Q27" i="33"/>
  <c r="Z27" i="33" s="1"/>
  <c r="W27" i="33"/>
  <c r="S27" i="33"/>
  <c r="Q26" i="33"/>
  <c r="Z26" i="33"/>
  <c r="J25" i="33"/>
  <c r="AC25" i="33" s="1"/>
  <c r="H25" i="33"/>
  <c r="AB25" i="33" s="1"/>
  <c r="F25" i="33"/>
  <c r="AA25" i="33" s="1"/>
  <c r="Q25" i="33"/>
  <c r="Z25" i="33" s="1"/>
  <c r="W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s="1"/>
  <c r="H15" i="33"/>
  <c r="AB15" i="33" s="1"/>
  <c r="F15" i="33"/>
  <c r="AA15" i="33" s="1"/>
  <c r="Q15" i="33"/>
  <c r="Z15" i="33" s="1"/>
  <c r="W15" i="33"/>
  <c r="S15" i="33"/>
  <c r="C15" i="33"/>
  <c r="J14" i="33"/>
  <c r="AC14" i="33" s="1"/>
  <c r="H14" i="33"/>
  <c r="AB14" i="33" s="1"/>
  <c r="F14" i="33"/>
  <c r="AA14" i="33" s="1"/>
  <c r="Q14" i="33"/>
  <c r="Z14" i="33" s="1"/>
  <c r="W14" i="33"/>
  <c r="S14" i="33"/>
  <c r="J13" i="33"/>
  <c r="AC13" i="33"/>
  <c r="H13" i="33"/>
  <c r="AB13" i="33"/>
  <c r="F13" i="33"/>
  <c r="AA13" i="33"/>
  <c r="Q13" i="33"/>
  <c r="Z13" i="33"/>
  <c r="W13" i="33"/>
  <c r="U13" i="33"/>
  <c r="S13" i="33"/>
  <c r="J12" i="33"/>
  <c r="AC12" i="33" s="1"/>
  <c r="H12" i="33"/>
  <c r="AB12" i="33" s="1"/>
  <c r="F12" i="33"/>
  <c r="AA12" i="33" s="1"/>
  <c r="Q12" i="33"/>
  <c r="Z12" i="33" s="1"/>
  <c r="W12" i="33"/>
  <c r="S12" i="33"/>
  <c r="J11" i="33"/>
  <c r="AC11" i="33"/>
  <c r="H11" i="33"/>
  <c r="AB11" i="33"/>
  <c r="F11" i="33"/>
  <c r="AA11" i="33"/>
  <c r="Q11" i="33"/>
  <c r="Z11" i="33"/>
  <c r="W11" i="33"/>
  <c r="U11" i="33"/>
  <c r="S11" i="33"/>
  <c r="J10" i="33"/>
  <c r="AC10" i="33" s="1"/>
  <c r="H10" i="33"/>
  <c r="AB10" i="33" s="1"/>
  <c r="F10" i="33"/>
  <c r="AA10" i="33" s="1"/>
  <c r="Q10" i="33"/>
  <c r="Z10" i="33" s="1"/>
  <c r="W10" i="33"/>
  <c r="S10" i="33"/>
  <c r="J9" i="33"/>
  <c r="AC9" i="33"/>
  <c r="H9" i="33"/>
  <c r="AB9" i="33"/>
  <c r="F9" i="33"/>
  <c r="AA9" i="33"/>
  <c r="Q9" i="33"/>
  <c r="Z9" i="33"/>
  <c r="W9" i="33"/>
  <c r="U9" i="33"/>
  <c r="S9" i="33"/>
  <c r="J8" i="33"/>
  <c r="AC8" i="33" s="1"/>
  <c r="H8" i="33"/>
  <c r="AB8" i="33" s="1"/>
  <c r="F8" i="33"/>
  <c r="AA8" i="33" s="1"/>
  <c r="W8" i="33"/>
  <c r="S8" i="33"/>
  <c r="J140" i="21"/>
  <c r="K145" i="21" s="1"/>
  <c r="C145" i="21"/>
  <c r="K139" i="21"/>
  <c r="K144" i="21"/>
  <c r="J142" i="21"/>
  <c r="B130" i="21"/>
  <c r="B128" i="21"/>
  <c r="B126" i="21"/>
  <c r="D125" i="21"/>
  <c r="E125" i="21"/>
  <c r="F125" i="21" s="1"/>
  <c r="G125" i="21" s="1"/>
  <c r="D123" i="21"/>
  <c r="E123" i="21"/>
  <c r="F123" i="21" s="1"/>
  <c r="G123" i="21" s="1"/>
  <c r="H123" i="21" s="1"/>
  <c r="I123" i="21" s="1"/>
  <c r="J123" i="21" s="1"/>
  <c r="K123" i="21" s="1"/>
  <c r="L123" i="21" s="1"/>
  <c r="M123" i="21" s="1"/>
  <c r="D119" i="21"/>
  <c r="E119" i="2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C7" i="21"/>
  <c r="C58" i="21" s="1"/>
  <c r="D58" i="21"/>
  <c r="E58" i="21" s="1"/>
  <c r="F58" i="21" s="1"/>
  <c r="G58" i="21" s="1"/>
  <c r="H58" i="21" s="1"/>
  <c r="I54" i="21"/>
  <c r="J54" i="21" s="1"/>
  <c r="G54" i="21"/>
  <c r="H54" i="21" s="1"/>
  <c r="E54" i="21"/>
  <c r="F54" i="21" s="1"/>
  <c r="V47" i="21"/>
  <c r="R47" i="21"/>
  <c r="T47" i="21"/>
  <c r="P49" i="21"/>
  <c r="P48" i="21"/>
  <c r="P47" i="21"/>
  <c r="J46" i="21"/>
  <c r="AC46" i="21" s="1"/>
  <c r="H46" i="21"/>
  <c r="AB46" i="21" s="1"/>
  <c r="F46" i="21"/>
  <c r="AA46" i="21" s="1"/>
  <c r="Q46" i="21"/>
  <c r="Z46" i="21" s="1"/>
  <c r="W46" i="21"/>
  <c r="S46" i="21"/>
  <c r="J45" i="21"/>
  <c r="AC45" i="21"/>
  <c r="H45" i="21"/>
  <c r="AB45" i="21"/>
  <c r="F45" i="21"/>
  <c r="AA45" i="21"/>
  <c r="Q45" i="21"/>
  <c r="Z45" i="21"/>
  <c r="W45" i="21"/>
  <c r="U45" i="21"/>
  <c r="S45" i="21"/>
  <c r="J44" i="21"/>
  <c r="AC44" i="21" s="1"/>
  <c r="H44" i="21"/>
  <c r="AB44" i="21" s="1"/>
  <c r="F44" i="21"/>
  <c r="AA44" i="21" s="1"/>
  <c r="Q44" i="21"/>
  <c r="Z44" i="21" s="1"/>
  <c r="W44" i="21"/>
  <c r="S44" i="21"/>
  <c r="J43" i="21"/>
  <c r="AC43" i="21"/>
  <c r="H43" i="21"/>
  <c r="AB43" i="21"/>
  <c r="F43" i="21"/>
  <c r="AA43" i="21"/>
  <c r="Q43" i="21"/>
  <c r="Z43" i="21"/>
  <c r="W43" i="21"/>
  <c r="U43" i="21"/>
  <c r="S43" i="21"/>
  <c r="J42" i="21"/>
  <c r="AC42" i="21" s="1"/>
  <c r="H42" i="21"/>
  <c r="AB42" i="21" s="1"/>
  <c r="F42" i="21"/>
  <c r="AA42" i="21" s="1"/>
  <c r="Q42" i="21"/>
  <c r="Z42" i="21" s="1"/>
  <c r="W42" i="21"/>
  <c r="S42" i="21"/>
  <c r="J41" i="21"/>
  <c r="AC41" i="21"/>
  <c r="H41" i="21"/>
  <c r="AB41" i="21"/>
  <c r="F41" i="21"/>
  <c r="AA41" i="21"/>
  <c r="Q41" i="21"/>
  <c r="Z41" i="21"/>
  <c r="W41" i="21"/>
  <c r="U41" i="21"/>
  <c r="S41" i="21"/>
  <c r="J40" i="21"/>
  <c r="AC40" i="21" s="1"/>
  <c r="H40" i="21"/>
  <c r="AB40" i="21" s="1"/>
  <c r="F40" i="21"/>
  <c r="AA40" i="21" s="1"/>
  <c r="Q40" i="21"/>
  <c r="Z40" i="21" s="1"/>
  <c r="W40" i="21"/>
  <c r="S40" i="21"/>
  <c r="J39" i="21"/>
  <c r="AC39" i="21"/>
  <c r="H39" i="21"/>
  <c r="AB39" i="21"/>
  <c r="F39" i="21"/>
  <c r="AA39" i="21"/>
  <c r="Q39" i="21"/>
  <c r="Z39" i="21"/>
  <c r="W39" i="21"/>
  <c r="U39" i="21"/>
  <c r="S39" i="21"/>
  <c r="J38" i="21"/>
  <c r="AC38" i="21" s="1"/>
  <c r="H38" i="21"/>
  <c r="AB38" i="21" s="1"/>
  <c r="F38" i="21"/>
  <c r="AA38" i="21" s="1"/>
  <c r="Q38" i="21"/>
  <c r="Z38" i="21" s="1"/>
  <c r="W38" i="21"/>
  <c r="S38" i="21"/>
  <c r="J37" i="21"/>
  <c r="AC37" i="21"/>
  <c r="H37" i="21"/>
  <c r="AB37" i="21"/>
  <c r="F37" i="21"/>
  <c r="AA37" i="21"/>
  <c r="Q37" i="21"/>
  <c r="Z37" i="21"/>
  <c r="W37" i="21"/>
  <c r="U37" i="21"/>
  <c r="S37" i="21"/>
  <c r="J36" i="21"/>
  <c r="AC36" i="21" s="1"/>
  <c r="H36" i="21"/>
  <c r="AB36" i="21" s="1"/>
  <c r="F36" i="21"/>
  <c r="AA36" i="21" s="1"/>
  <c r="Q36" i="21"/>
  <c r="Z36" i="21" s="1"/>
  <c r="W36" i="21"/>
  <c r="S36" i="21"/>
  <c r="J35" i="21"/>
  <c r="AC35" i="21"/>
  <c r="H35" i="21"/>
  <c r="AB35" i="21"/>
  <c r="F35" i="21"/>
  <c r="AA35" i="21"/>
  <c r="Q35" i="21"/>
  <c r="Z35" i="21"/>
  <c r="W35" i="21"/>
  <c r="U35" i="21"/>
  <c r="S35" i="21"/>
  <c r="J34" i="21"/>
  <c r="AC34" i="21" s="1"/>
  <c r="H34" i="21"/>
  <c r="AB34" i="21" s="1"/>
  <c r="F34" i="21"/>
  <c r="AA34" i="21" s="1"/>
  <c r="Q34" i="21"/>
  <c r="Z34" i="21" s="1"/>
  <c r="W34" i="21"/>
  <c r="S34" i="21"/>
  <c r="J33" i="21"/>
  <c r="AC33" i="21"/>
  <c r="H33" i="21"/>
  <c r="AB33" i="21"/>
  <c r="F33" i="21"/>
  <c r="AA33" i="21"/>
  <c r="Q33" i="21"/>
  <c r="Z33" i="21"/>
  <c r="W33" i="21"/>
  <c r="U33" i="21"/>
  <c r="S33" i="21"/>
  <c r="J32" i="21"/>
  <c r="AC32" i="21" s="1"/>
  <c r="H32" i="21"/>
  <c r="AB32" i="21" s="1"/>
  <c r="F32" i="21"/>
  <c r="AA32" i="21" s="1"/>
  <c r="Q32" i="21"/>
  <c r="Z32" i="21" s="1"/>
  <c r="W32" i="21"/>
  <c r="S32" i="21"/>
  <c r="J31" i="21"/>
  <c r="AC31" i="21"/>
  <c r="H31" i="21"/>
  <c r="AB31" i="21"/>
  <c r="F31" i="21"/>
  <c r="AA31" i="21"/>
  <c r="Q31" i="21"/>
  <c r="Z31" i="21"/>
  <c r="W31" i="21"/>
  <c r="U31" i="21"/>
  <c r="S31" i="21"/>
  <c r="J30" i="21"/>
  <c r="AC30" i="21" s="1"/>
  <c r="H30" i="21"/>
  <c r="AB30" i="21" s="1"/>
  <c r="F30" i="21"/>
  <c r="AA30" i="21" s="1"/>
  <c r="Q30" i="21"/>
  <c r="Z30" i="21" s="1"/>
  <c r="W30" i="21"/>
  <c r="S30" i="21"/>
  <c r="J29" i="21"/>
  <c r="AC29" i="21"/>
  <c r="H29" i="21"/>
  <c r="AB29" i="21"/>
  <c r="F29" i="21"/>
  <c r="AA29" i="21"/>
  <c r="Q29" i="21"/>
  <c r="Z29" i="21"/>
  <c r="W29" i="21"/>
  <c r="U29" i="21"/>
  <c r="S29" i="21"/>
  <c r="J28" i="21"/>
  <c r="AC28" i="21" s="1"/>
  <c r="H28" i="21"/>
  <c r="AB28" i="21" s="1"/>
  <c r="F28" i="21"/>
  <c r="AA28" i="21" s="1"/>
  <c r="Q28" i="21"/>
  <c r="Z28" i="21" s="1"/>
  <c r="W28" i="21"/>
  <c r="S28" i="21"/>
  <c r="J27" i="21"/>
  <c r="AC27" i="21"/>
  <c r="H27" i="21"/>
  <c r="AB27" i="21"/>
  <c r="F27" i="21"/>
  <c r="AA27" i="21"/>
  <c r="Q27" i="21"/>
  <c r="Z27" i="21"/>
  <c r="W27" i="21"/>
  <c r="U27" i="21"/>
  <c r="S27" i="21"/>
  <c r="J26" i="21"/>
  <c r="AC26" i="21" s="1"/>
  <c r="H26" i="21"/>
  <c r="AB26" i="21" s="1"/>
  <c r="F26" i="21"/>
  <c r="AA26" i="21" s="1"/>
  <c r="Q26" i="21"/>
  <c r="Z26" i="21" s="1"/>
  <c r="W26" i="21"/>
  <c r="S26" i="21"/>
  <c r="J25" i="21"/>
  <c r="AC25" i="21"/>
  <c r="H25" i="21"/>
  <c r="AB25" i="21"/>
  <c r="F25" i="21"/>
  <c r="AA25" i="21"/>
  <c r="Q25" i="21"/>
  <c r="Z25" i="21"/>
  <c r="W25" i="21"/>
  <c r="U25" i="21"/>
  <c r="S25" i="21"/>
  <c r="J23" i="21"/>
  <c r="AC23" i="21" s="1"/>
  <c r="H23" i="21"/>
  <c r="AB23" i="21" s="1"/>
  <c r="F23" i="21"/>
  <c r="AA23" i="21" s="1"/>
  <c r="Q23" i="21"/>
  <c r="Z23" i="21" s="1"/>
  <c r="W23" i="21"/>
  <c r="S23" i="21"/>
  <c r="C23" i="21"/>
  <c r="J21" i="21"/>
  <c r="AC21" i="21" s="1"/>
  <c r="H21" i="21"/>
  <c r="AB21" i="21" s="1"/>
  <c r="F21" i="21"/>
  <c r="AA21" i="21" s="1"/>
  <c r="Q21" i="21"/>
  <c r="Z21" i="21" s="1"/>
  <c r="W21" i="21"/>
  <c r="S21" i="21"/>
  <c r="C21" i="21"/>
  <c r="J19" i="21"/>
  <c r="AC19" i="21" s="1"/>
  <c r="H19" i="21"/>
  <c r="AB19" i="21" s="1"/>
  <c r="F19" i="21"/>
  <c r="AA19" i="21" s="1"/>
  <c r="Q19" i="21"/>
  <c r="Z19" i="21" s="1"/>
  <c r="W19" i="21"/>
  <c r="S19" i="21"/>
  <c r="C19" i="21"/>
  <c r="J17" i="21"/>
  <c r="AC17" i="21" s="1"/>
  <c r="H17" i="21"/>
  <c r="AB17" i="21" s="1"/>
  <c r="F17" i="21"/>
  <c r="AA17" i="21" s="1"/>
  <c r="Q17" i="21"/>
  <c r="Z17" i="21" s="1"/>
  <c r="W17" i="21"/>
  <c r="S17" i="21"/>
  <c r="C17" i="21"/>
  <c r="J15" i="21"/>
  <c r="AC15" i="21" s="1"/>
  <c r="H15" i="21"/>
  <c r="AB15" i="21" s="1"/>
  <c r="F15" i="21"/>
  <c r="AA15" i="21" s="1"/>
  <c r="Q15" i="21"/>
  <c r="Z15" i="21" s="1"/>
  <c r="W15" i="21"/>
  <c r="C15" i="21"/>
  <c r="J14" i="21"/>
  <c r="AC14" i="21" s="1"/>
  <c r="H14" i="21"/>
  <c r="AB14" i="21" s="1"/>
  <c r="F14" i="21"/>
  <c r="AA14" i="21" s="1"/>
  <c r="Q14" i="21"/>
  <c r="Z14" i="21" s="1"/>
  <c r="W14" i="21"/>
  <c r="S14" i="21"/>
  <c r="J13" i="21"/>
  <c r="AC13" i="21"/>
  <c r="H13" i="21"/>
  <c r="AB13" i="21"/>
  <c r="F13" i="21"/>
  <c r="AA13" i="21"/>
  <c r="Q13" i="21"/>
  <c r="Z13" i="21"/>
  <c r="W13" i="21"/>
  <c r="U13" i="21"/>
  <c r="S13" i="21"/>
  <c r="J12" i="21"/>
  <c r="AC12" i="21" s="1"/>
  <c r="H12" i="21"/>
  <c r="AB12" i="21" s="1"/>
  <c r="F12" i="21"/>
  <c r="AA12" i="21" s="1"/>
  <c r="Q12" i="21"/>
  <c r="Z12" i="21" s="1"/>
  <c r="W12" i="21"/>
  <c r="S12" i="21"/>
  <c r="J11" i="21"/>
  <c r="AC11" i="21"/>
  <c r="H11" i="21"/>
  <c r="AB11" i="21"/>
  <c r="F11" i="21"/>
  <c r="AA11" i="21"/>
  <c r="Q11" i="21"/>
  <c r="Z11" i="21"/>
  <c r="W11" i="21"/>
  <c r="U11" i="21"/>
  <c r="S11" i="21"/>
  <c r="J10" i="21"/>
  <c r="AC10" i="21" s="1"/>
  <c r="H10" i="21"/>
  <c r="AB10" i="21" s="1"/>
  <c r="F10" i="21"/>
  <c r="S10" i="21" s="1"/>
  <c r="Q10" i="21"/>
  <c r="Z10" i="21" s="1"/>
  <c r="W10" i="21"/>
  <c r="J9" i="21"/>
  <c r="AC9" i="21"/>
  <c r="H9" i="21"/>
  <c r="AB9" i="21"/>
  <c r="F9" i="21"/>
  <c r="AA9" i="21"/>
  <c r="Q9" i="21"/>
  <c r="Z9" i="21"/>
  <c r="W9" i="21"/>
  <c r="U9" i="21"/>
  <c r="S9" i="21"/>
  <c r="J8" i="21"/>
  <c r="AC8" i="21" s="1"/>
  <c r="H8" i="21"/>
  <c r="AB8" i="21" s="1"/>
  <c r="F8" i="21"/>
  <c r="AA8" i="21" s="1"/>
  <c r="W8" i="21"/>
  <c r="S8" i="21"/>
  <c r="I23" i="66"/>
  <c r="I21" i="66"/>
  <c r="D20" i="66"/>
  <c r="I19" i="66"/>
  <c r="I18" i="66"/>
  <c r="I17" i="66"/>
  <c r="E15" i="66"/>
  <c r="I14" i="66"/>
  <c r="I13" i="66"/>
  <c r="I12" i="66"/>
  <c r="D1" i="66"/>
  <c r="E10" i="66" s="1"/>
  <c r="D7" i="1"/>
  <c r="G1" i="67"/>
  <c r="S10" i="1"/>
  <c r="AR10" i="1" s="1"/>
  <c r="F15" i="67"/>
  <c r="F17" i="67"/>
  <c r="F18" i="67"/>
  <c r="F20" i="67"/>
  <c r="F23" i="67"/>
  <c r="F21" i="67"/>
  <c r="F33" i="67"/>
  <c r="F61" i="67" s="1"/>
  <c r="R10" i="1"/>
  <c r="F34" i="67"/>
  <c r="AE10" i="1"/>
  <c r="F10" i="1"/>
  <c r="G10" i="1" s="1"/>
  <c r="J50" i="67"/>
  <c r="J51" i="67"/>
  <c r="D10" i="1"/>
  <c r="M47" i="67"/>
  <c r="K59" i="67"/>
  <c r="P74" i="67"/>
  <c r="Q72" i="67"/>
  <c r="F62" i="67"/>
  <c r="P61" i="67"/>
  <c r="J53" i="67"/>
  <c r="Q59" i="67"/>
  <c r="F59" i="67"/>
  <c r="Q58" i="67"/>
  <c r="Q52" i="67"/>
  <c r="Q51" i="67"/>
  <c r="D46" i="67"/>
  <c r="F31" i="67"/>
  <c r="AG10" i="1"/>
  <c r="M19" i="67"/>
  <c r="M20" i="67"/>
  <c r="D24" i="67"/>
  <c r="D23" i="67"/>
  <c r="D22" i="67"/>
  <c r="M17" i="67"/>
  <c r="F1" i="67"/>
  <c r="K59" i="15"/>
  <c r="P74" i="15"/>
  <c r="Q72" i="15"/>
  <c r="F61" i="15"/>
  <c r="F62" i="15"/>
  <c r="P61" i="15"/>
  <c r="Q59" i="15"/>
  <c r="F59" i="15"/>
  <c r="Q58" i="15"/>
  <c r="Q51" i="15"/>
  <c r="D46" i="15"/>
  <c r="F31" i="15"/>
  <c r="AG7" i="1"/>
  <c r="M19" i="15"/>
  <c r="M20" i="15"/>
  <c r="D24" i="15"/>
  <c r="D23" i="15"/>
  <c r="D22" i="15"/>
  <c r="M17" i="15"/>
  <c r="O6" i="1"/>
  <c r="O16" i="1" s="1"/>
  <c r="P6" i="1"/>
  <c r="O7" i="1"/>
  <c r="P7" i="1"/>
  <c r="O8" i="1"/>
  <c r="P8" i="1"/>
  <c r="O9" i="1"/>
  <c r="P9" i="1"/>
  <c r="O10" i="1"/>
  <c r="P10" i="1"/>
  <c r="O11" i="1"/>
  <c r="P11" i="1"/>
  <c r="O12" i="1"/>
  <c r="P12" i="1"/>
  <c r="O13" i="1"/>
  <c r="P13" i="1"/>
  <c r="O14" i="1"/>
  <c r="P14" i="1"/>
  <c r="F12" i="12"/>
  <c r="F13" i="12"/>
  <c r="C13" i="12"/>
  <c r="F11" i="12"/>
  <c r="E14" i="12"/>
  <c r="F15" i="12"/>
  <c r="E17" i="12"/>
  <c r="D19" i="12"/>
  <c r="C19" i="12" s="1"/>
  <c r="E19" i="12"/>
  <c r="E20" i="12"/>
  <c r="F22" i="12"/>
  <c r="F23" i="12"/>
  <c r="C4" i="12"/>
  <c r="F24" i="12"/>
  <c r="C24" i="12" s="1"/>
  <c r="G27" i="12"/>
  <c r="G26" i="12"/>
  <c r="G25" i="12"/>
  <c r="K7" i="12"/>
  <c r="J7" i="12"/>
  <c r="I7" i="12"/>
  <c r="H7" i="12"/>
  <c r="G7" i="12"/>
  <c r="F7" i="12"/>
  <c r="E7" i="12"/>
  <c r="D7" i="12"/>
  <c r="C7" i="12"/>
  <c r="K1" i="12"/>
  <c r="F35" i="69"/>
  <c r="AP6" i="1"/>
  <c r="AP7" i="1"/>
  <c r="AP8" i="1"/>
  <c r="AP9" i="1"/>
  <c r="AP10" i="1"/>
  <c r="AP11" i="1"/>
  <c r="AP12" i="1"/>
  <c r="AP13" i="1"/>
  <c r="F36" i="69"/>
  <c r="D9" i="69"/>
  <c r="E37" i="69"/>
  <c r="F38" i="69"/>
  <c r="F20" i="69"/>
  <c r="F21" i="69"/>
  <c r="C40" i="69" s="1"/>
  <c r="E9" i="69"/>
  <c r="E10" i="69"/>
  <c r="F7" i="69"/>
  <c r="C7" i="69" s="1"/>
  <c r="E19" i="69"/>
  <c r="G41" i="69"/>
  <c r="G22" i="69"/>
  <c r="H1" i="69"/>
  <c r="G1" i="69"/>
  <c r="E19" i="68"/>
  <c r="C21" i="68"/>
  <c r="G41" i="68"/>
  <c r="G22" i="68"/>
  <c r="E10" i="68"/>
  <c r="E9" i="68"/>
  <c r="G1" i="68"/>
  <c r="E111" i="9"/>
  <c r="H111" i="9" s="1"/>
  <c r="D126" i="9" s="1"/>
  <c r="A126" i="9"/>
  <c r="E109" i="9"/>
  <c r="H109" i="9"/>
  <c r="D124" i="9" s="1"/>
  <c r="A124" i="9"/>
  <c r="C17" i="9"/>
  <c r="D17" i="9"/>
  <c r="C18" i="9"/>
  <c r="D18" i="9" s="1"/>
  <c r="E107" i="9"/>
  <c r="A122" i="9" s="1"/>
  <c r="H105" i="9"/>
  <c r="D11" i="53" s="1"/>
  <c r="B27" i="72" s="1"/>
  <c r="H106" i="9"/>
  <c r="H103" i="9"/>
  <c r="D120" i="9" s="1"/>
  <c r="A120" i="9"/>
  <c r="S2" i="4"/>
  <c r="A118" i="9"/>
  <c r="H110" i="9"/>
  <c r="D18" i="53" s="1"/>
  <c r="H104" i="9"/>
  <c r="D101" i="9"/>
  <c r="C101" i="9"/>
  <c r="D93" i="9"/>
  <c r="D89" i="9"/>
  <c r="C89" i="9" s="1"/>
  <c r="C87" i="9" s="1"/>
  <c r="C91" i="9"/>
  <c r="E90" i="9"/>
  <c r="D78" i="9"/>
  <c r="D77" i="9"/>
  <c r="C77" i="9" s="1"/>
  <c r="C76" i="9"/>
  <c r="C74" i="9" s="1"/>
  <c r="H77" i="9"/>
  <c r="I55" i="9"/>
  <c r="K6" i="4"/>
  <c r="M56" i="9" s="1"/>
  <c r="J55" i="9"/>
  <c r="F59" i="9"/>
  <c r="E59" i="9"/>
  <c r="D59" i="9"/>
  <c r="F56" i="9"/>
  <c r="O55" i="9"/>
  <c r="N55" i="9"/>
  <c r="M55" i="9"/>
  <c r="K55" i="9"/>
  <c r="F55" i="9"/>
  <c r="O54" i="9"/>
  <c r="N54" i="9"/>
  <c r="O53" i="9"/>
  <c r="N53" i="9"/>
  <c r="F48" i="9"/>
  <c r="O52" i="9" s="1"/>
  <c r="E48" i="9"/>
  <c r="N52" i="9" s="1"/>
  <c r="D48" i="9"/>
  <c r="M52" i="9" s="1"/>
  <c r="K49" i="9"/>
  <c r="M47" i="9"/>
  <c r="F33" i="9"/>
  <c r="D27" i="9"/>
  <c r="C25" i="9"/>
  <c r="C24" i="9"/>
  <c r="L4" i="9"/>
  <c r="K4" i="9"/>
  <c r="A2" i="9"/>
  <c r="H1" i="9"/>
  <c r="F23" i="74"/>
  <c r="E23" i="74"/>
  <c r="F22" i="74"/>
  <c r="E22" i="74"/>
  <c r="F21" i="74"/>
  <c r="E21" i="74"/>
  <c r="F20" i="74"/>
  <c r="E20" i="74"/>
  <c r="F19" i="74"/>
  <c r="E19" i="74"/>
  <c r="F18" i="74"/>
  <c r="E18" i="74"/>
  <c r="F17" i="74"/>
  <c r="E17" i="74"/>
  <c r="B3" i="74"/>
  <c r="T10" i="1"/>
  <c r="S11" i="1"/>
  <c r="T11" i="1" s="1"/>
  <c r="S12" i="1"/>
  <c r="T12" i="1" s="1"/>
  <c r="S13" i="1"/>
  <c r="T13" i="1" s="1"/>
  <c r="R11" i="1"/>
  <c r="R12" i="1"/>
  <c r="R13" i="1"/>
  <c r="AR13" i="1"/>
  <c r="AG13" i="1"/>
  <c r="AE13" i="1"/>
  <c r="F13" i="1"/>
  <c r="D13" i="1"/>
  <c r="G13" i="1"/>
  <c r="B13" i="1"/>
  <c r="E13" i="1"/>
  <c r="AQ12" i="1"/>
  <c r="AG12" i="1"/>
  <c r="AE12" i="1"/>
  <c r="F12" i="1"/>
  <c r="D12" i="1"/>
  <c r="G12" i="1" s="1"/>
  <c r="B12" i="1"/>
  <c r="E12" i="1" s="1"/>
  <c r="AR11" i="1"/>
  <c r="AQ11" i="1"/>
  <c r="AG11" i="1"/>
  <c r="AE11" i="1"/>
  <c r="F11" i="1"/>
  <c r="G11" i="1" s="1"/>
  <c r="D11" i="1"/>
  <c r="B11" i="1"/>
  <c r="E11" i="1"/>
  <c r="AQ10" i="1"/>
  <c r="B10" i="1"/>
  <c r="E10" i="1" s="1"/>
  <c r="B9" i="1"/>
  <c r="E9" i="1" s="1"/>
  <c r="B8" i="1"/>
  <c r="E8" i="1" s="1"/>
  <c r="B7" i="1"/>
  <c r="E7" i="1" s="1"/>
  <c r="B6" i="1"/>
  <c r="E6" i="1" s="1"/>
  <c r="T4" i="1"/>
  <c r="E32" i="6"/>
  <c r="G27" i="6"/>
  <c r="L23" i="6"/>
  <c r="L24" i="6"/>
  <c r="L25" i="6"/>
  <c r="L26" i="6"/>
  <c r="P19" i="6"/>
  <c r="P20" i="6"/>
  <c r="P27" i="6" s="1"/>
  <c r="P21" i="6"/>
  <c r="P22" i="6"/>
  <c r="P23" i="6"/>
  <c r="P24" i="6"/>
  <c r="P25" i="6"/>
  <c r="P26" i="6"/>
  <c r="O27" i="6"/>
  <c r="N27" i="6"/>
  <c r="I4"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V18" i="3"/>
  <c r="AX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AT6" i="3"/>
  <c r="K34" i="4"/>
  <c r="T34" i="4" s="1"/>
  <c r="R35" i="4"/>
  <c r="Q35" i="4"/>
  <c r="P35" i="4"/>
  <c r="O35" i="4"/>
  <c r="N35" i="4"/>
  <c r="M35" i="4"/>
  <c r="L35" i="4"/>
  <c r="C33" i="4"/>
  <c r="C32" i="4"/>
  <c r="C31" i="4"/>
  <c r="L22" i="4"/>
  <c r="L21" i="4"/>
  <c r="L20" i="4"/>
  <c r="F19" i="4"/>
  <c r="I15" i="4"/>
  <c r="H15" i="4"/>
  <c r="D15" i="4"/>
  <c r="K5" i="4"/>
  <c r="B47" i="48" s="1"/>
  <c r="I4" i="4"/>
  <c r="G4" i="4"/>
  <c r="S1" i="4"/>
  <c r="B1" i="4"/>
  <c r="B37" i="48" s="1"/>
  <c r="B2" i="72" s="1"/>
  <c r="C53" i="10"/>
  <c r="C51" i="10"/>
  <c r="B51" i="10"/>
  <c r="A21" i="62"/>
  <c r="B67" i="72" s="1"/>
  <c r="A20" i="62"/>
  <c r="A19" i="62"/>
  <c r="B65" i="72" s="1"/>
  <c r="A15" i="62"/>
  <c r="A14" i="62"/>
  <c r="A13" i="62"/>
  <c r="A12" i="62"/>
  <c r="A5" i="62"/>
  <c r="A4" i="62"/>
  <c r="A12" i="52"/>
  <c r="B56" i="72" s="1"/>
  <c r="D10" i="52"/>
  <c r="A10" i="52"/>
  <c r="A8" i="52"/>
  <c r="B54" i="72" s="1"/>
  <c r="D6" i="52"/>
  <c r="A6" i="52"/>
  <c r="A4" i="52"/>
  <c r="H2" i="52"/>
  <c r="F2" i="52"/>
  <c r="D2" i="52"/>
  <c r="A1" i="52"/>
  <c r="D19" i="53"/>
  <c r="B19" i="53"/>
  <c r="D16" i="53"/>
  <c r="B16" i="53"/>
  <c r="D12" i="53"/>
  <c r="B28" i="72" s="1"/>
  <c r="D10" i="53"/>
  <c r="B8" i="53"/>
  <c r="A3" i="53"/>
  <c r="A2" i="53"/>
  <c r="A24" i="51"/>
  <c r="B18" i="72" s="1"/>
  <c r="A22" i="51"/>
  <c r="A21" i="51"/>
  <c r="B16" i="72" s="1"/>
  <c r="A20" i="51"/>
  <c r="A18" i="51"/>
  <c r="A15" i="51"/>
  <c r="B12" i="72" s="1"/>
  <c r="A13" i="51"/>
  <c r="A4" i="51"/>
  <c r="B6" i="72" s="1"/>
  <c r="A3" i="51"/>
  <c r="B49" i="48"/>
  <c r="B40" i="48"/>
  <c r="B74" i="72"/>
  <c r="B72" i="72"/>
  <c r="B70" i="72"/>
  <c r="B69" i="72"/>
  <c r="B68" i="72"/>
  <c r="B66" i="72"/>
  <c r="B63" i="72"/>
  <c r="B62" i="72"/>
  <c r="B61" i="72"/>
  <c r="B60" i="72"/>
  <c r="B59" i="72"/>
  <c r="B58" i="72"/>
  <c r="B57" i="72"/>
  <c r="B55" i="72"/>
  <c r="B50" i="72"/>
  <c r="B46" i="72"/>
  <c r="B44" i="72"/>
  <c r="B42" i="72"/>
  <c r="B41" i="72"/>
  <c r="B37" i="72"/>
  <c r="B35" i="72"/>
  <c r="B33" i="72"/>
  <c r="B26" i="72"/>
  <c r="B23" i="72"/>
  <c r="B19" i="72"/>
  <c r="B17" i="72"/>
  <c r="B15" i="72"/>
  <c r="B13" i="72"/>
  <c r="B11" i="72"/>
  <c r="B10" i="72"/>
  <c r="B8" i="72"/>
  <c r="B5" i="72"/>
  <c r="B3" i="72"/>
  <c r="D17" i="53" l="1"/>
  <c r="B36" i="72" s="1"/>
  <c r="B34" i="72"/>
  <c r="D20" i="53"/>
  <c r="B40" i="72" s="1"/>
  <c r="B38" i="72"/>
  <c r="T35" i="4"/>
  <c r="A19" i="51" s="1"/>
  <c r="B14" i="72" s="1"/>
  <c r="D121" i="9"/>
  <c r="D7" i="52" s="1"/>
  <c r="K120" i="9"/>
  <c r="A18" i="62" s="1"/>
  <c r="B64" i="72" s="1"/>
  <c r="H14" i="74"/>
  <c r="B7" i="74" s="1"/>
  <c r="D125" i="9"/>
  <c r="D11" i="52" s="1"/>
  <c r="AB12" i="37"/>
  <c r="U12" i="37"/>
  <c r="AC14" i="37"/>
  <c r="W14" i="37"/>
  <c r="D127" i="9"/>
  <c r="D13" i="52" s="1"/>
  <c r="I14" i="74"/>
  <c r="B8" i="74" s="1"/>
  <c r="D12" i="52"/>
  <c r="W26" i="33"/>
  <c r="AC26" i="33"/>
  <c r="W28" i="33"/>
  <c r="AC28" i="33"/>
  <c r="W30" i="33"/>
  <c r="AC30" i="33"/>
  <c r="AB13" i="34"/>
  <c r="U13" i="34"/>
  <c r="AC26" i="37"/>
  <c r="W26" i="37"/>
  <c r="AB28" i="37"/>
  <c r="U28" i="37"/>
  <c r="N56" i="9"/>
  <c r="J56" i="9"/>
  <c r="J57" i="9" s="1"/>
  <c r="J59" i="9" s="1"/>
  <c r="J61" i="9" s="1"/>
  <c r="S15" i="21"/>
  <c r="D8" i="53"/>
  <c r="B13" i="53"/>
  <c r="B29" i="72" s="1"/>
  <c r="AR12" i="1"/>
  <c r="K56" i="9"/>
  <c r="H112" i="9"/>
  <c r="D21" i="53" s="1"/>
  <c r="B39" i="72" s="1"/>
  <c r="A2" i="86"/>
  <c r="A118" i="86"/>
  <c r="A118" i="85"/>
  <c r="A2" i="85"/>
  <c r="U8" i="21"/>
  <c r="U10" i="21"/>
  <c r="AA10" i="21"/>
  <c r="U12" i="21"/>
  <c r="U14" i="21"/>
  <c r="U15" i="21"/>
  <c r="U17" i="21"/>
  <c r="U19" i="21"/>
  <c r="U21" i="21"/>
  <c r="U23" i="21"/>
  <c r="U26" i="21"/>
  <c r="U28" i="21"/>
  <c r="U30" i="21"/>
  <c r="U32" i="21"/>
  <c r="U34" i="21"/>
  <c r="U36" i="21"/>
  <c r="U38" i="21"/>
  <c r="U40" i="21"/>
  <c r="U42" i="21"/>
  <c r="U44" i="21"/>
  <c r="U46" i="21"/>
  <c r="K141" i="21"/>
  <c r="K143" i="21"/>
  <c r="U8" i="33"/>
  <c r="U10" i="33"/>
  <c r="U12" i="33"/>
  <c r="U14" i="33"/>
  <c r="U15" i="33"/>
  <c r="AB11" i="34"/>
  <c r="U11" i="34"/>
  <c r="AB25" i="34"/>
  <c r="U25" i="34"/>
  <c r="AB28" i="34"/>
  <c r="U28" i="34"/>
  <c r="AB30" i="34"/>
  <c r="U30" i="34"/>
  <c r="AB32" i="34"/>
  <c r="U32" i="34"/>
  <c r="AB36" i="34"/>
  <c r="U36" i="34"/>
  <c r="AB40" i="34"/>
  <c r="U40" i="34"/>
  <c r="AB44" i="34"/>
  <c r="U44" i="34"/>
  <c r="AB46" i="34"/>
  <c r="U46" i="34"/>
  <c r="J29" i="34"/>
  <c r="H29" i="34"/>
  <c r="F29" i="34"/>
  <c r="J31" i="34"/>
  <c r="H31" i="34"/>
  <c r="F31" i="34"/>
  <c r="J45" i="34"/>
  <c r="H45" i="34"/>
  <c r="F45" i="34"/>
  <c r="J47" i="34"/>
  <c r="H47" i="34"/>
  <c r="F47" i="34"/>
  <c r="AB8" i="37"/>
  <c r="U8" i="37"/>
  <c r="AB10" i="37"/>
  <c r="U10" i="37"/>
  <c r="AB14" i="37"/>
  <c r="U14" i="37"/>
  <c r="AB17" i="37"/>
  <c r="U17" i="37"/>
  <c r="AB21" i="37"/>
  <c r="U21" i="37"/>
  <c r="AB26" i="37"/>
  <c r="U26" i="37"/>
  <c r="AB30" i="37"/>
  <c r="U30" i="37"/>
  <c r="AB34" i="37"/>
  <c r="U34" i="37"/>
  <c r="AB38" i="37"/>
  <c r="U38" i="37"/>
  <c r="AB40" i="37"/>
  <c r="U40" i="37"/>
  <c r="J9" i="37"/>
  <c r="H9" i="37"/>
  <c r="F9" i="37"/>
  <c r="AB8" i="35"/>
  <c r="U8" i="35"/>
  <c r="AB10" i="35"/>
  <c r="U10" i="35"/>
  <c r="AB22" i="35"/>
  <c r="U22" i="35"/>
  <c r="AB24" i="35"/>
  <c r="U24" i="35"/>
  <c r="AB26" i="35"/>
  <c r="U26" i="35"/>
  <c r="AB30" i="35"/>
  <c r="U30" i="35"/>
  <c r="AB34" i="35"/>
  <c r="U34" i="35"/>
  <c r="AB36" i="35"/>
  <c r="U36" i="35"/>
  <c r="J23" i="35"/>
  <c r="H23" i="35"/>
  <c r="F23" i="35"/>
  <c r="J25" i="35"/>
  <c r="H25" i="35"/>
  <c r="F25" i="35"/>
  <c r="J35" i="35"/>
  <c r="H35" i="35"/>
  <c r="F35" i="35"/>
  <c r="AB9" i="36"/>
  <c r="U9" i="36"/>
  <c r="AB14" i="36"/>
  <c r="U14" i="36"/>
  <c r="AB18" i="36"/>
  <c r="U18" i="36"/>
  <c r="AB23" i="36"/>
  <c r="U23" i="36"/>
  <c r="AB25" i="36"/>
  <c r="U25" i="36"/>
  <c r="AB29" i="36"/>
  <c r="U29" i="36"/>
  <c r="J32" i="36"/>
  <c r="H32" i="36"/>
  <c r="F32" i="36"/>
  <c r="J34" i="36"/>
  <c r="H34" i="36"/>
  <c r="F34" i="36"/>
  <c r="AA8" i="39"/>
  <c r="S8" i="39"/>
  <c r="AC8" i="39"/>
  <c r="W8" i="39"/>
  <c r="AB12" i="39"/>
  <c r="U12" i="39"/>
  <c r="AA42" i="39"/>
  <c r="S42" i="39"/>
  <c r="AA15" i="40"/>
  <c r="S15" i="40"/>
  <c r="AB17" i="40"/>
  <c r="U17" i="40"/>
  <c r="AA23" i="40"/>
  <c r="S23" i="40"/>
  <c r="AB25" i="40"/>
  <c r="U25" i="40"/>
  <c r="AB30" i="40"/>
  <c r="U30" i="40"/>
  <c r="AA33" i="40"/>
  <c r="S33" i="40"/>
  <c r="AB35" i="40"/>
  <c r="U35" i="40"/>
  <c r="J27" i="40"/>
  <c r="H27" i="40"/>
  <c r="F27" i="40"/>
  <c r="J39" i="40"/>
  <c r="F39" i="40"/>
  <c r="Y9" i="71"/>
  <c r="Z9" i="71" s="1"/>
  <c r="Y8" i="71"/>
  <c r="Z8" i="71" s="1"/>
  <c r="Y6" i="71"/>
  <c r="Z6" i="71" s="1"/>
  <c r="Y3" i="71"/>
  <c r="Z3" i="71" s="1"/>
  <c r="Y5" i="71"/>
  <c r="Z5" i="71" s="1"/>
  <c r="AB9" i="71"/>
  <c r="AB8" i="71"/>
  <c r="AB6" i="71"/>
  <c r="AB3" i="71"/>
  <c r="AB7" i="71"/>
  <c r="E32" i="71"/>
  <c r="U32" i="71" s="1"/>
  <c r="E36" i="71"/>
  <c r="U36" i="71" s="1"/>
  <c r="E40" i="71"/>
  <c r="U40" i="71" s="1"/>
  <c r="E44" i="71"/>
  <c r="U44" i="71" s="1"/>
  <c r="E48" i="71"/>
  <c r="U48" i="71" s="1"/>
  <c r="D55" i="71"/>
  <c r="C54" i="71"/>
  <c r="D54" i="71" s="1"/>
  <c r="D63" i="71"/>
  <c r="C62" i="71"/>
  <c r="D62" i="71" s="1"/>
  <c r="N56" i="86"/>
  <c r="K56" i="86"/>
  <c r="M56" i="85"/>
  <c r="J56" i="85"/>
  <c r="J57" i="85" s="1"/>
  <c r="J59" i="85" s="1"/>
  <c r="J61" i="85" s="1"/>
  <c r="M56" i="86"/>
  <c r="J56" i="86"/>
  <c r="J57" i="86" s="1"/>
  <c r="J59" i="86" s="1"/>
  <c r="J61" i="86" s="1"/>
  <c r="N56" i="85"/>
  <c r="K56" i="85"/>
  <c r="U25" i="33"/>
  <c r="F26" i="33"/>
  <c r="H26" i="33"/>
  <c r="U27" i="33"/>
  <c r="F28" i="33"/>
  <c r="H28" i="33"/>
  <c r="U29" i="33"/>
  <c r="F30" i="33"/>
  <c r="H30" i="33"/>
  <c r="U31" i="33"/>
  <c r="U33" i="33"/>
  <c r="U35" i="33"/>
  <c r="U37" i="33"/>
  <c r="U39" i="33"/>
  <c r="U41" i="33"/>
  <c r="U43" i="33"/>
  <c r="U45" i="33"/>
  <c r="S9" i="34"/>
  <c r="AB9" i="34"/>
  <c r="U9" i="34"/>
  <c r="S13" i="34"/>
  <c r="S34" i="34"/>
  <c r="AB34" i="34"/>
  <c r="U34" i="34"/>
  <c r="S38" i="34"/>
  <c r="AB38" i="34"/>
  <c r="U38" i="34"/>
  <c r="S42" i="34"/>
  <c r="AB42" i="34"/>
  <c r="U42" i="34"/>
  <c r="J27" i="34"/>
  <c r="H27" i="34"/>
  <c r="F27" i="34"/>
  <c r="S12" i="37"/>
  <c r="F14" i="37"/>
  <c r="S15" i="37"/>
  <c r="AB15" i="37"/>
  <c r="U15" i="37"/>
  <c r="S19" i="37"/>
  <c r="AB19" i="37"/>
  <c r="U19" i="37"/>
  <c r="S23" i="37"/>
  <c r="AB23" i="37"/>
  <c r="U23" i="37"/>
  <c r="F26" i="37"/>
  <c r="S28" i="37"/>
  <c r="S32" i="37"/>
  <c r="AB32" i="37"/>
  <c r="U32" i="37"/>
  <c r="S36" i="37"/>
  <c r="AB36" i="37"/>
  <c r="U36" i="37"/>
  <c r="J39" i="37"/>
  <c r="H39" i="37"/>
  <c r="F39" i="37"/>
  <c r="S12" i="35"/>
  <c r="AB12" i="35"/>
  <c r="U12" i="35"/>
  <c r="S28" i="35"/>
  <c r="AB28" i="35"/>
  <c r="U28" i="35"/>
  <c r="S32" i="35"/>
  <c r="AB32" i="35"/>
  <c r="U32" i="35"/>
  <c r="J9" i="35"/>
  <c r="H9" i="35"/>
  <c r="F9" i="35"/>
  <c r="S11" i="36"/>
  <c r="AB11" i="36"/>
  <c r="U11" i="36"/>
  <c r="S13" i="36"/>
  <c r="AB13" i="36"/>
  <c r="U13" i="36"/>
  <c r="S16" i="36"/>
  <c r="AB16" i="36"/>
  <c r="U16" i="36"/>
  <c r="S20" i="36"/>
  <c r="AB20" i="36"/>
  <c r="U20" i="36"/>
  <c r="S27" i="36"/>
  <c r="AB27" i="36"/>
  <c r="U27" i="36"/>
  <c r="S31" i="36"/>
  <c r="AB31" i="36"/>
  <c r="U31" i="36"/>
  <c r="S33" i="36"/>
  <c r="AB33" i="36"/>
  <c r="U33" i="36"/>
  <c r="J12" i="36"/>
  <c r="H12" i="36"/>
  <c r="F12" i="36"/>
  <c r="J24" i="36"/>
  <c r="H24" i="36"/>
  <c r="F24" i="36"/>
  <c r="S14" i="39"/>
  <c r="AB14" i="39"/>
  <c r="U14" i="39"/>
  <c r="AA31" i="39"/>
  <c r="S31" i="39"/>
  <c r="AB34" i="39"/>
  <c r="U34" i="39"/>
  <c r="AB36" i="39"/>
  <c r="U36" i="39"/>
  <c r="AB40" i="39"/>
  <c r="U40" i="39"/>
  <c r="AA44" i="39"/>
  <c r="S44" i="39"/>
  <c r="J35" i="39"/>
  <c r="H35" i="39"/>
  <c r="F35" i="39"/>
  <c r="J37" i="39"/>
  <c r="H37" i="39"/>
  <c r="F37" i="39"/>
  <c r="J43" i="39"/>
  <c r="H43" i="39"/>
  <c r="F43" i="39"/>
  <c r="J45" i="39"/>
  <c r="H45" i="39"/>
  <c r="F45" i="39"/>
  <c r="AB9" i="40"/>
  <c r="U9" i="40"/>
  <c r="AB12" i="40"/>
  <c r="U12" i="40"/>
  <c r="AB14" i="40"/>
  <c r="U14" i="40"/>
  <c r="AA19" i="40"/>
  <c r="S19" i="40"/>
  <c r="AB21" i="40"/>
  <c r="U21" i="40"/>
  <c r="AA31" i="40"/>
  <c r="S31" i="40"/>
  <c r="AA37" i="40"/>
  <c r="S37" i="40"/>
  <c r="H39" i="40"/>
  <c r="J13" i="40"/>
  <c r="H13" i="40"/>
  <c r="F13" i="40"/>
  <c r="C108" i="43"/>
  <c r="C100" i="43"/>
  <c r="X16" i="71"/>
  <c r="X14" i="71"/>
  <c r="X12" i="71"/>
  <c r="X10" i="71"/>
  <c r="X8" i="71"/>
  <c r="X6" i="71"/>
  <c r="X3" i="71"/>
  <c r="X15" i="71"/>
  <c r="X13" i="71"/>
  <c r="X11" i="71"/>
  <c r="X9" i="71"/>
  <c r="X7" i="71"/>
  <c r="X20" i="71"/>
  <c r="X18" i="71"/>
  <c r="X19" i="71"/>
  <c r="X17" i="71"/>
  <c r="B36" i="71"/>
  <c r="S36" i="71" s="1"/>
  <c r="B40" i="71"/>
  <c r="S40" i="71" s="1"/>
  <c r="B44" i="71"/>
  <c r="S44" i="71" s="1"/>
  <c r="B48" i="71"/>
  <c r="S48" i="71" s="1"/>
  <c r="O51" i="71"/>
  <c r="C50" i="71"/>
  <c r="Q51" i="71"/>
  <c r="F50" i="71"/>
  <c r="D59" i="71"/>
  <c r="C58" i="71"/>
  <c r="D58" i="71" s="1"/>
  <c r="D67" i="71"/>
  <c r="C66" i="71"/>
  <c r="D66" i="71" s="1"/>
  <c r="E10" i="79"/>
  <c r="E11" i="79"/>
  <c r="E9" i="79"/>
  <c r="E8" i="79"/>
  <c r="L106" i="81"/>
  <c r="K108" i="81"/>
  <c r="K110" i="81" s="1"/>
  <c r="G5" i="3"/>
  <c r="B3" i="3" s="1"/>
  <c r="AB31" i="39"/>
  <c r="U31" i="39"/>
  <c r="AB42" i="39"/>
  <c r="U42" i="39"/>
  <c r="AB44" i="39"/>
  <c r="U44" i="39"/>
  <c r="AB15" i="40"/>
  <c r="U15" i="40"/>
  <c r="AB19" i="40"/>
  <c r="U19" i="40"/>
  <c r="AB23" i="40"/>
  <c r="U23" i="40"/>
  <c r="AB31" i="40"/>
  <c r="U31" i="40"/>
  <c r="AB33" i="40"/>
  <c r="U33" i="40"/>
  <c r="AB37" i="40"/>
  <c r="U37" i="40"/>
  <c r="J32" i="40"/>
  <c r="H32" i="40"/>
  <c r="F32" i="40"/>
  <c r="H55" i="43"/>
  <c r="H53" i="43"/>
  <c r="H51" i="43"/>
  <c r="H50" i="43"/>
  <c r="H48" i="43"/>
  <c r="D108" i="43"/>
  <c r="D100" i="43"/>
  <c r="E9" i="43"/>
  <c r="E11" i="43"/>
  <c r="AA9" i="71"/>
  <c r="AA7" i="71"/>
  <c r="AA5" i="71"/>
  <c r="C27" i="71"/>
  <c r="F27" i="71"/>
  <c r="F28" i="71" s="1"/>
  <c r="V28" i="71" s="1"/>
  <c r="B31" i="71"/>
  <c r="B32" i="71" s="1"/>
  <c r="S32" i="71" s="1"/>
  <c r="T36" i="71"/>
  <c r="D36" i="71"/>
  <c r="T40" i="71"/>
  <c r="D40" i="71"/>
  <c r="T44" i="71"/>
  <c r="D44" i="71"/>
  <c r="T48" i="71"/>
  <c r="D48" i="71"/>
  <c r="N51" i="71"/>
  <c r="B50" i="71"/>
  <c r="P51" i="71"/>
  <c r="E50" i="71"/>
  <c r="D71" i="71"/>
  <c r="C70" i="71"/>
  <c r="D70" i="71" s="1"/>
  <c r="P25" i="43"/>
  <c r="B71" i="39" s="1"/>
  <c r="P23" i="43"/>
  <c r="P21" i="43"/>
  <c r="H63" i="79"/>
  <c r="H62" i="79"/>
  <c r="H67" i="79"/>
  <c r="H66" i="79"/>
  <c r="H65" i="79"/>
  <c r="H64" i="79"/>
  <c r="H61" i="79"/>
  <c r="H60" i="79"/>
  <c r="H59" i="79"/>
  <c r="D78" i="86"/>
  <c r="D93" i="86"/>
  <c r="D93" i="85"/>
  <c r="D78" i="85"/>
  <c r="E19" i="84"/>
  <c r="E19" i="83"/>
  <c r="Z10" i="79"/>
  <c r="AB10" i="79"/>
  <c r="AD10" i="79"/>
  <c r="AF10" i="79"/>
  <c r="AH10" i="79"/>
  <c r="AJ10" i="79"/>
  <c r="E48" i="79"/>
  <c r="B46" i="79" s="1"/>
  <c r="B49" i="79"/>
  <c r="B60" i="79"/>
  <c r="J64" i="79"/>
  <c r="H72" i="79"/>
  <c r="H73" i="79"/>
  <c r="H74" i="79"/>
  <c r="H75" i="79"/>
  <c r="H76" i="79"/>
  <c r="H77" i="79"/>
  <c r="K40" i="81"/>
  <c r="C31" i="66"/>
  <c r="C30" i="66"/>
  <c r="E26" i="66" s="1"/>
  <c r="U7" i="1" s="1"/>
  <c r="B41" i="1"/>
  <c r="C77" i="86"/>
  <c r="C74" i="86" s="1"/>
  <c r="C77" i="85"/>
  <c r="C74" i="85" s="1"/>
  <c r="G1" i="84"/>
  <c r="G1" i="83"/>
  <c r="F34" i="84"/>
  <c r="F34" i="83"/>
  <c r="G41" i="84"/>
  <c r="G41" i="83"/>
  <c r="G22" i="84"/>
  <c r="G22" i="83"/>
  <c r="F24" i="71"/>
  <c r="V24" i="71" s="1"/>
  <c r="F20" i="71"/>
  <c r="V20" i="71" s="1"/>
  <c r="F16" i="71"/>
  <c r="V16" i="71" s="1"/>
  <c r="E10" i="71"/>
  <c r="BT5" i="3"/>
  <c r="F28" i="6"/>
  <c r="BA585" i="3"/>
  <c r="AZ585" i="3" s="1"/>
  <c r="BA581" i="3"/>
  <c r="AZ581" i="3" s="1"/>
  <c r="BA577" i="3"/>
  <c r="AZ577" i="3" s="1"/>
  <c r="BA573" i="3"/>
  <c r="AZ573" i="3" s="1"/>
  <c r="BA569" i="3"/>
  <c r="AZ569" i="3" s="1"/>
  <c r="BA565" i="3"/>
  <c r="AZ565" i="3" s="1"/>
  <c r="BA561" i="3"/>
  <c r="AZ561" i="3" s="1"/>
  <c r="BA557" i="3"/>
  <c r="AZ557" i="3" s="1"/>
  <c r="BA553" i="3"/>
  <c r="AZ553" i="3" s="1"/>
  <c r="BA549" i="3"/>
  <c r="AZ549" i="3" s="1"/>
  <c r="BA545" i="3"/>
  <c r="AZ545" i="3" s="1"/>
  <c r="BK5" i="3"/>
  <c r="BG5" i="3"/>
  <c r="BA541" i="3"/>
  <c r="AZ541" i="3" s="1"/>
  <c r="BB5" i="3"/>
  <c r="M47" i="85"/>
  <c r="M47" i="86"/>
  <c r="G19" i="79"/>
  <c r="G29" i="6"/>
  <c r="BL192" i="3"/>
  <c r="AZ192" i="3" s="1"/>
  <c r="BL190" i="3"/>
  <c r="AZ190" i="3" s="1"/>
  <c r="BL188" i="3"/>
  <c r="AZ188" i="3" s="1"/>
  <c r="BL186" i="3"/>
  <c r="AZ186" i="3" s="1"/>
  <c r="BL184" i="3"/>
  <c r="AZ184" i="3" s="1"/>
  <c r="BL182" i="3"/>
  <c r="AZ182" i="3" s="1"/>
  <c r="BL180" i="3"/>
  <c r="AZ180" i="3" s="1"/>
  <c r="BL178" i="3"/>
  <c r="AZ178" i="3" s="1"/>
  <c r="BL176" i="3"/>
  <c r="AZ176" i="3" s="1"/>
  <c r="BL174" i="3"/>
  <c r="AZ174" i="3" s="1"/>
  <c r="BL172" i="3"/>
  <c r="AZ172" i="3" s="1"/>
  <c r="BL170" i="3"/>
  <c r="AZ170" i="3" s="1"/>
  <c r="BL168" i="3"/>
  <c r="AZ168" i="3" s="1"/>
  <c r="BL166" i="3"/>
  <c r="AZ166" i="3" s="1"/>
  <c r="BL164" i="3"/>
  <c r="AZ164" i="3" s="1"/>
  <c r="BL162" i="3"/>
  <c r="AZ162" i="3" s="1"/>
  <c r="BL160" i="3"/>
  <c r="AZ160" i="3" s="1"/>
  <c r="BL158" i="3"/>
  <c r="AZ158" i="3" s="1"/>
  <c r="BL156" i="3"/>
  <c r="AZ156" i="3" s="1"/>
  <c r="BL154" i="3"/>
  <c r="AZ154" i="3" s="1"/>
  <c r="BL152" i="3"/>
  <c r="AZ152" i="3" s="1"/>
  <c r="BL150" i="3"/>
  <c r="AZ150" i="3" s="1"/>
  <c r="BL148" i="3"/>
  <c r="AZ148" i="3" s="1"/>
  <c r="BL146" i="3"/>
  <c r="AZ146" i="3" s="1"/>
  <c r="BL144" i="3"/>
  <c r="AZ144" i="3" s="1"/>
  <c r="BL142" i="3"/>
  <c r="AZ142" i="3" s="1"/>
  <c r="BL140" i="3"/>
  <c r="AZ140" i="3" s="1"/>
  <c r="BL138" i="3"/>
  <c r="AZ138" i="3" s="1"/>
  <c r="BL136" i="3"/>
  <c r="AZ136" i="3" s="1"/>
  <c r="BL134" i="3"/>
  <c r="AZ134" i="3" s="1"/>
  <c r="BL132" i="3"/>
  <c r="AZ132" i="3" s="1"/>
  <c r="BL130" i="3"/>
  <c r="AZ130" i="3" s="1"/>
  <c r="BL128" i="3"/>
  <c r="AZ128" i="3" s="1"/>
  <c r="BL126" i="3"/>
  <c r="AZ126" i="3" s="1"/>
  <c r="BL124" i="3"/>
  <c r="AZ124" i="3" s="1"/>
  <c r="BL122" i="3"/>
  <c r="AZ122" i="3" s="1"/>
  <c r="BL120" i="3"/>
  <c r="AZ120" i="3" s="1"/>
  <c r="BL118" i="3"/>
  <c r="AZ118" i="3" s="1"/>
  <c r="BL116" i="3"/>
  <c r="AZ116" i="3" s="1"/>
  <c r="BL114" i="3"/>
  <c r="AZ114" i="3" s="1"/>
  <c r="BL112" i="3"/>
  <c r="AZ112" i="3" s="1"/>
  <c r="BL110" i="3"/>
  <c r="AZ110" i="3" s="1"/>
  <c r="BL108" i="3"/>
  <c r="AZ108" i="3" s="1"/>
  <c r="BL106" i="3"/>
  <c r="AZ106" i="3" s="1"/>
  <c r="BL104" i="3"/>
  <c r="AZ104" i="3" s="1"/>
  <c r="BL102" i="3"/>
  <c r="AZ102" i="3" s="1"/>
  <c r="BL100" i="3"/>
  <c r="AZ100" i="3" s="1"/>
  <c r="BL98" i="3"/>
  <c r="AZ98" i="3" s="1"/>
  <c r="BL96" i="3"/>
  <c r="AZ96" i="3" s="1"/>
  <c r="BL94" i="3"/>
  <c r="AZ94" i="3" s="1"/>
  <c r="BL92" i="3"/>
  <c r="AZ92" i="3" s="1"/>
  <c r="BL90" i="3"/>
  <c r="AZ90" i="3" s="1"/>
  <c r="BL88" i="3"/>
  <c r="AZ88" i="3" s="1"/>
  <c r="BL86" i="3"/>
  <c r="AZ86" i="3" s="1"/>
  <c r="BL84" i="3"/>
  <c r="AZ84" i="3" s="1"/>
  <c r="BL82" i="3"/>
  <c r="AZ82" i="3" s="1"/>
  <c r="BL80" i="3"/>
  <c r="AZ80" i="3" s="1"/>
  <c r="BL78" i="3"/>
  <c r="AZ78" i="3" s="1"/>
  <c r="BL76" i="3"/>
  <c r="AZ76" i="3" s="1"/>
  <c r="BL74" i="3"/>
  <c r="AZ74" i="3" s="1"/>
  <c r="BL72" i="3"/>
  <c r="AZ72" i="3" s="1"/>
  <c r="BL70" i="3"/>
  <c r="AZ70" i="3" s="1"/>
  <c r="BL68" i="3"/>
  <c r="AZ68" i="3" s="1"/>
  <c r="BL66" i="3"/>
  <c r="AZ66" i="3" s="1"/>
  <c r="BL64" i="3"/>
  <c r="AZ64" i="3" s="1"/>
  <c r="BL62" i="3"/>
  <c r="AZ62" i="3" s="1"/>
  <c r="BL60" i="3"/>
  <c r="AZ60" i="3" s="1"/>
  <c r="BL58" i="3"/>
  <c r="AZ58" i="3" s="1"/>
  <c r="BL56" i="3"/>
  <c r="AZ56" i="3" s="1"/>
  <c r="BL54" i="3"/>
  <c r="AZ54" i="3" s="1"/>
  <c r="BL52" i="3"/>
  <c r="AZ52" i="3" s="1"/>
  <c r="BL50" i="3"/>
  <c r="AZ50" i="3" s="1"/>
  <c r="BL48" i="3"/>
  <c r="AZ48" i="3" s="1"/>
  <c r="BL46" i="3"/>
  <c r="AZ46" i="3" s="1"/>
  <c r="BL44" i="3"/>
  <c r="AZ44" i="3" s="1"/>
  <c r="BL42" i="3"/>
  <c r="AZ42" i="3" s="1"/>
  <c r="BL40" i="3"/>
  <c r="AZ40" i="3" s="1"/>
  <c r="BL38" i="3"/>
  <c r="AZ38" i="3" s="1"/>
  <c r="BL36" i="3"/>
  <c r="AZ36" i="3" s="1"/>
  <c r="BL34" i="3"/>
  <c r="AZ34" i="3" s="1"/>
  <c r="BL32" i="3"/>
  <c r="AZ32" i="3" s="1"/>
  <c r="BL30" i="3"/>
  <c r="AZ30" i="3" s="1"/>
  <c r="BL28" i="3"/>
  <c r="AZ28" i="3" s="1"/>
  <c r="BL26" i="3"/>
  <c r="AZ26" i="3" s="1"/>
  <c r="BL24" i="3"/>
  <c r="AZ24" i="3" s="1"/>
  <c r="BL22" i="3"/>
  <c r="AZ22" i="3" s="1"/>
  <c r="BL20" i="3"/>
  <c r="AZ20" i="3" s="1"/>
  <c r="BL18" i="3"/>
  <c r="AZ18" i="3" s="1"/>
  <c r="BL16" i="3"/>
  <c r="AZ16" i="3" s="1"/>
  <c r="BL14" i="3"/>
  <c r="AZ14" i="3" s="1"/>
  <c r="BL191" i="3"/>
  <c r="BL189" i="3"/>
  <c r="BL187" i="3"/>
  <c r="BL185" i="3"/>
  <c r="BL183" i="3"/>
  <c r="BL181" i="3"/>
  <c r="BL179" i="3"/>
  <c r="BL177" i="3"/>
  <c r="BL175" i="3"/>
  <c r="BL173" i="3"/>
  <c r="BL171" i="3"/>
  <c r="BL169" i="3"/>
  <c r="BL167" i="3"/>
  <c r="BL165" i="3"/>
  <c r="BL163" i="3"/>
  <c r="BL161" i="3"/>
  <c r="BL159" i="3"/>
  <c r="BL157" i="3"/>
  <c r="BL155" i="3"/>
  <c r="BL153" i="3"/>
  <c r="BL151" i="3"/>
  <c r="BL149" i="3"/>
  <c r="BL147" i="3"/>
  <c r="BL145" i="3"/>
  <c r="BL143" i="3"/>
  <c r="BL141" i="3"/>
  <c r="BL139" i="3"/>
  <c r="BL137" i="3"/>
  <c r="BL135" i="3"/>
  <c r="BL133" i="3"/>
  <c r="BL131" i="3"/>
  <c r="BL129" i="3"/>
  <c r="BL127" i="3"/>
  <c r="BL125" i="3"/>
  <c r="BL123" i="3"/>
  <c r="BL121" i="3"/>
  <c r="BL119" i="3"/>
  <c r="BL117" i="3"/>
  <c r="BL115" i="3"/>
  <c r="BL113" i="3"/>
  <c r="BL111" i="3"/>
  <c r="BL109" i="3"/>
  <c r="BL107" i="3"/>
  <c r="BL105" i="3"/>
  <c r="BL103" i="3"/>
  <c r="BL101" i="3"/>
  <c r="BL99" i="3"/>
  <c r="BL97" i="3"/>
  <c r="BL95" i="3"/>
  <c r="BL93" i="3"/>
  <c r="BL91" i="3"/>
  <c r="BL89" i="3"/>
  <c r="BL87" i="3"/>
  <c r="BL85" i="3"/>
  <c r="BL83" i="3"/>
  <c r="BL81" i="3"/>
  <c r="BL79" i="3"/>
  <c r="BL77" i="3"/>
  <c r="BL75" i="3"/>
  <c r="BL73" i="3"/>
  <c r="BL71" i="3"/>
  <c r="BL69" i="3"/>
  <c r="BL67" i="3"/>
  <c r="BL65" i="3"/>
  <c r="BL63" i="3"/>
  <c r="BL61" i="3"/>
  <c r="BL59" i="3"/>
  <c r="BL57" i="3"/>
  <c r="BL55" i="3"/>
  <c r="BL53" i="3"/>
  <c r="BL51" i="3"/>
  <c r="BL49" i="3"/>
  <c r="BL47" i="3"/>
  <c r="BL45" i="3"/>
  <c r="BL43" i="3"/>
  <c r="BL41" i="3"/>
  <c r="BL39" i="3"/>
  <c r="BL37" i="3"/>
  <c r="BL35" i="3"/>
  <c r="BL33" i="3"/>
  <c r="BL31" i="3"/>
  <c r="BL29" i="3"/>
  <c r="BL27" i="3"/>
  <c r="BL25" i="3"/>
  <c r="BL23" i="3"/>
  <c r="BL21" i="3"/>
  <c r="BL19" i="3"/>
  <c r="BL17" i="3"/>
  <c r="BL15" i="3"/>
  <c r="BM5" i="3"/>
  <c r="BL13" i="3"/>
  <c r="BL5" i="3" s="1"/>
  <c r="D22" i="71"/>
  <c r="C23" i="71"/>
  <c r="B23" i="71"/>
  <c r="B24" i="71" s="1"/>
  <c r="S24" i="71" s="1"/>
  <c r="D18" i="71"/>
  <c r="C19" i="71"/>
  <c r="B19" i="71"/>
  <c r="B20" i="71" s="1"/>
  <c r="S20" i="71" s="1"/>
  <c r="D14" i="71"/>
  <c r="C15" i="71"/>
  <c r="B15" i="71"/>
  <c r="B16" i="71" s="1"/>
  <c r="S16" i="71" s="1"/>
  <c r="F11" i="71"/>
  <c r="F10" i="71" s="1"/>
  <c r="C7" i="71"/>
  <c r="D8" i="71"/>
  <c r="U8" i="71" s="1"/>
  <c r="B7" i="71"/>
  <c r="B6" i="71" s="1"/>
  <c r="B5" i="71" s="1"/>
  <c r="BO5" i="3"/>
  <c r="BR5" i="3"/>
  <c r="BA587" i="3"/>
  <c r="AZ587" i="3" s="1"/>
  <c r="BA583" i="3"/>
  <c r="AZ583" i="3" s="1"/>
  <c r="BA579" i="3"/>
  <c r="AZ579" i="3" s="1"/>
  <c r="BA575" i="3"/>
  <c r="AZ575" i="3" s="1"/>
  <c r="BA571" i="3"/>
  <c r="AZ571" i="3" s="1"/>
  <c r="BA567" i="3"/>
  <c r="AZ567" i="3" s="1"/>
  <c r="BA563" i="3"/>
  <c r="AZ563" i="3" s="1"/>
  <c r="BA559" i="3"/>
  <c r="AZ559" i="3" s="1"/>
  <c r="BA555" i="3"/>
  <c r="AZ555" i="3" s="1"/>
  <c r="BA551" i="3"/>
  <c r="AZ551" i="3" s="1"/>
  <c r="BA547" i="3"/>
  <c r="AZ547" i="3" s="1"/>
  <c r="BA543" i="3"/>
  <c r="AZ543" i="3" s="1"/>
  <c r="BA539" i="3"/>
  <c r="AZ539" i="3" s="1"/>
  <c r="BA535" i="3"/>
  <c r="AZ535" i="3" s="1"/>
  <c r="BA531" i="3"/>
  <c r="AZ531" i="3" s="1"/>
  <c r="BA527" i="3"/>
  <c r="AZ527" i="3" s="1"/>
  <c r="BA523" i="3"/>
  <c r="AZ523" i="3" s="1"/>
  <c r="BA519" i="3"/>
  <c r="AZ519" i="3" s="1"/>
  <c r="BA515" i="3"/>
  <c r="AZ515" i="3" s="1"/>
  <c r="BA511" i="3"/>
  <c r="AZ511" i="3" s="1"/>
  <c r="BA507" i="3"/>
  <c r="AZ507" i="3" s="1"/>
  <c r="BA503" i="3"/>
  <c r="AZ503" i="3" s="1"/>
  <c r="BA499" i="3"/>
  <c r="AZ499" i="3" s="1"/>
  <c r="BA495" i="3"/>
  <c r="AZ495" i="3" s="1"/>
  <c r="BA491" i="3"/>
  <c r="AZ491" i="3" s="1"/>
  <c r="BA487" i="3"/>
  <c r="AZ487" i="3" s="1"/>
  <c r="BA483" i="3"/>
  <c r="AZ483" i="3" s="1"/>
  <c r="BA479" i="3"/>
  <c r="AZ479" i="3" s="1"/>
  <c r="BA475" i="3"/>
  <c r="AZ475" i="3" s="1"/>
  <c r="BA471" i="3"/>
  <c r="AZ471" i="3" s="1"/>
  <c r="BA467" i="3"/>
  <c r="AZ467" i="3" s="1"/>
  <c r="BA463" i="3"/>
  <c r="AZ463" i="3" s="1"/>
  <c r="BA459" i="3"/>
  <c r="AZ459" i="3" s="1"/>
  <c r="BA455" i="3"/>
  <c r="AZ455" i="3" s="1"/>
  <c r="BA451" i="3"/>
  <c r="AZ451" i="3" s="1"/>
  <c r="BA447" i="3"/>
  <c r="AZ447" i="3" s="1"/>
  <c r="BA443" i="3"/>
  <c r="AZ443" i="3" s="1"/>
  <c r="BA439" i="3"/>
  <c r="AZ439" i="3" s="1"/>
  <c r="BA435" i="3"/>
  <c r="AZ435" i="3" s="1"/>
  <c r="BA431" i="3"/>
  <c r="AZ431" i="3" s="1"/>
  <c r="BA427" i="3"/>
  <c r="AZ427" i="3" s="1"/>
  <c r="BA423" i="3"/>
  <c r="AZ423" i="3" s="1"/>
  <c r="BA419" i="3"/>
  <c r="AZ419" i="3" s="1"/>
  <c r="BA415" i="3"/>
  <c r="AZ415" i="3" s="1"/>
  <c r="BA411" i="3"/>
  <c r="AZ411" i="3" s="1"/>
  <c r="BA407" i="3"/>
  <c r="AZ407" i="3" s="1"/>
  <c r="BA403" i="3"/>
  <c r="AZ403" i="3" s="1"/>
  <c r="BA399" i="3"/>
  <c r="AZ399" i="3" s="1"/>
  <c r="BA395" i="3"/>
  <c r="AZ395" i="3" s="1"/>
  <c r="BA391" i="3"/>
  <c r="AZ391" i="3" s="1"/>
  <c r="BA387" i="3"/>
  <c r="AZ387" i="3" s="1"/>
  <c r="BA383" i="3"/>
  <c r="AZ383" i="3" s="1"/>
  <c r="BA379" i="3"/>
  <c r="AZ379" i="3" s="1"/>
  <c r="BA375" i="3"/>
  <c r="AZ375" i="3" s="1"/>
  <c r="BA371" i="3"/>
  <c r="AZ371" i="3" s="1"/>
  <c r="BA367" i="3"/>
  <c r="AZ367" i="3" s="1"/>
  <c r="BA363" i="3"/>
  <c r="AZ363" i="3" s="1"/>
  <c r="BA359" i="3"/>
  <c r="AZ359" i="3" s="1"/>
  <c r="BA355" i="3"/>
  <c r="AZ355" i="3" s="1"/>
  <c r="BA351" i="3"/>
  <c r="AZ351" i="3" s="1"/>
  <c r="BA347" i="3"/>
  <c r="AZ347" i="3" s="1"/>
  <c r="BA343" i="3"/>
  <c r="AZ343" i="3" s="1"/>
  <c r="BA339" i="3"/>
  <c r="AZ339" i="3" s="1"/>
  <c r="BA335" i="3"/>
  <c r="AZ335" i="3" s="1"/>
  <c r="BA331" i="3"/>
  <c r="AZ331" i="3" s="1"/>
  <c r="BA327" i="3"/>
  <c r="AZ327" i="3" s="1"/>
  <c r="BA323" i="3"/>
  <c r="AZ323" i="3" s="1"/>
  <c r="BA319" i="3"/>
  <c r="AZ319" i="3" s="1"/>
  <c r="BA315" i="3"/>
  <c r="AZ315" i="3" s="1"/>
  <c r="BA311" i="3"/>
  <c r="AZ311" i="3" s="1"/>
  <c r="BA307" i="3"/>
  <c r="AZ307" i="3" s="1"/>
  <c r="BA303" i="3"/>
  <c r="AZ303" i="3" s="1"/>
  <c r="BA299" i="3"/>
  <c r="AZ299" i="3" s="1"/>
  <c r="BA295" i="3"/>
  <c r="AZ295" i="3" s="1"/>
  <c r="BA291" i="3"/>
  <c r="AZ291" i="3" s="1"/>
  <c r="BA287" i="3"/>
  <c r="AZ287" i="3" s="1"/>
  <c r="BA283" i="3"/>
  <c r="AZ283" i="3" s="1"/>
  <c r="BA279" i="3"/>
  <c r="AZ279" i="3" s="1"/>
  <c r="BA275" i="3"/>
  <c r="AZ275" i="3" s="1"/>
  <c r="BA271" i="3"/>
  <c r="AZ271" i="3" s="1"/>
  <c r="BA267" i="3"/>
  <c r="AZ267" i="3" s="1"/>
  <c r="BA263" i="3"/>
  <c r="AZ263" i="3" s="1"/>
  <c r="BA259" i="3"/>
  <c r="AZ259" i="3" s="1"/>
  <c r="BA255" i="3"/>
  <c r="AZ255" i="3" s="1"/>
  <c r="BA251" i="3"/>
  <c r="AZ251" i="3" s="1"/>
  <c r="BA247" i="3"/>
  <c r="AZ247" i="3" s="1"/>
  <c r="BA243" i="3"/>
  <c r="AZ243" i="3" s="1"/>
  <c r="BA239" i="3"/>
  <c r="AZ239" i="3" s="1"/>
  <c r="BA235" i="3"/>
  <c r="AZ235" i="3" s="1"/>
  <c r="BA231" i="3"/>
  <c r="AZ231" i="3" s="1"/>
  <c r="BA227" i="3"/>
  <c r="AZ227" i="3" s="1"/>
  <c r="BA223" i="3"/>
  <c r="AZ223" i="3" s="1"/>
  <c r="BA219" i="3"/>
  <c r="AZ219" i="3" s="1"/>
  <c r="BA215" i="3"/>
  <c r="AZ215" i="3" s="1"/>
  <c r="BA211" i="3"/>
  <c r="AZ211" i="3" s="1"/>
  <c r="BA207" i="3"/>
  <c r="AZ207" i="3" s="1"/>
  <c r="BA203" i="3"/>
  <c r="AZ203" i="3" s="1"/>
  <c r="BA199" i="3"/>
  <c r="AZ199" i="3" s="1"/>
  <c r="BA195" i="3"/>
  <c r="AZ195" i="3" s="1"/>
  <c r="BA191" i="3"/>
  <c r="BA187" i="3"/>
  <c r="AZ187" i="3" s="1"/>
  <c r="BA183" i="3"/>
  <c r="BA179" i="3"/>
  <c r="AZ179" i="3" s="1"/>
  <c r="BA175" i="3"/>
  <c r="BA171" i="3"/>
  <c r="AZ171" i="3" s="1"/>
  <c r="BA167" i="3"/>
  <c r="BA163" i="3"/>
  <c r="AZ163" i="3" s="1"/>
  <c r="BA159" i="3"/>
  <c r="BA155" i="3"/>
  <c r="AZ155" i="3" s="1"/>
  <c r="BA151" i="3"/>
  <c r="BA147" i="3"/>
  <c r="AZ147" i="3" s="1"/>
  <c r="BA143" i="3"/>
  <c r="BA139" i="3"/>
  <c r="AZ139" i="3" s="1"/>
  <c r="BA135" i="3"/>
  <c r="BA131" i="3"/>
  <c r="AZ131" i="3" s="1"/>
  <c r="BA127" i="3"/>
  <c r="BA123" i="3"/>
  <c r="AZ123" i="3" s="1"/>
  <c r="BA119" i="3"/>
  <c r="BA115" i="3"/>
  <c r="AZ115" i="3" s="1"/>
  <c r="BA111" i="3"/>
  <c r="BA107" i="3"/>
  <c r="AZ107" i="3" s="1"/>
  <c r="BA103" i="3"/>
  <c r="BA99" i="3"/>
  <c r="AZ99" i="3" s="1"/>
  <c r="BA95" i="3"/>
  <c r="BA91" i="3"/>
  <c r="AZ91" i="3" s="1"/>
  <c r="BA87" i="3"/>
  <c r="BA83" i="3"/>
  <c r="AZ83" i="3" s="1"/>
  <c r="BA79" i="3"/>
  <c r="BA75" i="3"/>
  <c r="AZ75" i="3" s="1"/>
  <c r="BA71" i="3"/>
  <c r="BA67" i="3"/>
  <c r="AZ67" i="3" s="1"/>
  <c r="BA63" i="3"/>
  <c r="BA59" i="3"/>
  <c r="AZ59" i="3" s="1"/>
  <c r="BA55" i="3"/>
  <c r="BA51" i="3"/>
  <c r="AZ51" i="3" s="1"/>
  <c r="BA47" i="3"/>
  <c r="BA43" i="3"/>
  <c r="AZ43" i="3" s="1"/>
  <c r="BA39" i="3"/>
  <c r="BA35" i="3"/>
  <c r="AZ35" i="3" s="1"/>
  <c r="BA31" i="3"/>
  <c r="BA27" i="3"/>
  <c r="AZ27" i="3" s="1"/>
  <c r="BA23" i="3"/>
  <c r="BA19" i="3"/>
  <c r="AZ19" i="3" s="1"/>
  <c r="BA15" i="3"/>
  <c r="BC5" i="3"/>
  <c r="E8" i="6" s="1"/>
  <c r="BJ5" i="3"/>
  <c r="BH5" i="3"/>
  <c r="BF5" i="3"/>
  <c r="BD5" i="3"/>
  <c r="E21" i="6"/>
  <c r="N23" i="85"/>
  <c r="N23" i="9"/>
  <c r="F22" i="6"/>
  <c r="B2" i="80"/>
  <c r="B15" i="74"/>
  <c r="F20" i="6"/>
  <c r="M18" i="86"/>
  <c r="B118" i="86" s="1"/>
  <c r="B4" i="80"/>
  <c r="BA537" i="3"/>
  <c r="AZ537" i="3" s="1"/>
  <c r="BA533" i="3"/>
  <c r="AZ533" i="3" s="1"/>
  <c r="BA529" i="3"/>
  <c r="AZ529" i="3" s="1"/>
  <c r="BA525" i="3"/>
  <c r="AZ525" i="3" s="1"/>
  <c r="BA521" i="3"/>
  <c r="AZ521" i="3" s="1"/>
  <c r="BA517" i="3"/>
  <c r="AZ517" i="3" s="1"/>
  <c r="BA513" i="3"/>
  <c r="AZ513" i="3" s="1"/>
  <c r="BA509" i="3"/>
  <c r="AZ509" i="3" s="1"/>
  <c r="BA505" i="3"/>
  <c r="AZ505" i="3" s="1"/>
  <c r="BA501" i="3"/>
  <c r="AZ501" i="3" s="1"/>
  <c r="BA497" i="3"/>
  <c r="AZ497" i="3" s="1"/>
  <c r="BA493" i="3"/>
  <c r="AZ493" i="3" s="1"/>
  <c r="BA489" i="3"/>
  <c r="AZ489" i="3" s="1"/>
  <c r="BA485" i="3"/>
  <c r="AZ485" i="3" s="1"/>
  <c r="BA481" i="3"/>
  <c r="AZ481" i="3" s="1"/>
  <c r="BA477" i="3"/>
  <c r="AZ477" i="3" s="1"/>
  <c r="BA473" i="3"/>
  <c r="AZ473" i="3" s="1"/>
  <c r="BA469" i="3"/>
  <c r="AZ469" i="3" s="1"/>
  <c r="BA465" i="3"/>
  <c r="AZ465" i="3" s="1"/>
  <c r="BA461" i="3"/>
  <c r="AZ461" i="3" s="1"/>
  <c r="BA457" i="3"/>
  <c r="AZ457" i="3" s="1"/>
  <c r="BA453" i="3"/>
  <c r="AZ453" i="3" s="1"/>
  <c r="BA449" i="3"/>
  <c r="AZ449" i="3" s="1"/>
  <c r="BA445" i="3"/>
  <c r="AZ445" i="3" s="1"/>
  <c r="BA441" i="3"/>
  <c r="AZ441" i="3" s="1"/>
  <c r="BA437" i="3"/>
  <c r="AZ437" i="3" s="1"/>
  <c r="BA433" i="3"/>
  <c r="AZ433" i="3" s="1"/>
  <c r="BA429" i="3"/>
  <c r="AZ429" i="3" s="1"/>
  <c r="BA425" i="3"/>
  <c r="AZ425" i="3" s="1"/>
  <c r="BA421" i="3"/>
  <c r="AZ421" i="3" s="1"/>
  <c r="BA417" i="3"/>
  <c r="AZ417" i="3" s="1"/>
  <c r="BA413" i="3"/>
  <c r="AZ413" i="3" s="1"/>
  <c r="BA409" i="3"/>
  <c r="AZ409" i="3" s="1"/>
  <c r="BA405" i="3"/>
  <c r="AZ405" i="3" s="1"/>
  <c r="BA401" i="3"/>
  <c r="AZ401" i="3" s="1"/>
  <c r="BA397" i="3"/>
  <c r="AZ397" i="3" s="1"/>
  <c r="BA393" i="3"/>
  <c r="AZ393" i="3" s="1"/>
  <c r="BA389" i="3"/>
  <c r="AZ389" i="3" s="1"/>
  <c r="BA385" i="3"/>
  <c r="AZ385" i="3" s="1"/>
  <c r="BA381" i="3"/>
  <c r="AZ381" i="3" s="1"/>
  <c r="BA377" i="3"/>
  <c r="AZ377" i="3" s="1"/>
  <c r="BA373" i="3"/>
  <c r="AZ373" i="3" s="1"/>
  <c r="BA369" i="3"/>
  <c r="AZ369" i="3" s="1"/>
  <c r="BA365" i="3"/>
  <c r="AZ365" i="3" s="1"/>
  <c r="BA361" i="3"/>
  <c r="AZ361" i="3" s="1"/>
  <c r="BA357" i="3"/>
  <c r="AZ357" i="3" s="1"/>
  <c r="BA353" i="3"/>
  <c r="AZ353" i="3" s="1"/>
  <c r="BA349" i="3"/>
  <c r="AZ349" i="3" s="1"/>
  <c r="BA345" i="3"/>
  <c r="AZ345" i="3" s="1"/>
  <c r="BA341" i="3"/>
  <c r="AZ341" i="3" s="1"/>
  <c r="BA337" i="3"/>
  <c r="AZ337" i="3" s="1"/>
  <c r="BA333" i="3"/>
  <c r="AZ333" i="3" s="1"/>
  <c r="BA329" i="3"/>
  <c r="AZ329" i="3" s="1"/>
  <c r="BA325" i="3"/>
  <c r="AZ325" i="3" s="1"/>
  <c r="BA321" i="3"/>
  <c r="AZ321" i="3" s="1"/>
  <c r="BA317" i="3"/>
  <c r="AZ317" i="3" s="1"/>
  <c r="BA313" i="3"/>
  <c r="AZ313" i="3" s="1"/>
  <c r="BA309" i="3"/>
  <c r="AZ309" i="3" s="1"/>
  <c r="BA305" i="3"/>
  <c r="AZ305" i="3" s="1"/>
  <c r="BA301" i="3"/>
  <c r="AZ301" i="3" s="1"/>
  <c r="BA297" i="3"/>
  <c r="AZ297" i="3" s="1"/>
  <c r="BA293" i="3"/>
  <c r="AZ293" i="3" s="1"/>
  <c r="BA289" i="3"/>
  <c r="AZ289" i="3" s="1"/>
  <c r="BA285" i="3"/>
  <c r="AZ285" i="3" s="1"/>
  <c r="BA281" i="3"/>
  <c r="AZ281" i="3" s="1"/>
  <c r="BA277" i="3"/>
  <c r="AZ277" i="3" s="1"/>
  <c r="BA273" i="3"/>
  <c r="AZ273" i="3" s="1"/>
  <c r="BA269" i="3"/>
  <c r="AZ269" i="3" s="1"/>
  <c r="BA265" i="3"/>
  <c r="AZ265" i="3" s="1"/>
  <c r="BA261" i="3"/>
  <c r="AZ261" i="3" s="1"/>
  <c r="BA257" i="3"/>
  <c r="AZ257" i="3" s="1"/>
  <c r="BA253" i="3"/>
  <c r="AZ253" i="3" s="1"/>
  <c r="BA249" i="3"/>
  <c r="AZ249" i="3" s="1"/>
  <c r="BA245" i="3"/>
  <c r="AZ245" i="3" s="1"/>
  <c r="BA241" i="3"/>
  <c r="AZ241" i="3" s="1"/>
  <c r="BA237" i="3"/>
  <c r="AZ237" i="3" s="1"/>
  <c r="BA233" i="3"/>
  <c r="AZ233" i="3" s="1"/>
  <c r="BA229" i="3"/>
  <c r="AZ229" i="3" s="1"/>
  <c r="BA225" i="3"/>
  <c r="AZ225" i="3" s="1"/>
  <c r="BA221" i="3"/>
  <c r="AZ221" i="3" s="1"/>
  <c r="BA217" i="3"/>
  <c r="AZ217" i="3" s="1"/>
  <c r="BA213" i="3"/>
  <c r="AZ213" i="3" s="1"/>
  <c r="BA209" i="3"/>
  <c r="AZ209" i="3" s="1"/>
  <c r="BA205" i="3"/>
  <c r="AZ205" i="3" s="1"/>
  <c r="BA201" i="3"/>
  <c r="AZ201" i="3" s="1"/>
  <c r="BA197" i="3"/>
  <c r="AZ197" i="3" s="1"/>
  <c r="BA193" i="3"/>
  <c r="AZ193" i="3" s="1"/>
  <c r="BA189" i="3"/>
  <c r="AZ189" i="3" s="1"/>
  <c r="BA185" i="3"/>
  <c r="AZ185" i="3" s="1"/>
  <c r="BA181" i="3"/>
  <c r="AZ181" i="3" s="1"/>
  <c r="BA177" i="3"/>
  <c r="AZ177" i="3" s="1"/>
  <c r="BA173" i="3"/>
  <c r="AZ173" i="3" s="1"/>
  <c r="BA169" i="3"/>
  <c r="AZ169" i="3" s="1"/>
  <c r="BA165" i="3"/>
  <c r="AZ165" i="3" s="1"/>
  <c r="BA161" i="3"/>
  <c r="AZ161" i="3" s="1"/>
  <c r="BA157" i="3"/>
  <c r="AZ157" i="3" s="1"/>
  <c r="BA153" i="3"/>
  <c r="AZ153" i="3" s="1"/>
  <c r="BA149" i="3"/>
  <c r="AZ149" i="3" s="1"/>
  <c r="BA145" i="3"/>
  <c r="AZ145" i="3" s="1"/>
  <c r="BA141" i="3"/>
  <c r="AZ141" i="3" s="1"/>
  <c r="BA137" i="3"/>
  <c r="AZ137" i="3" s="1"/>
  <c r="BA133" i="3"/>
  <c r="AZ133" i="3" s="1"/>
  <c r="BA129" i="3"/>
  <c r="AZ129" i="3" s="1"/>
  <c r="BA125" i="3"/>
  <c r="AZ125" i="3" s="1"/>
  <c r="BA121" i="3"/>
  <c r="AZ121" i="3" s="1"/>
  <c r="BA117" i="3"/>
  <c r="AZ117" i="3" s="1"/>
  <c r="BA113" i="3"/>
  <c r="AZ113" i="3" s="1"/>
  <c r="BA109" i="3"/>
  <c r="AZ109" i="3" s="1"/>
  <c r="BA105" i="3"/>
  <c r="AZ105" i="3" s="1"/>
  <c r="BA101" i="3"/>
  <c r="AZ101" i="3" s="1"/>
  <c r="BA97" i="3"/>
  <c r="AZ97" i="3" s="1"/>
  <c r="BA93" i="3"/>
  <c r="AZ93" i="3" s="1"/>
  <c r="BA89" i="3"/>
  <c r="AZ89" i="3" s="1"/>
  <c r="BA85" i="3"/>
  <c r="AZ85" i="3" s="1"/>
  <c r="BA81" i="3"/>
  <c r="AZ81" i="3" s="1"/>
  <c r="BA77" i="3"/>
  <c r="AZ77" i="3" s="1"/>
  <c r="BA73" i="3"/>
  <c r="AZ73" i="3" s="1"/>
  <c r="BA69" i="3"/>
  <c r="AZ69" i="3" s="1"/>
  <c r="BA65" i="3"/>
  <c r="AZ65" i="3" s="1"/>
  <c r="BA61" i="3"/>
  <c r="AZ61" i="3" s="1"/>
  <c r="BA57" i="3"/>
  <c r="AZ57" i="3" s="1"/>
  <c r="BA53" i="3"/>
  <c r="AZ53" i="3" s="1"/>
  <c r="BA49" i="3"/>
  <c r="AZ49" i="3" s="1"/>
  <c r="BA45" i="3"/>
  <c r="AZ45" i="3" s="1"/>
  <c r="BA41" i="3"/>
  <c r="AZ41" i="3" s="1"/>
  <c r="BA37" i="3"/>
  <c r="AZ37" i="3" s="1"/>
  <c r="BA33" i="3"/>
  <c r="AZ33" i="3" s="1"/>
  <c r="BA29" i="3"/>
  <c r="AZ29" i="3" s="1"/>
  <c r="BA25" i="3"/>
  <c r="AZ25" i="3" s="1"/>
  <c r="BA21" i="3"/>
  <c r="AZ21" i="3" s="1"/>
  <c r="BA17" i="3"/>
  <c r="AZ17" i="3" s="1"/>
  <c r="BA13" i="3"/>
  <c r="K30" i="85"/>
  <c r="K30" i="86"/>
  <c r="K30" i="9"/>
  <c r="J67" i="79"/>
  <c r="D65" i="79"/>
  <c r="D66" i="79"/>
  <c r="J61" i="79"/>
  <c r="D60" i="79"/>
  <c r="D59" i="79"/>
  <c r="C92" i="9"/>
  <c r="C94" i="9"/>
  <c r="I58" i="21"/>
  <c r="J58" i="21" s="1"/>
  <c r="K58" i="21" s="1"/>
  <c r="L58" i="21" s="1"/>
  <c r="M58" i="21" s="1"/>
  <c r="N58" i="21" s="1"/>
  <c r="O58" i="21" s="1"/>
  <c r="H7" i="21"/>
  <c r="C21" i="69"/>
  <c r="C9" i="69"/>
  <c r="D59" i="34"/>
  <c r="E59" i="34" s="1"/>
  <c r="F59" i="34" s="1"/>
  <c r="G59" i="34" s="1"/>
  <c r="H59" i="34" s="1"/>
  <c r="I59" i="34" s="1"/>
  <c r="J59" i="34" s="1"/>
  <c r="K59" i="34" s="1"/>
  <c r="L59" i="34" s="1"/>
  <c r="M59" i="34" s="1"/>
  <c r="N59" i="34" s="1"/>
  <c r="O59" i="34" s="1"/>
  <c r="H7" i="34"/>
  <c r="E68" i="39"/>
  <c r="D70" i="39"/>
  <c r="C23" i="12"/>
  <c r="E58" i="33"/>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H7" i="37"/>
  <c r="E63" i="40"/>
  <c r="D65" i="40"/>
  <c r="J7" i="33"/>
  <c r="D48" i="35"/>
  <c r="D46" i="36"/>
  <c r="C70" i="39"/>
  <c r="C9" i="68"/>
  <c r="C5" i="11"/>
  <c r="C36" i="68"/>
  <c r="C16" i="43"/>
  <c r="D5" i="43" s="1"/>
  <c r="C16" i="79"/>
  <c r="C5" i="79" s="1"/>
  <c r="C5" i="43"/>
  <c r="E6" i="49"/>
  <c r="B23" i="49"/>
  <c r="C36" i="69"/>
  <c r="L27" i="6"/>
  <c r="P16" i="1"/>
  <c r="C11" i="12" s="1"/>
  <c r="C15" i="12" s="1"/>
  <c r="R103" i="81"/>
  <c r="R106" i="81" s="1"/>
  <c r="E11" i="49"/>
  <c r="E4" i="49"/>
  <c r="B9" i="49"/>
  <c r="E16" i="49"/>
  <c r="E5" i="49"/>
  <c r="E7" i="49"/>
  <c r="B10" i="49"/>
  <c r="B14" i="49"/>
  <c r="B22" i="49"/>
  <c r="AQ13" i="1"/>
  <c r="K8" i="1"/>
  <c r="Z8" i="1" s="1"/>
  <c r="F81" i="39"/>
  <c r="S38" i="39"/>
  <c r="W38" i="39"/>
  <c r="U38" i="39"/>
  <c r="B8" i="49"/>
  <c r="C4" i="4" s="1"/>
  <c r="F20" i="31"/>
  <c r="F8" i="67"/>
  <c r="D6" i="73"/>
  <c r="M6" i="77"/>
  <c r="M23" i="78"/>
  <c r="M24" i="82"/>
  <c r="M26" i="15"/>
  <c r="F40" i="67"/>
  <c r="D7" i="73"/>
  <c r="E10" i="76"/>
  <c r="D2" i="33"/>
  <c r="M27" i="78"/>
  <c r="C76" i="67"/>
  <c r="C76" i="77"/>
  <c r="F37" i="67"/>
  <c r="J15" i="67"/>
  <c r="M9" i="67"/>
  <c r="D2" i="37"/>
  <c r="M26" i="78"/>
  <c r="F6" i="78"/>
  <c r="AO13" i="1"/>
  <c r="F16" i="15"/>
  <c r="C76" i="15"/>
  <c r="F26" i="78"/>
  <c r="M24" i="78"/>
  <c r="M6" i="78"/>
  <c r="M28" i="15"/>
  <c r="M22" i="67"/>
  <c r="F37" i="15"/>
  <c r="F8" i="15"/>
  <c r="F13" i="67"/>
  <c r="D2" i="34"/>
  <c r="F7" i="78"/>
  <c r="L48" i="82"/>
  <c r="F36" i="67"/>
  <c r="M9" i="15"/>
  <c r="M23" i="82"/>
  <c r="M24" i="77"/>
  <c r="F8" i="77"/>
  <c r="M27" i="82"/>
  <c r="J15" i="77"/>
  <c r="M23" i="15"/>
  <c r="M26" i="82"/>
  <c r="L48" i="78"/>
  <c r="F43" i="78"/>
  <c r="J15" i="15"/>
  <c r="B10" i="76"/>
  <c r="F36" i="78"/>
  <c r="F26" i="77"/>
  <c r="M26" i="77"/>
  <c r="M6" i="67"/>
  <c r="M8" i="15"/>
  <c r="F9" i="78"/>
  <c r="F7" i="77"/>
  <c r="E12" i="76"/>
  <c r="M9" i="78"/>
  <c r="M6" i="15"/>
  <c r="M26" i="67"/>
  <c r="M22" i="15"/>
  <c r="F26" i="82"/>
  <c r="M28" i="77"/>
  <c r="F26" i="67"/>
  <c r="M27" i="15"/>
  <c r="F37" i="82"/>
  <c r="E2" i="69"/>
  <c r="E13" i="76"/>
  <c r="F38" i="67"/>
  <c r="F8" i="78"/>
  <c r="B11" i="76"/>
  <c r="M9" i="77"/>
  <c r="L47" i="15"/>
  <c r="F13" i="78"/>
  <c r="F38" i="82"/>
  <c r="D5" i="73"/>
  <c r="M29" i="78"/>
  <c r="B12" i="76"/>
  <c r="F41" i="67"/>
  <c r="F40" i="82"/>
  <c r="D2" i="21"/>
  <c r="F13" i="82"/>
  <c r="F43" i="77"/>
  <c r="L47" i="78"/>
  <c r="F42" i="67"/>
  <c r="M9" i="82"/>
  <c r="J15" i="78"/>
  <c r="F38" i="78"/>
  <c r="J15" i="82"/>
  <c r="M27" i="67"/>
  <c r="F9" i="15"/>
  <c r="M23" i="67"/>
  <c r="F6" i="67"/>
  <c r="M22" i="82"/>
  <c r="F3" i="73"/>
  <c r="C76" i="78"/>
  <c r="F37" i="78"/>
  <c r="M8" i="82"/>
  <c r="L48" i="77"/>
  <c r="F16" i="78"/>
  <c r="F42" i="78"/>
  <c r="M22" i="78"/>
  <c r="F9" i="67"/>
  <c r="F4" i="73"/>
  <c r="F5" i="73"/>
  <c r="F42" i="82"/>
  <c r="F38" i="15"/>
  <c r="B8" i="76"/>
  <c r="F9" i="77"/>
  <c r="F6" i="77"/>
  <c r="F36" i="77"/>
  <c r="F13" i="77"/>
  <c r="M28" i="67"/>
  <c r="E9" i="76"/>
  <c r="F38" i="77"/>
  <c r="F7" i="73"/>
  <c r="D3" i="73"/>
  <c r="M28" i="78"/>
  <c r="M24" i="67"/>
  <c r="F43" i="67"/>
  <c r="AO10" i="1"/>
  <c r="F40" i="15"/>
  <c r="E11" i="76"/>
  <c r="F8" i="82"/>
  <c r="M29" i="77"/>
  <c r="AO12" i="1"/>
  <c r="F13" i="15"/>
  <c r="F36" i="15"/>
  <c r="F6" i="73"/>
  <c r="F16" i="82"/>
  <c r="M8" i="67"/>
  <c r="M23" i="77"/>
  <c r="F7" i="67"/>
  <c r="D4" i="73"/>
  <c r="F35" i="67"/>
  <c r="F16" i="67"/>
  <c r="L47" i="77"/>
  <c r="L48" i="67"/>
  <c r="F42" i="77"/>
  <c r="M21" i="67"/>
  <c r="F6" i="15"/>
  <c r="F41" i="77"/>
  <c r="L48" i="15"/>
  <c r="F26" i="15"/>
  <c r="F37" i="77"/>
  <c r="M29" i="67"/>
  <c r="F40" i="78"/>
  <c r="M8" i="77"/>
  <c r="M6" i="82"/>
  <c r="F42" i="15"/>
  <c r="M22" i="77"/>
  <c r="M24" i="15"/>
  <c r="F6" i="82"/>
  <c r="F16" i="77"/>
  <c r="B9" i="76"/>
  <c r="F36" i="82"/>
  <c r="M8" i="78"/>
  <c r="D2" i="35"/>
  <c r="E8" i="76"/>
  <c r="B13" i="76"/>
  <c r="C76" i="82"/>
  <c r="F40" i="77"/>
  <c r="D2" i="36"/>
  <c r="F7" i="15"/>
  <c r="L47" i="67"/>
  <c r="M28" i="82"/>
  <c r="AO11" i="1"/>
  <c r="L47" i="82"/>
  <c r="F9" i="82"/>
  <c r="F27" i="6" l="1"/>
  <c r="E51" i="40"/>
  <c r="E56" i="39"/>
  <c r="H7" i="33"/>
  <c r="J7" i="37"/>
  <c r="F7" i="37"/>
  <c r="J7" i="34"/>
  <c r="F7" i="21"/>
  <c r="J7" i="21"/>
  <c r="AZ13" i="3"/>
  <c r="BA5" i="3"/>
  <c r="E22" i="6"/>
  <c r="K9" i="1" s="1"/>
  <c r="B3" i="80"/>
  <c r="N23" i="86"/>
  <c r="AZ15" i="3"/>
  <c r="AZ23" i="3"/>
  <c r="AZ31" i="3"/>
  <c r="AZ39" i="3"/>
  <c r="AZ47" i="3"/>
  <c r="AZ55" i="3"/>
  <c r="AZ63" i="3"/>
  <c r="AZ71" i="3"/>
  <c r="AZ79" i="3"/>
  <c r="AZ87" i="3"/>
  <c r="AZ95" i="3"/>
  <c r="AZ103" i="3"/>
  <c r="AZ111" i="3"/>
  <c r="AZ119" i="3"/>
  <c r="AZ127" i="3"/>
  <c r="AZ135" i="3"/>
  <c r="AZ143" i="3"/>
  <c r="AZ151" i="3"/>
  <c r="AZ159" i="3"/>
  <c r="AZ167" i="3"/>
  <c r="AZ175" i="3"/>
  <c r="AZ183" i="3"/>
  <c r="AZ191" i="3"/>
  <c r="G28" i="6"/>
  <c r="G30" i="6" s="1"/>
  <c r="G31" i="6" s="1"/>
  <c r="C6" i="71"/>
  <c r="D7" i="71"/>
  <c r="D19" i="71"/>
  <c r="C20" i="71"/>
  <c r="F29" i="6"/>
  <c r="E29" i="6" s="1"/>
  <c r="K15" i="1" s="1"/>
  <c r="E28" i="6"/>
  <c r="F30" i="6"/>
  <c r="D68" i="86"/>
  <c r="F52" i="86"/>
  <c r="F54" i="85"/>
  <c r="F53" i="85"/>
  <c r="F54" i="86"/>
  <c r="F53" i="86"/>
  <c r="D68" i="85"/>
  <c r="F52" i="85"/>
  <c r="F30" i="84"/>
  <c r="F30" i="83"/>
  <c r="F28" i="78"/>
  <c r="C28" i="78" s="1"/>
  <c r="F32" i="15"/>
  <c r="F60" i="15" s="1"/>
  <c r="F32" i="77"/>
  <c r="F60" i="77" s="1"/>
  <c r="F28" i="77"/>
  <c r="C28" i="77" s="1"/>
  <c r="F32" i="82"/>
  <c r="F60" i="82" s="1"/>
  <c r="F28" i="82"/>
  <c r="C28" i="82" s="1"/>
  <c r="M18" i="78"/>
  <c r="F32" i="78"/>
  <c r="F60" i="78" s="1"/>
  <c r="F28" i="15"/>
  <c r="C28" i="15" s="1"/>
  <c r="M18" i="77"/>
  <c r="M18" i="82"/>
  <c r="F30" i="11"/>
  <c r="F31" i="12"/>
  <c r="C31" i="12" s="1"/>
  <c r="D68" i="9"/>
  <c r="F52" i="9"/>
  <c r="F28" i="67"/>
  <c r="C28" i="67" s="1"/>
  <c r="F32" i="67"/>
  <c r="F60" i="67" s="1"/>
  <c r="M18" i="67"/>
  <c r="M18" i="15"/>
  <c r="F53" i="9"/>
  <c r="F30" i="69"/>
  <c r="F30" i="68"/>
  <c r="F54" i="9"/>
  <c r="P49" i="71"/>
  <c r="P50" i="71"/>
  <c r="N49" i="71"/>
  <c r="N50" i="71"/>
  <c r="C28" i="71"/>
  <c r="D27" i="71"/>
  <c r="AB32" i="40"/>
  <c r="U32" i="40"/>
  <c r="E574" i="3"/>
  <c r="E568" i="3"/>
  <c r="E562" i="3"/>
  <c r="E554" i="3"/>
  <c r="E552" i="3"/>
  <c r="E544" i="3"/>
  <c r="E542" i="3"/>
  <c r="E538" i="3"/>
  <c r="E532" i="3"/>
  <c r="E528" i="3"/>
  <c r="E524" i="3"/>
  <c r="E520" i="3"/>
  <c r="E516" i="3"/>
  <c r="E512" i="3"/>
  <c r="E508" i="3"/>
  <c r="E504" i="3"/>
  <c r="E498" i="3"/>
  <c r="E496" i="3"/>
  <c r="E494" i="3"/>
  <c r="E490" i="3"/>
  <c r="E486" i="3"/>
  <c r="E484" i="3"/>
  <c r="E480" i="3"/>
  <c r="E478" i="3"/>
  <c r="E472" i="3"/>
  <c r="E470" i="3"/>
  <c r="E466" i="3"/>
  <c r="E464" i="3"/>
  <c r="E460" i="3"/>
  <c r="E458" i="3"/>
  <c r="E456" i="3"/>
  <c r="E448" i="3"/>
  <c r="E444" i="3"/>
  <c r="E440" i="3"/>
  <c r="E438" i="3"/>
  <c r="E436" i="3"/>
  <c r="E432" i="3"/>
  <c r="E430" i="3"/>
  <c r="E426" i="3"/>
  <c r="E420" i="3"/>
  <c r="E414" i="3"/>
  <c r="E410" i="3"/>
  <c r="E404" i="3"/>
  <c r="E402" i="3"/>
  <c r="E398" i="3"/>
  <c r="E390" i="3"/>
  <c r="E384" i="3"/>
  <c r="E382" i="3"/>
  <c r="E378" i="3"/>
  <c r="E374" i="3"/>
  <c r="E370" i="3"/>
  <c r="E368" i="3"/>
  <c r="E366" i="3"/>
  <c r="E364" i="3"/>
  <c r="E360" i="3"/>
  <c r="E358" i="3"/>
  <c r="E350" i="3"/>
  <c r="E346" i="3"/>
  <c r="E342" i="3"/>
  <c r="E340" i="3"/>
  <c r="E334" i="3"/>
  <c r="E332" i="3"/>
  <c r="E324" i="3"/>
  <c r="E320" i="3"/>
  <c r="E316" i="3"/>
  <c r="E310" i="3"/>
  <c r="E308" i="3"/>
  <c r="E304" i="3"/>
  <c r="E298" i="3"/>
  <c r="E294" i="3"/>
  <c r="E290" i="3"/>
  <c r="E288" i="3"/>
  <c r="E282" i="3"/>
  <c r="E276" i="3"/>
  <c r="E274" i="3"/>
  <c r="E268" i="3"/>
  <c r="E258" i="3"/>
  <c r="E256" i="3"/>
  <c r="E252" i="3"/>
  <c r="E250" i="3"/>
  <c r="E246" i="3"/>
  <c r="E242" i="3"/>
  <c r="E236" i="3"/>
  <c r="E232" i="3"/>
  <c r="E228" i="3"/>
  <c r="E222" i="3"/>
  <c r="E220" i="3"/>
  <c r="E214" i="3"/>
  <c r="E212" i="3"/>
  <c r="E204" i="3"/>
  <c r="E200" i="3"/>
  <c r="E196" i="3"/>
  <c r="E194" i="3"/>
  <c r="E188" i="3"/>
  <c r="E184" i="3"/>
  <c r="E182" i="3"/>
  <c r="E180" i="3"/>
  <c r="E176" i="3"/>
  <c r="E170" i="3"/>
  <c r="E166" i="3"/>
  <c r="E160" i="3"/>
  <c r="E158" i="3"/>
  <c r="E152" i="3"/>
  <c r="E150" i="3"/>
  <c r="E148" i="3"/>
  <c r="E146" i="3"/>
  <c r="E142" i="3"/>
  <c r="E136" i="3"/>
  <c r="E132" i="3"/>
  <c r="E130" i="3"/>
  <c r="E128" i="3"/>
  <c r="E122" i="3"/>
  <c r="E120" i="3"/>
  <c r="E116" i="3"/>
  <c r="E108" i="3"/>
  <c r="E106" i="3"/>
  <c r="E104" i="3"/>
  <c r="E100" i="3"/>
  <c r="E98" i="3"/>
  <c r="E96" i="3"/>
  <c r="E94" i="3"/>
  <c r="E88" i="3"/>
  <c r="E82" i="3"/>
  <c r="E78" i="3"/>
  <c r="E76" i="3"/>
  <c r="E72" i="3"/>
  <c r="E68" i="3"/>
  <c r="E66" i="3"/>
  <c r="E64" i="3"/>
  <c r="E62" i="3"/>
  <c r="E60" i="3"/>
  <c r="E58" i="3"/>
  <c r="E52" i="3"/>
  <c r="E46" i="3"/>
  <c r="E42" i="3"/>
  <c r="E36" i="3"/>
  <c r="E32" i="3"/>
  <c r="E30" i="3"/>
  <c r="E24"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AS6" i="3"/>
  <c r="AQ6" i="3"/>
  <c r="AO6" i="3"/>
  <c r="AM6" i="3"/>
  <c r="AK6" i="3"/>
  <c r="AI6" i="3"/>
  <c r="AG6" i="3"/>
  <c r="AE6" i="3"/>
  <c r="AA6" i="3"/>
  <c r="Y6" i="3"/>
  <c r="W6" i="3"/>
  <c r="U6" i="3"/>
  <c r="S6" i="3"/>
  <c r="Q6" i="3"/>
  <c r="O6" i="3"/>
  <c r="M6" i="3"/>
  <c r="K6" i="3"/>
  <c r="I6" i="3"/>
  <c r="H6" i="3" s="1"/>
  <c r="I3" i="6"/>
  <c r="E586" i="3"/>
  <c r="E584" i="3"/>
  <c r="E582" i="3"/>
  <c r="E580" i="3"/>
  <c r="E578" i="3"/>
  <c r="E576" i="3"/>
  <c r="E572" i="3"/>
  <c r="E570" i="3"/>
  <c r="E566" i="3"/>
  <c r="E564" i="3"/>
  <c r="E560" i="3"/>
  <c r="E558" i="3"/>
  <c r="E556" i="3"/>
  <c r="E550" i="3"/>
  <c r="E548" i="3"/>
  <c r="E546" i="3"/>
  <c r="E540" i="3"/>
  <c r="E536" i="3"/>
  <c r="E534" i="3"/>
  <c r="E530" i="3"/>
  <c r="E526" i="3"/>
  <c r="E522" i="3"/>
  <c r="E518" i="3"/>
  <c r="E514" i="3"/>
  <c r="E510" i="3"/>
  <c r="E506" i="3"/>
  <c r="E502" i="3"/>
  <c r="E500" i="3"/>
  <c r="E492" i="3"/>
  <c r="E488" i="3"/>
  <c r="E482" i="3"/>
  <c r="E476" i="3"/>
  <c r="E474" i="3"/>
  <c r="E468" i="3"/>
  <c r="E462" i="3"/>
  <c r="E454" i="3"/>
  <c r="E452" i="3"/>
  <c r="E450" i="3"/>
  <c r="E446" i="3"/>
  <c r="E442" i="3"/>
  <c r="E434" i="3"/>
  <c r="E428" i="3"/>
  <c r="E424" i="3"/>
  <c r="E422" i="3"/>
  <c r="E418" i="3"/>
  <c r="E416" i="3"/>
  <c r="E412" i="3"/>
  <c r="E408" i="3"/>
  <c r="E406" i="3"/>
  <c r="E400" i="3"/>
  <c r="E396" i="3"/>
  <c r="E394" i="3"/>
  <c r="E392" i="3"/>
  <c r="E388" i="3"/>
  <c r="E386" i="3"/>
  <c r="E380" i="3"/>
  <c r="E376" i="3"/>
  <c r="E372" i="3"/>
  <c r="E362" i="3"/>
  <c r="E356" i="3"/>
  <c r="E354" i="3"/>
  <c r="E352" i="3"/>
  <c r="E348" i="3"/>
  <c r="E344" i="3"/>
  <c r="E338" i="3"/>
  <c r="E336" i="3"/>
  <c r="E330" i="3"/>
  <c r="E328" i="3"/>
  <c r="E326" i="3"/>
  <c r="E322" i="3"/>
  <c r="E318" i="3"/>
  <c r="E314" i="3"/>
  <c r="E312" i="3"/>
  <c r="E306" i="3"/>
  <c r="E302" i="3"/>
  <c r="E300" i="3"/>
  <c r="E296" i="3"/>
  <c r="E292" i="3"/>
  <c r="E286" i="3"/>
  <c r="E284" i="3"/>
  <c r="E280" i="3"/>
  <c r="E278" i="3"/>
  <c r="E272" i="3"/>
  <c r="E270" i="3"/>
  <c r="E266" i="3"/>
  <c r="E264" i="3"/>
  <c r="E262" i="3"/>
  <c r="E260" i="3"/>
  <c r="E254" i="3"/>
  <c r="E248" i="3"/>
  <c r="E244" i="3"/>
  <c r="E240" i="3"/>
  <c r="E238" i="3"/>
  <c r="E234" i="3"/>
  <c r="E230" i="3"/>
  <c r="E226" i="3"/>
  <c r="E224" i="3"/>
  <c r="E218" i="3"/>
  <c r="E216" i="3"/>
  <c r="E210" i="3"/>
  <c r="E208" i="3"/>
  <c r="E206" i="3"/>
  <c r="E202" i="3"/>
  <c r="E198" i="3"/>
  <c r="E192" i="3"/>
  <c r="E190" i="3"/>
  <c r="E186" i="3"/>
  <c r="E178" i="3"/>
  <c r="E174" i="3"/>
  <c r="E172" i="3"/>
  <c r="E168" i="3"/>
  <c r="E164" i="3"/>
  <c r="E162" i="3"/>
  <c r="E156" i="3"/>
  <c r="E154" i="3"/>
  <c r="E144" i="3"/>
  <c r="E140" i="3"/>
  <c r="E138" i="3"/>
  <c r="E134" i="3"/>
  <c r="E126" i="3"/>
  <c r="E124" i="3"/>
  <c r="E118" i="3"/>
  <c r="E114" i="3"/>
  <c r="E112" i="3"/>
  <c r="E110" i="3"/>
  <c r="E102" i="3"/>
  <c r="E92" i="3"/>
  <c r="E90" i="3"/>
  <c r="E86" i="3"/>
  <c r="E84" i="3"/>
  <c r="E80" i="3"/>
  <c r="E74" i="3"/>
  <c r="E70" i="3"/>
  <c r="E56" i="3"/>
  <c r="E54" i="3"/>
  <c r="E50" i="3"/>
  <c r="E48" i="3"/>
  <c r="E44" i="3"/>
  <c r="E40" i="3"/>
  <c r="E38" i="3"/>
  <c r="E34" i="3"/>
  <c r="E28" i="3"/>
  <c r="E26" i="3"/>
  <c r="E18" i="3"/>
  <c r="AR6" i="3"/>
  <c r="AN6" i="3"/>
  <c r="AJ6" i="3"/>
  <c r="AF6" i="3"/>
  <c r="AB6" i="3"/>
  <c r="X6" i="3"/>
  <c r="T6" i="3"/>
  <c r="P6" i="3"/>
  <c r="L6" i="3"/>
  <c r="E22" i="3"/>
  <c r="E20" i="3"/>
  <c r="B17" i="3"/>
  <c r="E16" i="3"/>
  <c r="E14" i="3"/>
  <c r="AP6" i="3"/>
  <c r="AL6" i="3"/>
  <c r="AH6" i="3"/>
  <c r="AD6" i="3"/>
  <c r="Z6" i="3"/>
  <c r="V6" i="3"/>
  <c r="R6" i="3"/>
  <c r="N6" i="3"/>
  <c r="J6" i="3"/>
  <c r="U13" i="40"/>
  <c r="AB13" i="40"/>
  <c r="AB39" i="40"/>
  <c r="U39" i="40"/>
  <c r="AB45" i="39"/>
  <c r="U45" i="39"/>
  <c r="S43" i="39"/>
  <c r="AA43" i="39"/>
  <c r="W43" i="39"/>
  <c r="AC43" i="39"/>
  <c r="U37" i="39"/>
  <c r="AB37" i="39"/>
  <c r="S35" i="39"/>
  <c r="AA35" i="39"/>
  <c r="W35" i="39"/>
  <c r="AC35" i="39"/>
  <c r="S24" i="36"/>
  <c r="AA24" i="36"/>
  <c r="W24" i="36"/>
  <c r="AC24" i="36"/>
  <c r="AB12" i="36"/>
  <c r="U12" i="36"/>
  <c r="AB9" i="35"/>
  <c r="U9" i="35"/>
  <c r="AB39" i="37"/>
  <c r="U39" i="37"/>
  <c r="AB27" i="34"/>
  <c r="U27" i="34"/>
  <c r="S30" i="33"/>
  <c r="AA30" i="33"/>
  <c r="AB28" i="33"/>
  <c r="U28" i="33"/>
  <c r="S26" i="33"/>
  <c r="AA26" i="33"/>
  <c r="AC39" i="40"/>
  <c r="W39" i="40"/>
  <c r="AB27" i="40"/>
  <c r="U27" i="40"/>
  <c r="S34" i="36"/>
  <c r="AA34" i="36"/>
  <c r="W34" i="36"/>
  <c r="AC34" i="36"/>
  <c r="AB32" i="36"/>
  <c r="U32" i="36"/>
  <c r="S35" i="35"/>
  <c r="AA35" i="35"/>
  <c r="W35" i="35"/>
  <c r="AC35" i="35"/>
  <c r="AB25" i="35"/>
  <c r="U25" i="35"/>
  <c r="S23" i="35"/>
  <c r="AA23" i="35"/>
  <c r="W23" i="35"/>
  <c r="AC23" i="35"/>
  <c r="AB9" i="37"/>
  <c r="U9" i="37"/>
  <c r="S47" i="34"/>
  <c r="AA47" i="34"/>
  <c r="W47" i="34"/>
  <c r="AC47" i="34"/>
  <c r="AB45" i="34"/>
  <c r="U45" i="34"/>
  <c r="S31" i="34"/>
  <c r="AA31" i="34"/>
  <c r="W31" i="34"/>
  <c r="AC31" i="34"/>
  <c r="AB29" i="34"/>
  <c r="U29" i="34"/>
  <c r="B24" i="72"/>
  <c r="D9" i="53"/>
  <c r="B25" i="72" s="1"/>
  <c r="K29" i="86"/>
  <c r="N24" i="85"/>
  <c r="N24" i="86"/>
  <c r="K29" i="85"/>
  <c r="N24" i="9"/>
  <c r="K29" i="9"/>
  <c r="E20" i="6"/>
  <c r="D29" i="43"/>
  <c r="D1" i="43" s="1"/>
  <c r="E41" i="66"/>
  <c r="D15" i="71"/>
  <c r="C16" i="71"/>
  <c r="D23" i="71"/>
  <c r="C24" i="71"/>
  <c r="P24" i="79"/>
  <c r="P22" i="79"/>
  <c r="O19" i="79"/>
  <c r="P25" i="79"/>
  <c r="P23" i="79"/>
  <c r="P21" i="79"/>
  <c r="E15" i="6"/>
  <c r="E13" i="6"/>
  <c r="E11" i="6"/>
  <c r="E14" i="6"/>
  <c r="E12" i="6"/>
  <c r="E10" i="6"/>
  <c r="E16" i="6" s="1"/>
  <c r="S32" i="40"/>
  <c r="AA32" i="40"/>
  <c r="W32" i="40"/>
  <c r="AC32" i="40"/>
  <c r="Q50" i="71"/>
  <c r="Q49" i="71"/>
  <c r="D50" i="71"/>
  <c r="O50" i="71"/>
  <c r="O49" i="71"/>
  <c r="S13" i="40"/>
  <c r="AA13" i="40"/>
  <c r="W13" i="40"/>
  <c r="AC13" i="40"/>
  <c r="S45" i="39"/>
  <c r="AA45" i="39"/>
  <c r="W45" i="39"/>
  <c r="AC45" i="39"/>
  <c r="AB43" i="39"/>
  <c r="U43" i="39"/>
  <c r="S37" i="39"/>
  <c r="AA37" i="39"/>
  <c r="W37" i="39"/>
  <c r="AC37" i="39"/>
  <c r="U35" i="39"/>
  <c r="AB35" i="39"/>
  <c r="AB24" i="36"/>
  <c r="U24" i="36"/>
  <c r="S12" i="36"/>
  <c r="AA12" i="36"/>
  <c r="W12" i="36"/>
  <c r="AC12" i="36"/>
  <c r="S9" i="35"/>
  <c r="AA9" i="35"/>
  <c r="W9" i="35"/>
  <c r="AC9" i="35"/>
  <c r="S39" i="37"/>
  <c r="AA39" i="37"/>
  <c r="W39" i="37"/>
  <c r="AC39" i="37"/>
  <c r="AA26" i="37"/>
  <c r="S26" i="37"/>
  <c r="AA14" i="37"/>
  <c r="S14" i="37"/>
  <c r="S27" i="34"/>
  <c r="AA27" i="34"/>
  <c r="W27" i="34"/>
  <c r="AC27" i="34"/>
  <c r="AB30" i="33"/>
  <c r="U30" i="33"/>
  <c r="S28" i="33"/>
  <c r="AA28" i="33"/>
  <c r="AB26" i="33"/>
  <c r="U26" i="33"/>
  <c r="AA39" i="40"/>
  <c r="S39" i="40"/>
  <c r="S27" i="40"/>
  <c r="AA27" i="40"/>
  <c r="W27" i="40"/>
  <c r="AC27" i="40"/>
  <c r="AB34" i="36"/>
  <c r="U34" i="36"/>
  <c r="S32" i="36"/>
  <c r="AA32" i="36"/>
  <c r="W32" i="36"/>
  <c r="AC32" i="36"/>
  <c r="AB35" i="35"/>
  <c r="U35" i="35"/>
  <c r="S25" i="35"/>
  <c r="AA25" i="35"/>
  <c r="W25" i="35"/>
  <c r="AC25" i="35"/>
  <c r="AB23" i="35"/>
  <c r="U23" i="35"/>
  <c r="S9" i="37"/>
  <c r="AA9" i="37"/>
  <c r="W9" i="37"/>
  <c r="AC9" i="37"/>
  <c r="AB47" i="34"/>
  <c r="U47" i="34"/>
  <c r="S45" i="34"/>
  <c r="AA45" i="34"/>
  <c r="W45" i="34"/>
  <c r="AC45" i="34"/>
  <c r="AB31" i="34"/>
  <c r="U31" i="34"/>
  <c r="S29" i="34"/>
  <c r="AA29" i="34"/>
  <c r="W29" i="34"/>
  <c r="AC29" i="34"/>
  <c r="E59" i="79"/>
  <c r="B57" i="79" s="1"/>
  <c r="C24" i="79" s="1"/>
  <c r="C12" i="12"/>
  <c r="E48" i="35"/>
  <c r="U7" i="33"/>
  <c r="AB7" i="33"/>
  <c r="T48" i="33" s="1"/>
  <c r="G48" i="33" s="1"/>
  <c r="F63" i="40"/>
  <c r="E65" i="40"/>
  <c r="AC7" i="37"/>
  <c r="V42" i="37" s="1"/>
  <c r="I42" i="37" s="1"/>
  <c r="W7" i="37"/>
  <c r="AA7" i="37"/>
  <c r="R42" i="37" s="1"/>
  <c r="S7" i="37"/>
  <c r="AB7" i="34"/>
  <c r="T49" i="34" s="1"/>
  <c r="G49" i="34" s="1"/>
  <c r="U7" i="34"/>
  <c r="S7" i="21"/>
  <c r="AA7" i="21"/>
  <c r="R48" i="21" s="1"/>
  <c r="AC7" i="21"/>
  <c r="V48" i="21" s="1"/>
  <c r="I48" i="21" s="1"/>
  <c r="W7" i="21"/>
  <c r="E46" i="36"/>
  <c r="W7" i="33"/>
  <c r="AC7" i="33"/>
  <c r="V48" i="33" s="1"/>
  <c r="I48" i="33" s="1"/>
  <c r="AB7" i="37"/>
  <c r="T42" i="37" s="1"/>
  <c r="G42" i="37" s="1"/>
  <c r="U7" i="37"/>
  <c r="F7" i="33"/>
  <c r="F68" i="39"/>
  <c r="E70" i="39"/>
  <c r="AC7" i="34"/>
  <c r="V49" i="34" s="1"/>
  <c r="I49" i="34" s="1"/>
  <c r="W7" i="34"/>
  <c r="F7" i="34"/>
  <c r="AB7" i="21"/>
  <c r="T48" i="21" s="1"/>
  <c r="G48" i="21" s="1"/>
  <c r="U7" i="21"/>
  <c r="M9" i="1"/>
  <c r="M8" i="1"/>
  <c r="Q71" i="67"/>
  <c r="C6" i="67"/>
  <c r="F70" i="67"/>
  <c r="F63" i="67"/>
  <c r="C62" i="67" s="1"/>
  <c r="C34" i="67"/>
  <c r="N59" i="15"/>
  <c r="L59" i="15"/>
  <c r="Q61" i="15" s="1"/>
  <c r="M59" i="15"/>
  <c r="L58" i="15"/>
  <c r="Q73" i="15" s="1"/>
  <c r="F66" i="77"/>
  <c r="F68" i="15"/>
  <c r="C6" i="15"/>
  <c r="Q71" i="82"/>
  <c r="B10" i="70"/>
  <c r="F64" i="82"/>
  <c r="F64" i="77"/>
  <c r="J57" i="15"/>
  <c r="J55" i="15" s="1"/>
  <c r="J58" i="15" s="1"/>
  <c r="Q50" i="15" s="1"/>
  <c r="L60" i="15"/>
  <c r="Q66" i="15" s="1"/>
  <c r="L56" i="15"/>
  <c r="J53" i="15"/>
  <c r="Q52" i="15" s="1"/>
  <c r="L57" i="15"/>
  <c r="I54" i="15"/>
  <c r="J57" i="67"/>
  <c r="J55" i="67" s="1"/>
  <c r="J58" i="67" s="1"/>
  <c r="Q50" i="67" s="1"/>
  <c r="L56" i="67"/>
  <c r="I54" i="67"/>
  <c r="F68" i="67"/>
  <c r="C27" i="67"/>
  <c r="F65" i="67"/>
  <c r="F51" i="67"/>
  <c r="Q71" i="77"/>
  <c r="Q71" i="78"/>
  <c r="C6" i="77"/>
  <c r="C27" i="15"/>
  <c r="B12" i="70"/>
  <c r="F65" i="82"/>
  <c r="J53" i="77"/>
  <c r="Q52" i="77" s="1"/>
  <c r="L57" i="77"/>
  <c r="L60" i="77"/>
  <c r="Q57" i="77" s="1"/>
  <c r="J57" i="77"/>
  <c r="J55" i="77" s="1"/>
  <c r="J58" i="77" s="1"/>
  <c r="Q50" i="77" s="1"/>
  <c r="I54" i="77"/>
  <c r="L56" i="77"/>
  <c r="F69" i="77"/>
  <c r="F66" i="15"/>
  <c r="F50" i="15"/>
  <c r="M7" i="15"/>
  <c r="J6" i="15" s="1"/>
  <c r="F51" i="15"/>
  <c r="C49" i="15" s="1"/>
  <c r="F65" i="78"/>
  <c r="F71" i="78"/>
  <c r="C6" i="78"/>
  <c r="F64" i="78"/>
  <c r="M7" i="78"/>
  <c r="J6" i="78" s="1"/>
  <c r="F50" i="78"/>
  <c r="N59" i="67"/>
  <c r="M59" i="67"/>
  <c r="L58" i="67"/>
  <c r="Q60" i="67" s="1"/>
  <c r="L59" i="67"/>
  <c r="Q61" i="67" s="1"/>
  <c r="F69" i="67"/>
  <c r="M7" i="67"/>
  <c r="J6" i="67" s="1"/>
  <c r="F50" i="67"/>
  <c r="J20" i="67"/>
  <c r="F66" i="67"/>
  <c r="F64" i="67"/>
  <c r="F71" i="67"/>
  <c r="Q71" i="15"/>
  <c r="B20" i="31"/>
  <c r="M59" i="77"/>
  <c r="N59" i="77"/>
  <c r="L59" i="77"/>
  <c r="Q61" i="77" s="1"/>
  <c r="L58" i="77"/>
  <c r="Q73" i="77" s="1"/>
  <c r="L58" i="78"/>
  <c r="Q73" i="78" s="1"/>
  <c r="N59" i="78"/>
  <c r="L59" i="78"/>
  <c r="Q61" i="78" s="1"/>
  <c r="M59" i="78"/>
  <c r="F68" i="82"/>
  <c r="F65" i="77"/>
  <c r="F71" i="77"/>
  <c r="F49" i="77" s="1"/>
  <c r="F50" i="77"/>
  <c r="M7" i="77"/>
  <c r="J6" i="77" s="1"/>
  <c r="F64" i="15"/>
  <c r="M59" i="82"/>
  <c r="L58" i="82"/>
  <c r="Q60" i="82" s="1"/>
  <c r="L59" i="82"/>
  <c r="Q61" i="82" s="1"/>
  <c r="N59" i="82"/>
  <c r="B13" i="70"/>
  <c r="B11" i="70"/>
  <c r="L60" i="82"/>
  <c r="Q66" i="82" s="1"/>
  <c r="J57" i="82"/>
  <c r="J55" i="82" s="1"/>
  <c r="J58" i="82" s="1"/>
  <c r="Q50" i="82" s="1"/>
  <c r="I54" i="82"/>
  <c r="J53" i="82"/>
  <c r="Q52" i="82" s="1"/>
  <c r="L56" i="82"/>
  <c r="L57" i="82"/>
  <c r="F66" i="82"/>
  <c r="C27" i="82"/>
  <c r="F51" i="82"/>
  <c r="F68" i="77"/>
  <c r="C27" i="77"/>
  <c r="F51" i="77"/>
  <c r="F65" i="15"/>
  <c r="J53" i="78"/>
  <c r="Q52" i="78" s="1"/>
  <c r="L57" i="78"/>
  <c r="I54" i="78"/>
  <c r="J57" i="78"/>
  <c r="J55" i="78" s="1"/>
  <c r="J58" i="78" s="1"/>
  <c r="Q50" i="78" s="1"/>
  <c r="L60" i="78"/>
  <c r="Q57" i="78" s="1"/>
  <c r="L56" i="78"/>
  <c r="F66" i="78"/>
  <c r="F68" i="78"/>
  <c r="C27" i="78"/>
  <c r="I1" i="73"/>
  <c r="B39" i="1" s="1"/>
  <c r="F11" i="78" s="1"/>
  <c r="F51" i="78"/>
  <c r="E20" i="79"/>
  <c r="N17" i="79" s="1"/>
  <c r="E20" i="43"/>
  <c r="M17" i="43" s="1"/>
  <c r="B4" i="49"/>
  <c r="B5" i="49"/>
  <c r="B6" i="49"/>
  <c r="B7" i="49"/>
  <c r="E8" i="49"/>
  <c r="E9" i="49"/>
  <c r="E10" i="49"/>
  <c r="B13" i="49"/>
  <c r="B16" i="49"/>
  <c r="E21" i="49"/>
  <c r="E22" i="49"/>
  <c r="G81" i="39"/>
  <c r="F11" i="39" s="1"/>
  <c r="B4" i="62"/>
  <c r="B71" i="72" s="1"/>
  <c r="K4" i="4"/>
  <c r="B46" i="48" s="1"/>
  <c r="B4" i="72" s="1"/>
  <c r="M29" i="82"/>
  <c r="F43" i="82"/>
  <c r="F7" i="82"/>
  <c r="F27" i="83"/>
  <c r="D9" i="83"/>
  <c r="D9" i="84"/>
  <c r="C16" i="82"/>
  <c r="C16" i="78"/>
  <c r="C16" i="67"/>
  <c r="C14" i="67"/>
  <c r="C16" i="77"/>
  <c r="C36" i="83"/>
  <c r="C36" i="84"/>
  <c r="F27" i="84"/>
  <c r="G1" i="73"/>
  <c r="C17" i="67"/>
  <c r="C47" i="84" l="1"/>
  <c r="D45" i="84" s="1"/>
  <c r="C29" i="84"/>
  <c r="D27" i="84" s="1"/>
  <c r="C9" i="84"/>
  <c r="C9" i="83"/>
  <c r="C29" i="83"/>
  <c r="D27" i="83" s="1"/>
  <c r="C47" i="83"/>
  <c r="D45" i="83" s="1"/>
  <c r="F50" i="82"/>
  <c r="C6" i="82"/>
  <c r="M7" i="82"/>
  <c r="J6" i="82" s="1"/>
  <c r="F71" i="82"/>
  <c r="E59" i="40"/>
  <c r="E64" i="39"/>
  <c r="E63" i="39"/>
  <c r="E58" i="40"/>
  <c r="M18" i="85"/>
  <c r="B118" i="85" s="1"/>
  <c r="B1" i="80"/>
  <c r="K7" i="1"/>
  <c r="AC6" i="3"/>
  <c r="B18" i="3"/>
  <c r="AW18" i="3" s="1"/>
  <c r="AW17" i="3"/>
  <c r="C48" i="69"/>
  <c r="C30" i="69"/>
  <c r="C48" i="84"/>
  <c r="C30" i="84"/>
  <c r="E30" i="6"/>
  <c r="K14" i="1"/>
  <c r="M14" i="1" s="1"/>
  <c r="D20" i="71"/>
  <c r="T20" i="71"/>
  <c r="E27" i="6"/>
  <c r="E57" i="40"/>
  <c r="E62" i="39"/>
  <c r="E61" i="39"/>
  <c r="E66" i="39" s="1"/>
  <c r="E56" i="40"/>
  <c r="E65" i="39"/>
  <c r="E60" i="40"/>
  <c r="D24" i="71"/>
  <c r="M19" i="79" s="1"/>
  <c r="M19" i="43"/>
  <c r="T24" i="71"/>
  <c r="D16" i="71"/>
  <c r="T16" i="71"/>
  <c r="E6" i="3"/>
  <c r="D28" i="71"/>
  <c r="T28" i="71"/>
  <c r="C48" i="68"/>
  <c r="C30" i="68"/>
  <c r="C48" i="11"/>
  <c r="C30" i="11"/>
  <c r="C48" i="83"/>
  <c r="C30" i="83"/>
  <c r="C5" i="71"/>
  <c r="D6" i="71"/>
  <c r="AZ5" i="3"/>
  <c r="F31" i="6"/>
  <c r="C49" i="78"/>
  <c r="AA7" i="34"/>
  <c r="R49" i="34" s="1"/>
  <c r="S7" i="34"/>
  <c r="I53" i="34"/>
  <c r="J53" i="34" s="1"/>
  <c r="G68" i="39"/>
  <c r="F70" i="39"/>
  <c r="I52" i="33"/>
  <c r="J52" i="33" s="1"/>
  <c r="F46" i="36"/>
  <c r="E48" i="21"/>
  <c r="R49" i="21"/>
  <c r="G53" i="33"/>
  <c r="H53" i="33" s="1"/>
  <c r="G52" i="33"/>
  <c r="H52" i="33" s="1"/>
  <c r="F48" i="35"/>
  <c r="G53" i="21"/>
  <c r="H53" i="21" s="1"/>
  <c r="G52" i="21"/>
  <c r="H52" i="21" s="1"/>
  <c r="AA7" i="33"/>
  <c r="R48" i="33" s="1"/>
  <c r="S7" i="33"/>
  <c r="G47" i="37"/>
  <c r="H47" i="37" s="1"/>
  <c r="G46" i="37"/>
  <c r="H46" i="37" s="1"/>
  <c r="I52" i="21"/>
  <c r="J52" i="21" s="1"/>
  <c r="I53" i="21"/>
  <c r="J53" i="21" s="1"/>
  <c r="G54" i="34"/>
  <c r="H54" i="34" s="1"/>
  <c r="G53" i="34"/>
  <c r="H53" i="34" s="1"/>
  <c r="E42" i="37"/>
  <c r="I47" i="37" s="1"/>
  <c r="J47" i="37" s="1"/>
  <c r="R43" i="37"/>
  <c r="I46" i="37"/>
  <c r="J46" i="37" s="1"/>
  <c r="G63" i="40"/>
  <c r="F65" i="40"/>
  <c r="G20" i="79"/>
  <c r="C20" i="79" s="1"/>
  <c r="H8" i="1"/>
  <c r="G20" i="43"/>
  <c r="C20" i="43" s="1"/>
  <c r="H7" i="1"/>
  <c r="C49" i="77"/>
  <c r="B40" i="1"/>
  <c r="F22" i="84" s="1"/>
  <c r="F1" i="77"/>
  <c r="Q74" i="15"/>
  <c r="Q60" i="15"/>
  <c r="F1" i="15"/>
  <c r="Q73" i="67"/>
  <c r="Q74" i="77"/>
  <c r="Q66" i="77"/>
  <c r="Q57" i="15"/>
  <c r="M11" i="67"/>
  <c r="J10" i="67" s="1"/>
  <c r="J5" i="67" s="1"/>
  <c r="Q60" i="78"/>
  <c r="F1" i="82"/>
  <c r="M11" i="78"/>
  <c r="J10" i="78" s="1"/>
  <c r="J5" i="78" s="1"/>
  <c r="J24" i="78" s="1"/>
  <c r="Q73" i="82"/>
  <c r="Q74" i="78"/>
  <c r="M11" i="77"/>
  <c r="J10" i="77" s="1"/>
  <c r="J5" i="77" s="1"/>
  <c r="P17" i="79"/>
  <c r="Q57" i="82"/>
  <c r="N17" i="43"/>
  <c r="Q74" i="67"/>
  <c r="Q60" i="77"/>
  <c r="Q74" i="82"/>
  <c r="F1" i="78"/>
  <c r="O17" i="43"/>
  <c r="Q66" i="78"/>
  <c r="P17" i="43"/>
  <c r="M11" i="82"/>
  <c r="J10" i="82" s="1"/>
  <c r="J5" i="82" s="1"/>
  <c r="J24" i="82" s="1"/>
  <c r="M11" i="15"/>
  <c r="J10" i="15" s="1"/>
  <c r="J5" i="15" s="1"/>
  <c r="J18" i="15" s="1"/>
  <c r="O17" i="79"/>
  <c r="C15" i="67"/>
  <c r="C18" i="67"/>
  <c r="F11" i="67"/>
  <c r="C10" i="67" s="1"/>
  <c r="C5" i="67" s="1"/>
  <c r="F11" i="82"/>
  <c r="C53" i="82" s="1"/>
  <c r="F11" i="77"/>
  <c r="F11" i="15"/>
  <c r="C53" i="15" s="1"/>
  <c r="C48" i="15" s="1"/>
  <c r="M17" i="79"/>
  <c r="C49" i="82"/>
  <c r="C49" i="67"/>
  <c r="AA11" i="39"/>
  <c r="S11" i="39"/>
  <c r="H81" i="39"/>
  <c r="I81" i="39" s="1"/>
  <c r="J81" i="39" s="1"/>
  <c r="K81" i="39" s="1"/>
  <c r="L81" i="39" s="1"/>
  <c r="M81" i="39" s="1"/>
  <c r="J11" i="39"/>
  <c r="H11" i="39"/>
  <c r="C10" i="78"/>
  <c r="C5" i="78" s="1"/>
  <c r="C53" i="78"/>
  <c r="M29" i="15"/>
  <c r="F43" i="15"/>
  <c r="AE8" i="1"/>
  <c r="AE7" i="1"/>
  <c r="AE9" i="1"/>
  <c r="AE6" i="1"/>
  <c r="F71" i="15" l="1"/>
  <c r="AY6" i="3"/>
  <c r="E3" i="6"/>
  <c r="D5" i="71"/>
  <c r="M20" i="43"/>
  <c r="C19" i="43" s="1"/>
  <c r="M20" i="79"/>
  <c r="C19" i="79" s="1"/>
  <c r="C33" i="79" s="1"/>
  <c r="K19" i="6"/>
  <c r="K23" i="6"/>
  <c r="M23" i="6" s="1"/>
  <c r="I23" i="6" s="1"/>
  <c r="S23" i="6" s="1"/>
  <c r="K24" i="6"/>
  <c r="M24" i="6" s="1"/>
  <c r="I24" i="6" s="1"/>
  <c r="S24" i="6" s="1"/>
  <c r="E31" i="6"/>
  <c r="K20" i="6"/>
  <c r="K25" i="6"/>
  <c r="M25" i="6" s="1"/>
  <c r="I25" i="6" s="1"/>
  <c r="S25" i="6" s="1"/>
  <c r="K26" i="6"/>
  <c r="M26" i="6" s="1"/>
  <c r="I26" i="6" s="1"/>
  <c r="S26" i="6" s="1"/>
  <c r="K21" i="6"/>
  <c r="B6" i="80"/>
  <c r="C33" i="43"/>
  <c r="K22" i="6"/>
  <c r="M7" i="1"/>
  <c r="Q16" i="1"/>
  <c r="K16" i="1"/>
  <c r="B29" i="1" s="1"/>
  <c r="C34" i="69"/>
  <c r="C48" i="78"/>
  <c r="C66" i="78" s="1"/>
  <c r="H63" i="40"/>
  <c r="G65" i="40"/>
  <c r="E47" i="37"/>
  <c r="F47" i="37" s="1"/>
  <c r="E46" i="37"/>
  <c r="F46" i="37" s="1"/>
  <c r="E48" i="33"/>
  <c r="R49" i="33"/>
  <c r="C49" i="21"/>
  <c r="C48" i="21"/>
  <c r="G46" i="36"/>
  <c r="H68" i="39"/>
  <c r="G70" i="39"/>
  <c r="E49" i="34"/>
  <c r="R50" i="34"/>
  <c r="C43" i="37"/>
  <c r="C42" i="37"/>
  <c r="G48" i="35"/>
  <c r="E53" i="21"/>
  <c r="F53" i="21" s="1"/>
  <c r="E52" i="21"/>
  <c r="F52" i="21" s="1"/>
  <c r="C24" i="84"/>
  <c r="C26" i="84"/>
  <c r="D22" i="84" s="1"/>
  <c r="C44" i="84"/>
  <c r="D41" i="84" s="1"/>
  <c r="F22" i="68"/>
  <c r="C26" i="68" s="1"/>
  <c r="D22" i="68" s="1"/>
  <c r="F22" i="83"/>
  <c r="T8" i="79"/>
  <c r="V8" i="79" s="1"/>
  <c r="T8" i="43"/>
  <c r="V8" i="43" s="1"/>
  <c r="T13" i="79"/>
  <c r="V13" i="79" s="1"/>
  <c r="T13" i="43"/>
  <c r="V13" i="43" s="1"/>
  <c r="T15" i="79"/>
  <c r="V15" i="79" s="1"/>
  <c r="C36" i="79"/>
  <c r="G36" i="79" s="1"/>
  <c r="I36" i="79" s="1"/>
  <c r="T14" i="43"/>
  <c r="V14" i="43" s="1"/>
  <c r="C36" i="43"/>
  <c r="G36" i="43" s="1"/>
  <c r="I36" i="43" s="1"/>
  <c r="T11" i="79"/>
  <c r="V11" i="79" s="1"/>
  <c r="T10" i="79"/>
  <c r="V10" i="79" s="1"/>
  <c r="C38" i="79"/>
  <c r="E38" i="79" s="1"/>
  <c r="C34" i="79"/>
  <c r="G34" i="79" s="1"/>
  <c r="I34" i="79" s="1"/>
  <c r="T10" i="43"/>
  <c r="V10" i="43" s="1"/>
  <c r="T16" i="43"/>
  <c r="V16" i="43" s="1"/>
  <c r="C38" i="43"/>
  <c r="E38" i="43" s="1"/>
  <c r="C34" i="43"/>
  <c r="G34" i="43" s="1"/>
  <c r="I34" i="43" s="1"/>
  <c r="G8" i="1"/>
  <c r="H9" i="1"/>
  <c r="T9" i="79"/>
  <c r="V9" i="79" s="1"/>
  <c r="T14" i="79"/>
  <c r="V14" i="79" s="1"/>
  <c r="T16" i="79"/>
  <c r="V16" i="79" s="1"/>
  <c r="T12" i="79"/>
  <c r="V12" i="79" s="1"/>
  <c r="C39" i="79"/>
  <c r="E39" i="79" s="1"/>
  <c r="C37" i="79"/>
  <c r="G37" i="79" s="1"/>
  <c r="I37" i="79" s="1"/>
  <c r="C35" i="79"/>
  <c r="G35" i="79" s="1"/>
  <c r="I35" i="79" s="1"/>
  <c r="T9" i="43"/>
  <c r="V9" i="43" s="1"/>
  <c r="T11" i="43"/>
  <c r="V11" i="43" s="1"/>
  <c r="T15" i="43"/>
  <c r="V15" i="43" s="1"/>
  <c r="T12" i="43"/>
  <c r="V12" i="43" s="1"/>
  <c r="C39" i="43"/>
  <c r="G39" i="43" s="1"/>
  <c r="I39" i="43" s="1"/>
  <c r="C37" i="43"/>
  <c r="E37" i="43" s="1"/>
  <c r="C35" i="43"/>
  <c r="G35" i="43" s="1"/>
  <c r="I35" i="43" s="1"/>
  <c r="G7" i="1"/>
  <c r="C53" i="77"/>
  <c r="C48" i="77" s="1"/>
  <c r="C60" i="77" s="1"/>
  <c r="F24" i="15"/>
  <c r="C24" i="15" s="1"/>
  <c r="F24" i="78"/>
  <c r="C24" i="78" s="1"/>
  <c r="F25" i="12"/>
  <c r="C26" i="12" s="1"/>
  <c r="D25" i="12" s="1"/>
  <c r="F24" i="77"/>
  <c r="C24" i="77" s="1"/>
  <c r="F24" i="82"/>
  <c r="C24" i="82" s="1"/>
  <c r="F22" i="69"/>
  <c r="F24" i="67"/>
  <c r="C24" i="67" s="1"/>
  <c r="F22" i="11"/>
  <c r="C44" i="11" s="1"/>
  <c r="D41" i="11" s="1"/>
  <c r="C53" i="67"/>
  <c r="C48" i="67" s="1"/>
  <c r="C60" i="67" s="1"/>
  <c r="AG8" i="1"/>
  <c r="C10" i="77"/>
  <c r="C5" i="77" s="1"/>
  <c r="C33" i="77" s="1"/>
  <c r="J24" i="15"/>
  <c r="J26" i="78"/>
  <c r="J26" i="15"/>
  <c r="C19" i="67"/>
  <c r="C20" i="67" s="1"/>
  <c r="C26" i="67" s="1"/>
  <c r="J26" i="67"/>
  <c r="J29" i="67" s="1"/>
  <c r="J18" i="67"/>
  <c r="J18" i="78"/>
  <c r="J24" i="67"/>
  <c r="J19" i="77"/>
  <c r="J18" i="77"/>
  <c r="J24" i="77"/>
  <c r="C10" i="15"/>
  <c r="C5" i="15" s="1"/>
  <c r="J26" i="82"/>
  <c r="J18" i="82"/>
  <c r="C48" i="82"/>
  <c r="C10" i="82"/>
  <c r="C5" i="82" s="1"/>
  <c r="C33" i="82" s="1"/>
  <c r="AC11" i="39"/>
  <c r="W11" i="39"/>
  <c r="AB11" i="39"/>
  <c r="U11" i="39"/>
  <c r="E33" i="43"/>
  <c r="G33" i="43"/>
  <c r="I33" i="43" s="1"/>
  <c r="C38" i="78"/>
  <c r="C32" i="78"/>
  <c r="C33" i="78"/>
  <c r="C60" i="78"/>
  <c r="C60" i="15"/>
  <c r="C66" i="15"/>
  <c r="C32" i="67"/>
  <c r="C38" i="67"/>
  <c r="C16" i="15"/>
  <c r="F41" i="78"/>
  <c r="F41" i="82"/>
  <c r="F41" i="15"/>
  <c r="M27" i="77"/>
  <c r="G33" i="79" l="1"/>
  <c r="I33" i="79" s="1"/>
  <c r="E33" i="79"/>
  <c r="C35" i="69"/>
  <c r="C38" i="69"/>
  <c r="F27" i="69"/>
  <c r="F27" i="68"/>
  <c r="F27" i="11"/>
  <c r="F28" i="12"/>
  <c r="C29" i="12" s="1"/>
  <c r="D28" i="12" s="1"/>
  <c r="M22" i="6"/>
  <c r="I22" i="6" s="1"/>
  <c r="S22" i="6" s="1"/>
  <c r="S9" i="1"/>
  <c r="C2" i="80"/>
  <c r="D2" i="80" s="1"/>
  <c r="C4" i="80"/>
  <c r="D4" i="80" s="1"/>
  <c r="C3" i="80"/>
  <c r="D3" i="80" s="1"/>
  <c r="S8" i="1"/>
  <c r="M21" i="6"/>
  <c r="I21" i="6" s="1"/>
  <c r="S21" i="6" s="1"/>
  <c r="B7" i="80"/>
  <c r="D3" i="6"/>
  <c r="AY568" i="3"/>
  <c r="AY564" i="3"/>
  <c r="AY562" i="3"/>
  <c r="AY558" i="3"/>
  <c r="AY556" i="3"/>
  <c r="AY554" i="3"/>
  <c r="AY546" i="3"/>
  <c r="AY544" i="3"/>
  <c r="AY534" i="3"/>
  <c r="AY532" i="3"/>
  <c r="AY528" i="3"/>
  <c r="AY524" i="3"/>
  <c r="AY520" i="3"/>
  <c r="AY516" i="3"/>
  <c r="AY512" i="3"/>
  <c r="AY508" i="3"/>
  <c r="AY504" i="3"/>
  <c r="AY500" i="3"/>
  <c r="AY498" i="3"/>
  <c r="AY490" i="3"/>
  <c r="AY486" i="3"/>
  <c r="AY480" i="3"/>
  <c r="AY474" i="3"/>
  <c r="AY472" i="3"/>
  <c r="AY466" i="3"/>
  <c r="AY460" i="3"/>
  <c r="AY452" i="3"/>
  <c r="AY450" i="3"/>
  <c r="AY448" i="3"/>
  <c r="AY444" i="3"/>
  <c r="AY440" i="3"/>
  <c r="AY432" i="3"/>
  <c r="AY426" i="3"/>
  <c r="AY422" i="3"/>
  <c r="AY420" i="3"/>
  <c r="AY416" i="3"/>
  <c r="AY414" i="3"/>
  <c r="AY410" i="3"/>
  <c r="AY408" i="3"/>
  <c r="AY406" i="3"/>
  <c r="AY404" i="3"/>
  <c r="AY398" i="3"/>
  <c r="AY394" i="3"/>
  <c r="AY392" i="3"/>
  <c r="AY390" i="3"/>
  <c r="AY386" i="3"/>
  <c r="AY384" i="3"/>
  <c r="AY378" i="3"/>
  <c r="AY374" i="3"/>
  <c r="AY370" i="3"/>
  <c r="AY360" i="3"/>
  <c r="AY354" i="3"/>
  <c r="AY352" i="3"/>
  <c r="AY350" i="3"/>
  <c r="AY346" i="3"/>
  <c r="AY342" i="3"/>
  <c r="AY334" i="3"/>
  <c r="AY328" i="3"/>
  <c r="AY326" i="3"/>
  <c r="AY324" i="3"/>
  <c r="AY320" i="3"/>
  <c r="AY316" i="3"/>
  <c r="AY312" i="3"/>
  <c r="AY310" i="3"/>
  <c r="AY304" i="3"/>
  <c r="AY300" i="3"/>
  <c r="AY298" i="3"/>
  <c r="AY294" i="3"/>
  <c r="AY290" i="3"/>
  <c r="AY284" i="3"/>
  <c r="AY282" i="3"/>
  <c r="AY280" i="3"/>
  <c r="AY278" i="3"/>
  <c r="AY276" i="3"/>
  <c r="AY270" i="3"/>
  <c r="AY268" i="3"/>
  <c r="AY264" i="3"/>
  <c r="AY262" i="3"/>
  <c r="AY260" i="3"/>
  <c r="AY258" i="3"/>
  <c r="AY252" i="3"/>
  <c r="AY246" i="3"/>
  <c r="AY242" i="3"/>
  <c r="AY238" i="3"/>
  <c r="AY236" i="3"/>
  <c r="AY234" i="3"/>
  <c r="AY232" i="3"/>
  <c r="AY228" i="3"/>
  <c r="AY224" i="3"/>
  <c r="AY222" i="3"/>
  <c r="AY216" i="3"/>
  <c r="AY214" i="3"/>
  <c r="AY212" i="3"/>
  <c r="AY208" i="3"/>
  <c r="AY206" i="3"/>
  <c r="AY204" i="3"/>
  <c r="AY200" i="3"/>
  <c r="AY196" i="3"/>
  <c r="AY190" i="3"/>
  <c r="AY188" i="3"/>
  <c r="AY186" i="3"/>
  <c r="AY184" i="3"/>
  <c r="AY176" i="3"/>
  <c r="AY172" i="3"/>
  <c r="AY170" i="3"/>
  <c r="AY166" i="3"/>
  <c r="AY162" i="3"/>
  <c r="AY160" i="3"/>
  <c r="AY154" i="3"/>
  <c r="AY152" i="3"/>
  <c r="AY142" i="3"/>
  <c r="AY138" i="3"/>
  <c r="AY136" i="3"/>
  <c r="AY132" i="3"/>
  <c r="AY124" i="3"/>
  <c r="AY122" i="3"/>
  <c r="AY116" i="3"/>
  <c r="AY112" i="3"/>
  <c r="AY110" i="3"/>
  <c r="AY108" i="3"/>
  <c r="AY100" i="3"/>
  <c r="AY90" i="3"/>
  <c r="AY88" i="3"/>
  <c r="AY84" i="3"/>
  <c r="AY82" i="3"/>
  <c r="AY78" i="3"/>
  <c r="AY72" i="3"/>
  <c r="AY68" i="3"/>
  <c r="AY54" i="3"/>
  <c r="AY52" i="3"/>
  <c r="AY48" i="3"/>
  <c r="AY46" i="3"/>
  <c r="AY42" i="3"/>
  <c r="AY38" i="3"/>
  <c r="AY36" i="3"/>
  <c r="AY32" i="3"/>
  <c r="AY26" i="3"/>
  <c r="AY24"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586" i="3"/>
  <c r="AY584" i="3"/>
  <c r="AY582" i="3"/>
  <c r="AY580" i="3"/>
  <c r="AY578" i="3"/>
  <c r="AY576" i="3"/>
  <c r="AY574" i="3"/>
  <c r="AY572" i="3"/>
  <c r="AY570" i="3"/>
  <c r="AY566" i="3"/>
  <c r="AY560" i="3"/>
  <c r="AY552" i="3"/>
  <c r="AY550" i="3"/>
  <c r="AY548" i="3"/>
  <c r="AY542" i="3"/>
  <c r="AY540" i="3"/>
  <c r="AY538" i="3"/>
  <c r="AY536" i="3"/>
  <c r="AY530" i="3"/>
  <c r="AY526" i="3"/>
  <c r="AY522" i="3"/>
  <c r="AY518" i="3"/>
  <c r="AY514" i="3"/>
  <c r="AY510" i="3"/>
  <c r="AY506" i="3"/>
  <c r="AY502" i="3"/>
  <c r="AY496" i="3"/>
  <c r="AY494" i="3"/>
  <c r="AY492" i="3"/>
  <c r="AY488" i="3"/>
  <c r="AY484" i="3"/>
  <c r="AY482" i="3"/>
  <c r="AY478" i="3"/>
  <c r="AY476" i="3"/>
  <c r="AY470" i="3"/>
  <c r="AY468" i="3"/>
  <c r="AY464" i="3"/>
  <c r="AY462" i="3"/>
  <c r="AY458" i="3"/>
  <c r="AY456" i="3"/>
  <c r="AY454" i="3"/>
  <c r="AY446" i="3"/>
  <c r="AY442" i="3"/>
  <c r="AY438" i="3"/>
  <c r="AY436" i="3"/>
  <c r="AY434" i="3"/>
  <c r="AY430" i="3"/>
  <c r="AY428" i="3"/>
  <c r="AY424" i="3"/>
  <c r="AY418" i="3"/>
  <c r="AY412" i="3"/>
  <c r="AY402" i="3"/>
  <c r="AY400" i="3"/>
  <c r="AY396" i="3"/>
  <c r="AY388" i="3"/>
  <c r="AY382" i="3"/>
  <c r="AY380" i="3"/>
  <c r="AY376" i="3"/>
  <c r="AY372" i="3"/>
  <c r="AY368" i="3"/>
  <c r="AY366" i="3"/>
  <c r="AY364" i="3"/>
  <c r="AY362" i="3"/>
  <c r="AY358" i="3"/>
  <c r="AY356" i="3"/>
  <c r="AY348" i="3"/>
  <c r="AY344" i="3"/>
  <c r="AY340" i="3"/>
  <c r="AY338" i="3"/>
  <c r="AY336" i="3"/>
  <c r="AY332" i="3"/>
  <c r="AY330" i="3"/>
  <c r="AY322" i="3"/>
  <c r="AY318" i="3"/>
  <c r="AY314" i="3"/>
  <c r="AY308" i="3"/>
  <c r="AY306" i="3"/>
  <c r="AY302" i="3"/>
  <c r="AY296" i="3"/>
  <c r="AY292" i="3"/>
  <c r="AY288" i="3"/>
  <c r="AY286" i="3"/>
  <c r="AY274" i="3"/>
  <c r="AY272" i="3"/>
  <c r="AY266" i="3"/>
  <c r="AY256" i="3"/>
  <c r="AY254" i="3"/>
  <c r="AY250" i="3"/>
  <c r="AY248" i="3"/>
  <c r="AY244" i="3"/>
  <c r="AY240" i="3"/>
  <c r="AY230" i="3"/>
  <c r="AY226" i="3"/>
  <c r="AY220" i="3"/>
  <c r="AY218" i="3"/>
  <c r="AY210" i="3"/>
  <c r="AY202" i="3"/>
  <c r="AY198" i="3"/>
  <c r="AY194" i="3"/>
  <c r="AY192" i="3"/>
  <c r="AY182" i="3"/>
  <c r="AY180" i="3"/>
  <c r="AY178" i="3"/>
  <c r="AY174" i="3"/>
  <c r="AY168" i="3"/>
  <c r="AY164" i="3"/>
  <c r="AY158" i="3"/>
  <c r="AY156" i="3"/>
  <c r="AY150" i="3"/>
  <c r="AY148" i="3"/>
  <c r="AY146" i="3"/>
  <c r="AY144" i="3"/>
  <c r="AY140" i="3"/>
  <c r="AY134" i="3"/>
  <c r="AY130" i="3"/>
  <c r="AY128" i="3"/>
  <c r="AY126" i="3"/>
  <c r="AY120" i="3"/>
  <c r="AY118" i="3"/>
  <c r="AY114" i="3"/>
  <c r="AY106" i="3"/>
  <c r="AY104" i="3"/>
  <c r="AY102" i="3"/>
  <c r="AY98" i="3"/>
  <c r="AY96" i="3"/>
  <c r="AY94" i="3"/>
  <c r="AY92" i="3"/>
  <c r="AY86" i="3"/>
  <c r="AY80" i="3"/>
  <c r="AY76" i="3"/>
  <c r="AY74" i="3"/>
  <c r="AY70" i="3"/>
  <c r="AY66" i="3"/>
  <c r="AY64" i="3"/>
  <c r="AY62" i="3"/>
  <c r="AY60" i="3"/>
  <c r="AY58" i="3"/>
  <c r="AY56" i="3"/>
  <c r="AY50" i="3"/>
  <c r="AY44" i="3"/>
  <c r="AY40" i="3"/>
  <c r="AY34" i="3"/>
  <c r="AY30" i="3"/>
  <c r="AY28" i="3"/>
  <c r="BR6" i="3"/>
  <c r="BN6" i="3"/>
  <c r="BJ6" i="3"/>
  <c r="BF6" i="3"/>
  <c r="BB6" i="3"/>
  <c r="AY22" i="3"/>
  <c r="AY20" i="3"/>
  <c r="AY18" i="3"/>
  <c r="AY16" i="3"/>
  <c r="AY14" i="3"/>
  <c r="BT6" i="3"/>
  <c r="BP6" i="3"/>
  <c r="BL6" i="3"/>
  <c r="BH6" i="3"/>
  <c r="BD6" i="3"/>
  <c r="C8" i="68"/>
  <c r="M16" i="1"/>
  <c r="C1" i="80"/>
  <c r="D1" i="80" s="1"/>
  <c r="S7" i="1"/>
  <c r="M20" i="6"/>
  <c r="I20" i="6" s="1"/>
  <c r="S6" i="1"/>
  <c r="M19" i="6"/>
  <c r="K27" i="6"/>
  <c r="D37" i="11"/>
  <c r="C37" i="11" s="1"/>
  <c r="D19" i="11"/>
  <c r="C19" i="11" s="1"/>
  <c r="E6" i="6"/>
  <c r="D3" i="37"/>
  <c r="B2" i="37" s="1"/>
  <c r="B3" i="37" s="1"/>
  <c r="D3" i="34"/>
  <c r="L18" i="9"/>
  <c r="D3" i="33"/>
  <c r="D3" i="21"/>
  <c r="B2" i="21" s="1"/>
  <c r="B3" i="21" s="1"/>
  <c r="D14" i="12"/>
  <c r="M18" i="9"/>
  <c r="B118" i="9" s="1"/>
  <c r="B1" i="74" s="1"/>
  <c r="C17" i="4"/>
  <c r="B4" i="52" s="1"/>
  <c r="B43" i="72" s="1"/>
  <c r="H48" i="35"/>
  <c r="E54" i="34"/>
  <c r="F54" i="34" s="1"/>
  <c r="E53" i="34"/>
  <c r="F53" i="34" s="1"/>
  <c r="I54" i="34"/>
  <c r="J54" i="34" s="1"/>
  <c r="I68" i="39"/>
  <c r="H70" i="39"/>
  <c r="H46" i="36"/>
  <c r="C49" i="33"/>
  <c r="B2" i="33" s="1"/>
  <c r="B3" i="33" s="1"/>
  <c r="C48" i="33"/>
  <c r="C50" i="34"/>
  <c r="B2" i="34" s="1"/>
  <c r="B3" i="34" s="1"/>
  <c r="C49" i="34"/>
  <c r="E52" i="33"/>
  <c r="F52" i="33" s="1"/>
  <c r="E53" i="33"/>
  <c r="F53" i="33" s="1"/>
  <c r="I53" i="33"/>
  <c r="J53" i="33" s="1"/>
  <c r="I63" i="40"/>
  <c r="H65" i="40"/>
  <c r="E34" i="79"/>
  <c r="F69" i="78"/>
  <c r="J29" i="78"/>
  <c r="E34" i="43"/>
  <c r="E39" i="43"/>
  <c r="E36" i="43"/>
  <c r="E36" i="79"/>
  <c r="E35" i="43"/>
  <c r="E37" i="79"/>
  <c r="C44" i="68"/>
  <c r="D41" i="68" s="1"/>
  <c r="C23" i="11"/>
  <c r="C24" i="68"/>
  <c r="C24" i="83"/>
  <c r="C26" i="83"/>
  <c r="D22" i="83" s="1"/>
  <c r="C44" i="83"/>
  <c r="D41" i="83" s="1"/>
  <c r="G38" i="79"/>
  <c r="I38" i="79" s="1"/>
  <c r="G38" i="43"/>
  <c r="I38" i="43" s="1"/>
  <c r="G37" i="43"/>
  <c r="I37" i="43" s="1"/>
  <c r="E35" i="79"/>
  <c r="G39" i="79"/>
  <c r="I39" i="79" s="1"/>
  <c r="C66" i="77"/>
  <c r="C38" i="77"/>
  <c r="G9" i="1"/>
  <c r="H6" i="1"/>
  <c r="F69" i="82"/>
  <c r="J29" i="82"/>
  <c r="F69" i="15"/>
  <c r="J29" i="15"/>
  <c r="C26" i="11"/>
  <c r="D22" i="11" s="1"/>
  <c r="C24" i="11"/>
  <c r="C26" i="69"/>
  <c r="D22" i="69" s="1"/>
  <c r="C44" i="69"/>
  <c r="D41" i="69" s="1"/>
  <c r="C66" i="67"/>
  <c r="C32" i="77"/>
  <c r="C23" i="67"/>
  <c r="C29" i="67" s="1"/>
  <c r="Q49" i="67" s="1"/>
  <c r="C38" i="15"/>
  <c r="C32" i="15"/>
  <c r="C32" i="82"/>
  <c r="C38" i="82"/>
  <c r="C60" i="82"/>
  <c r="C66" i="82"/>
  <c r="C17" i="82"/>
  <c r="C17" i="77"/>
  <c r="C17" i="15"/>
  <c r="D10" i="83"/>
  <c r="C17" i="78"/>
  <c r="D10" i="84"/>
  <c r="C10" i="84" l="1"/>
  <c r="C8" i="84" s="1"/>
  <c r="D19" i="84"/>
  <c r="D37" i="84" s="1"/>
  <c r="C37" i="84" s="1"/>
  <c r="C10" i="83"/>
  <c r="C8" i="83" s="1"/>
  <c r="D19" i="83"/>
  <c r="D37" i="83" s="1"/>
  <c r="C37" i="83" s="1"/>
  <c r="C14" i="12"/>
  <c r="C16" i="12" s="1"/>
  <c r="D17" i="12"/>
  <c r="C17" i="12" s="1"/>
  <c r="D10" i="68"/>
  <c r="D10" i="11"/>
  <c r="C10" i="11" s="1"/>
  <c r="D20" i="12"/>
  <c r="C20" i="12" s="1"/>
  <c r="C18" i="12" s="1"/>
  <c r="D10" i="69"/>
  <c r="I19" i="6"/>
  <c r="M27" i="6"/>
  <c r="L18" i="85"/>
  <c r="S20" i="6"/>
  <c r="C29" i="11"/>
  <c r="D27" i="11" s="1"/>
  <c r="C47" i="11"/>
  <c r="D45" i="11" s="1"/>
  <c r="C29" i="69"/>
  <c r="D27" i="69" s="1"/>
  <c r="C47" i="69"/>
  <c r="D45" i="69" s="1"/>
  <c r="C7" i="74"/>
  <c r="C8" i="74"/>
  <c r="C20" i="11"/>
  <c r="C25" i="11" s="1"/>
  <c r="C22" i="11" s="1"/>
  <c r="C28" i="11"/>
  <c r="C27" i="11" s="1"/>
  <c r="T6" i="1"/>
  <c r="S16" i="1"/>
  <c r="AQ6" i="1"/>
  <c r="E6" i="70"/>
  <c r="AR6" i="1"/>
  <c r="E7" i="70"/>
  <c r="AR7" i="1"/>
  <c r="T7" i="1"/>
  <c r="AQ7" i="1"/>
  <c r="C34" i="68"/>
  <c r="N16" i="1"/>
  <c r="C34" i="11"/>
  <c r="L16" i="1"/>
  <c r="D19" i="6"/>
  <c r="D23" i="6"/>
  <c r="D25" i="6"/>
  <c r="D28" i="6"/>
  <c r="D20" i="6"/>
  <c r="D24" i="6"/>
  <c r="D26" i="6"/>
  <c r="D29" i="6"/>
  <c r="E61" i="40"/>
  <c r="M19" i="9"/>
  <c r="C118" i="9" s="1"/>
  <c r="C14" i="74" s="1"/>
  <c r="B2" i="74" s="1"/>
  <c r="L19" i="9"/>
  <c r="D9" i="6"/>
  <c r="D11" i="6"/>
  <c r="D13" i="6"/>
  <c r="D15" i="6"/>
  <c r="D6" i="6"/>
  <c r="C18" i="4"/>
  <c r="D8" i="6"/>
  <c r="D10" i="6"/>
  <c r="D12" i="6"/>
  <c r="D14" i="6"/>
  <c r="D5" i="6"/>
  <c r="D21" i="6"/>
  <c r="D22" i="6"/>
  <c r="H24" i="6"/>
  <c r="R24" i="6" s="1"/>
  <c r="H23" i="6"/>
  <c r="R23" i="6" s="1"/>
  <c r="H26" i="6"/>
  <c r="R26" i="6" s="1"/>
  <c r="H25" i="6"/>
  <c r="H21" i="6"/>
  <c r="R21" i="6" s="1"/>
  <c r="R8" i="1" s="1"/>
  <c r="H22" i="6"/>
  <c r="R22" i="6" s="1"/>
  <c r="R9" i="1" s="1"/>
  <c r="H20" i="6"/>
  <c r="R20" i="6" s="1"/>
  <c r="R7" i="1" s="1"/>
  <c r="E8" i="70"/>
  <c r="T8" i="1"/>
  <c r="AQ8" i="1"/>
  <c r="AR8" i="1"/>
  <c r="E9" i="70"/>
  <c r="AQ9" i="1"/>
  <c r="T9" i="1"/>
  <c r="AR9" i="1"/>
  <c r="C29" i="68"/>
  <c r="D27" i="68" s="1"/>
  <c r="C47" i="68"/>
  <c r="D45" i="68" s="1"/>
  <c r="J63" i="40"/>
  <c r="I65" i="40"/>
  <c r="I48" i="35"/>
  <c r="I46" i="36"/>
  <c r="J68" i="39"/>
  <c r="I70" i="39"/>
  <c r="G6" i="1"/>
  <c r="G16" i="1" s="1"/>
  <c r="H16" i="1"/>
  <c r="C13" i="67"/>
  <c r="C37" i="67" s="1"/>
  <c r="C33" i="67"/>
  <c r="C31" i="67" s="1"/>
  <c r="C31" i="11"/>
  <c r="J14" i="67"/>
  <c r="J13" i="67" s="1"/>
  <c r="J23" i="67" s="1"/>
  <c r="J59" i="67"/>
  <c r="J60" i="67" s="1"/>
  <c r="Q48" i="67" s="1"/>
  <c r="C57" i="67"/>
  <c r="C61" i="67" s="1"/>
  <c r="C59" i="67" s="1"/>
  <c r="J19" i="67"/>
  <c r="J17" i="67" s="1"/>
  <c r="C36" i="67"/>
  <c r="C14" i="78"/>
  <c r="C34" i="84"/>
  <c r="F35" i="82"/>
  <c r="M21" i="82"/>
  <c r="C14" i="82"/>
  <c r="C14" i="77"/>
  <c r="C14" i="15"/>
  <c r="C34" i="83"/>
  <c r="F35" i="77"/>
  <c r="M21" i="77"/>
  <c r="F35" i="15"/>
  <c r="M21" i="15"/>
  <c r="J20" i="15" l="1"/>
  <c r="F63" i="15"/>
  <c r="C62" i="15" s="1"/>
  <c r="C34" i="15"/>
  <c r="J20" i="77"/>
  <c r="J17" i="77" s="1"/>
  <c r="C34" i="77"/>
  <c r="C31" i="77" s="1"/>
  <c r="F63" i="77"/>
  <c r="C62" i="77" s="1"/>
  <c r="C38" i="83"/>
  <c r="C35" i="83"/>
  <c r="C33" i="83" s="1"/>
  <c r="C18" i="15"/>
  <c r="C15" i="15"/>
  <c r="C19" i="15" s="1"/>
  <c r="C18" i="77"/>
  <c r="C15" i="77"/>
  <c r="C18" i="82"/>
  <c r="C15" i="82"/>
  <c r="C19" i="82"/>
  <c r="J20" i="82"/>
  <c r="F63" i="82"/>
  <c r="C62" i="82" s="1"/>
  <c r="C34" i="82"/>
  <c r="C31" i="82" s="1"/>
  <c r="C38" i="84"/>
  <c r="C35" i="84"/>
  <c r="C33" i="84"/>
  <c r="C18" i="78"/>
  <c r="C15" i="78"/>
  <c r="C19" i="78" s="1"/>
  <c r="A7" i="51"/>
  <c r="B7" i="72" s="1"/>
  <c r="C4" i="52"/>
  <c r="B45" i="72" s="1"/>
  <c r="A10" i="51"/>
  <c r="B9" i="72" s="1"/>
  <c r="L19" i="85"/>
  <c r="M19" i="85"/>
  <c r="C118" i="85" s="1"/>
  <c r="M19" i="86"/>
  <c r="C118" i="86" s="1"/>
  <c r="D27" i="6"/>
  <c r="C35" i="11"/>
  <c r="C33" i="11" s="1"/>
  <c r="C38" i="11"/>
  <c r="C38" i="68"/>
  <c r="C35" i="68"/>
  <c r="E2" i="70"/>
  <c r="L18" i="86"/>
  <c r="H19" i="6"/>
  <c r="I27" i="6"/>
  <c r="S19" i="6"/>
  <c r="S27" i="6" s="1"/>
  <c r="C10" i="68"/>
  <c r="D19" i="68"/>
  <c r="D37" i="68" s="1"/>
  <c r="C37" i="68" s="1"/>
  <c r="C21" i="12"/>
  <c r="R25" i="6"/>
  <c r="D16" i="6"/>
  <c r="D7" i="74"/>
  <c r="D8" i="74"/>
  <c r="D30" i="6"/>
  <c r="F50" i="83"/>
  <c r="F50" i="84"/>
  <c r="F50" i="11"/>
  <c r="F50" i="68"/>
  <c r="F50" i="69"/>
  <c r="T16" i="1"/>
  <c r="C10" i="69"/>
  <c r="C8" i="69" s="1"/>
  <c r="C5" i="69" s="1"/>
  <c r="D19" i="69"/>
  <c r="J48" i="35"/>
  <c r="K63" i="40"/>
  <c r="J65" i="40"/>
  <c r="K68" i="39"/>
  <c r="J70" i="39"/>
  <c r="J46" i="36"/>
  <c r="K46" i="36" s="1"/>
  <c r="L46" i="36" s="1"/>
  <c r="M46" i="36" s="1"/>
  <c r="N46" i="36" s="1"/>
  <c r="O46" i="36" s="1"/>
  <c r="H7" i="36" s="1"/>
  <c r="J7" i="36"/>
  <c r="C56" i="67"/>
  <c r="C65" i="67" s="1"/>
  <c r="J10" i="40"/>
  <c r="F10" i="39"/>
  <c r="H10" i="39"/>
  <c r="F10" i="40"/>
  <c r="H10" i="40"/>
  <c r="J10" i="39"/>
  <c r="Q70" i="67"/>
  <c r="C75" i="67"/>
  <c r="L46" i="67"/>
  <c r="C30" i="67"/>
  <c r="C39" i="67" s="1"/>
  <c r="C40" i="67" s="1"/>
  <c r="Q65" i="67" s="1"/>
  <c r="C64" i="67"/>
  <c r="J22" i="67"/>
  <c r="J16" i="67" s="1"/>
  <c r="J25" i="67" s="1"/>
  <c r="L51" i="67"/>
  <c r="C20" i="15" l="1"/>
  <c r="C23" i="15" s="1"/>
  <c r="C26" i="15"/>
  <c r="C29" i="15" s="1"/>
  <c r="C33" i="15" s="1"/>
  <c r="C31" i="15" s="1"/>
  <c r="C19" i="77"/>
  <c r="C20" i="78"/>
  <c r="C23" i="78" s="1"/>
  <c r="C42" i="83"/>
  <c r="C39" i="83"/>
  <c r="C43" i="83" s="1"/>
  <c r="C20" i="77"/>
  <c r="C26" i="77" s="1"/>
  <c r="D37" i="69"/>
  <c r="C37" i="69" s="1"/>
  <c r="C33" i="69" s="1"/>
  <c r="C19" i="69"/>
  <c r="H27" i="6"/>
  <c r="R19" i="6"/>
  <c r="C42" i="11"/>
  <c r="C39" i="11"/>
  <c r="L19" i="86"/>
  <c r="C42" i="84"/>
  <c r="C39" i="84"/>
  <c r="C20" i="82"/>
  <c r="C23" i="82" s="1"/>
  <c r="C26" i="82"/>
  <c r="C29" i="82" s="1"/>
  <c r="C23" i="69"/>
  <c r="C22" i="12"/>
  <c r="C30" i="12" s="1"/>
  <c r="C28" i="12" s="1"/>
  <c r="C33" i="68"/>
  <c r="D31" i="6"/>
  <c r="C46" i="83"/>
  <c r="C45" i="83" s="1"/>
  <c r="W7" i="36"/>
  <c r="AC7" i="36"/>
  <c r="V36" i="36" s="1"/>
  <c r="I36" i="36" s="1"/>
  <c r="AB7" i="36"/>
  <c r="T36" i="36" s="1"/>
  <c r="G36" i="36" s="1"/>
  <c r="U7" i="36"/>
  <c r="L68" i="39"/>
  <c r="K70" i="39"/>
  <c r="L63" i="40"/>
  <c r="K65" i="40"/>
  <c r="K48" i="35"/>
  <c r="F7" i="36"/>
  <c r="C58" i="67"/>
  <c r="C67" i="67" s="1"/>
  <c r="C68" i="67" s="1"/>
  <c r="C71" i="67" s="1"/>
  <c r="C80" i="67"/>
  <c r="C79" i="67" s="1"/>
  <c r="AC10" i="39"/>
  <c r="W10" i="39"/>
  <c r="S10" i="40"/>
  <c r="AA10" i="40"/>
  <c r="AA10" i="39"/>
  <c r="S10" i="39"/>
  <c r="AB10" i="40"/>
  <c r="U10" i="40"/>
  <c r="AB10" i="39"/>
  <c r="U10" i="39"/>
  <c r="W10" i="40"/>
  <c r="AC10" i="40"/>
  <c r="L57" i="67"/>
  <c r="L60" i="67" s="1"/>
  <c r="Q66" i="67" s="1"/>
  <c r="Q75" i="67" s="1"/>
  <c r="Q67" i="67"/>
  <c r="Q69" i="67"/>
  <c r="Q68" i="67" s="1"/>
  <c r="C61" i="77"/>
  <c r="C59" i="77" s="1"/>
  <c r="Q47" i="67"/>
  <c r="Q53" i="67" s="1"/>
  <c r="C36" i="15"/>
  <c r="Q49" i="15"/>
  <c r="C13" i="15"/>
  <c r="J14" i="15"/>
  <c r="D2" i="67"/>
  <c r="B3" i="67" s="1"/>
  <c r="C83" i="67"/>
  <c r="C82" i="67" s="1"/>
  <c r="C43" i="67"/>
  <c r="Q56" i="67"/>
  <c r="C45" i="67"/>
  <c r="C46" i="67" s="1"/>
  <c r="C57" i="15" l="1"/>
  <c r="C64" i="15" s="1"/>
  <c r="J59" i="15"/>
  <c r="J60" i="15" s="1"/>
  <c r="J19" i="15"/>
  <c r="J17" i="15" s="1"/>
  <c r="C27" i="12"/>
  <c r="C25" i="12" s="1"/>
  <c r="C23" i="77"/>
  <c r="C29" i="77" s="1"/>
  <c r="C57" i="77" s="1"/>
  <c r="C64" i="77" s="1"/>
  <c r="C41" i="83"/>
  <c r="C49" i="83" s="1"/>
  <c r="C51" i="83" s="1"/>
  <c r="C26" i="78"/>
  <c r="C39" i="68"/>
  <c r="C42" i="68"/>
  <c r="C46" i="68"/>
  <c r="C45" i="68" s="1"/>
  <c r="C43" i="11"/>
  <c r="C41" i="11" s="1"/>
  <c r="C49" i="11" s="1"/>
  <c r="C51" i="11" s="1"/>
  <c r="C46" i="11"/>
  <c r="C45" i="11" s="1"/>
  <c r="R27" i="6"/>
  <c r="R6" i="1"/>
  <c r="C20" i="69"/>
  <c r="C24" i="69"/>
  <c r="C36" i="77"/>
  <c r="C13" i="77"/>
  <c r="J59" i="77"/>
  <c r="J60" i="77" s="1"/>
  <c r="C29" i="78"/>
  <c r="I6" i="6"/>
  <c r="I5" i="6"/>
  <c r="C32" i="12"/>
  <c r="B2" i="12" s="1"/>
  <c r="B3" i="12" s="1"/>
  <c r="J19" i="82"/>
  <c r="J17" i="82" s="1"/>
  <c r="C57" i="82"/>
  <c r="J59" i="82"/>
  <c r="J60" i="82" s="1"/>
  <c r="J14" i="82"/>
  <c r="Q49" i="82"/>
  <c r="C36" i="82"/>
  <c r="C13" i="82"/>
  <c r="C43" i="84"/>
  <c r="C41" i="84" s="1"/>
  <c r="C46" i="84"/>
  <c r="C45" i="84" s="1"/>
  <c r="C39" i="69"/>
  <c r="C43" i="69" s="1"/>
  <c r="C42" i="69"/>
  <c r="C46" i="69"/>
  <c r="C45" i="69" s="1"/>
  <c r="AA7" i="36"/>
  <c r="R36" i="36" s="1"/>
  <c r="S7" i="36"/>
  <c r="L48" i="35"/>
  <c r="M63" i="40"/>
  <c r="L65" i="40"/>
  <c r="M68" i="39"/>
  <c r="L70" i="39"/>
  <c r="G40" i="36"/>
  <c r="H40" i="36" s="1"/>
  <c r="G41" i="36"/>
  <c r="H41" i="36" s="1"/>
  <c r="I40" i="36"/>
  <c r="J40" i="36" s="1"/>
  <c r="Q57" i="67"/>
  <c r="Q62" i="67" s="1"/>
  <c r="B2" i="67"/>
  <c r="Q48" i="15"/>
  <c r="L46" i="15"/>
  <c r="J22" i="15"/>
  <c r="J13" i="15"/>
  <c r="J23" i="15" s="1"/>
  <c r="C37" i="15"/>
  <c r="C30" i="15" s="1"/>
  <c r="C39" i="15" s="1"/>
  <c r="C75" i="15"/>
  <c r="C56" i="15"/>
  <c r="C65" i="15" s="1"/>
  <c r="Q70" i="15"/>
  <c r="C61" i="15"/>
  <c r="C59" i="15" s="1"/>
  <c r="M21" i="78"/>
  <c r="F35" i="78"/>
  <c r="L51" i="15"/>
  <c r="C52" i="11" l="1"/>
  <c r="B2" i="11" s="1"/>
  <c r="B3" i="11" s="1"/>
  <c r="C56" i="11"/>
  <c r="C57" i="11" s="1"/>
  <c r="C41" i="69"/>
  <c r="C49" i="69" s="1"/>
  <c r="C51" i="69" s="1"/>
  <c r="C49" i="84"/>
  <c r="C51" i="84" s="1"/>
  <c r="J14" i="77"/>
  <c r="Q49" i="77"/>
  <c r="C34" i="78"/>
  <c r="C31" i="78" s="1"/>
  <c r="F63" i="78"/>
  <c r="C62" i="78" s="1"/>
  <c r="J20" i="78"/>
  <c r="J13" i="82"/>
  <c r="J23" i="82" s="1"/>
  <c r="J22" i="82"/>
  <c r="C61" i="82"/>
  <c r="C59" i="82" s="1"/>
  <c r="C64" i="82"/>
  <c r="G3" i="43"/>
  <c r="G3" i="79"/>
  <c r="J13" i="77"/>
  <c r="J23" i="77" s="1"/>
  <c r="J22" i="77"/>
  <c r="R16" i="1"/>
  <c r="C43" i="68"/>
  <c r="C37" i="82"/>
  <c r="C30" i="82" s="1"/>
  <c r="C39" i="82" s="1"/>
  <c r="C75" i="82"/>
  <c r="C56" i="82"/>
  <c r="C65" i="82" s="1"/>
  <c r="Q70" i="82"/>
  <c r="Q48" i="82"/>
  <c r="L46" i="82"/>
  <c r="C36" i="78"/>
  <c r="J19" i="78"/>
  <c r="J17" i="78" s="1"/>
  <c r="J14" i="78"/>
  <c r="Q49" i="78"/>
  <c r="J59" i="78"/>
  <c r="J60" i="78" s="1"/>
  <c r="C57" i="78"/>
  <c r="C13" i="78"/>
  <c r="Q48" i="77"/>
  <c r="L46" i="77"/>
  <c r="C75" i="77"/>
  <c r="C56" i="77"/>
  <c r="C65" i="77" s="1"/>
  <c r="C58" i="77" s="1"/>
  <c r="C67" i="77" s="1"/>
  <c r="C68" i="77" s="1"/>
  <c r="Q70" i="77"/>
  <c r="C37" i="77"/>
  <c r="C30" i="77" s="1"/>
  <c r="C39" i="77" s="1"/>
  <c r="C25" i="69"/>
  <c r="C22" i="69" s="1"/>
  <c r="C28" i="69"/>
  <c r="C27" i="69" s="1"/>
  <c r="C41" i="68"/>
  <c r="C49" i="68" s="1"/>
  <c r="C51" i="68" s="1"/>
  <c r="N68" i="39"/>
  <c r="M70" i="39"/>
  <c r="N63" i="40"/>
  <c r="M65" i="40"/>
  <c r="M48" i="35"/>
  <c r="N48" i="35" s="1"/>
  <c r="O48" i="35" s="1"/>
  <c r="F7" i="35"/>
  <c r="E36" i="36"/>
  <c r="R37" i="36"/>
  <c r="C7" i="84"/>
  <c r="C5" i="84" s="1"/>
  <c r="J16" i="15"/>
  <c r="J25" i="15" s="1"/>
  <c r="C58" i="15"/>
  <c r="C67" i="15" s="1"/>
  <c r="C68" i="15" s="1"/>
  <c r="C71" i="15" s="1"/>
  <c r="Q67" i="15"/>
  <c r="Q69" i="15"/>
  <c r="Q68" i="15" s="1"/>
  <c r="C40" i="15"/>
  <c r="C80" i="15"/>
  <c r="C79" i="15" s="1"/>
  <c r="B30" i="74" l="1"/>
  <c r="F8" i="74"/>
  <c r="C31" i="69"/>
  <c r="C52" i="69" s="1"/>
  <c r="C71" i="77"/>
  <c r="B2" i="69"/>
  <c r="B3" i="69" s="1"/>
  <c r="C57" i="69"/>
  <c r="C56" i="69" s="1"/>
  <c r="C80" i="77"/>
  <c r="C79" i="77" s="1"/>
  <c r="Q69" i="77"/>
  <c r="Q68" i="77" s="1"/>
  <c r="C40" i="77"/>
  <c r="C75" i="78"/>
  <c r="C56" i="78"/>
  <c r="C65" i="78" s="1"/>
  <c r="C37" i="78"/>
  <c r="C30" i="78" s="1"/>
  <c r="C39" i="78" s="1"/>
  <c r="Q70" i="78"/>
  <c r="Q48" i="78"/>
  <c r="L46" i="78"/>
  <c r="J22" i="78"/>
  <c r="J13" i="78"/>
  <c r="J23" i="78" s="1"/>
  <c r="Q69" i="82"/>
  <c r="Q68" i="82" s="1"/>
  <c r="C40" i="82"/>
  <c r="E22" i="43"/>
  <c r="H22" i="43"/>
  <c r="C101" i="43"/>
  <c r="D101" i="43"/>
  <c r="M101" i="43"/>
  <c r="K101" i="43"/>
  <c r="I101" i="43"/>
  <c r="G101" i="43"/>
  <c r="E101" i="43"/>
  <c r="S6" i="43"/>
  <c r="T6" i="43" s="1"/>
  <c r="V6" i="43" s="1"/>
  <c r="N104" i="46"/>
  <c r="AI11" i="43"/>
  <c r="AI13" i="43" s="1"/>
  <c r="AG11" i="43"/>
  <c r="AG13" i="43" s="1"/>
  <c r="AE11" i="43"/>
  <c r="AE13" i="43" s="1"/>
  <c r="AC11" i="43"/>
  <c r="AC13" i="43" s="1"/>
  <c r="AA11" i="43"/>
  <c r="AA13" i="43" s="1"/>
  <c r="Y11" i="43"/>
  <c r="Y13" i="43" s="1"/>
  <c r="S7" i="43"/>
  <c r="T7" i="43" s="1"/>
  <c r="V7" i="43" s="1"/>
  <c r="S3" i="43"/>
  <c r="T3" i="43" s="1"/>
  <c r="V3" i="43" s="1"/>
  <c r="C23" i="43"/>
  <c r="F22" i="43"/>
  <c r="G22" i="43"/>
  <c r="B113" i="43"/>
  <c r="N101" i="43"/>
  <c r="L101" i="43"/>
  <c r="J101" i="43"/>
  <c r="H101" i="43"/>
  <c r="F101" i="43"/>
  <c r="J22" i="43"/>
  <c r="S4" i="43"/>
  <c r="T4" i="43" s="1"/>
  <c r="V4" i="43" s="1"/>
  <c r="AJ11" i="43"/>
  <c r="AJ13" i="43" s="1"/>
  <c r="AH11" i="43"/>
  <c r="AH13" i="43" s="1"/>
  <c r="AF11" i="43"/>
  <c r="AF13" i="43" s="1"/>
  <c r="AD11" i="43"/>
  <c r="AD13" i="43" s="1"/>
  <c r="AB11" i="43"/>
  <c r="AB13" i="43" s="1"/>
  <c r="Z11" i="43"/>
  <c r="Z13" i="43" s="1"/>
  <c r="Z7" i="43"/>
  <c r="S5" i="43"/>
  <c r="T5" i="43" s="1"/>
  <c r="V5" i="43" s="1"/>
  <c r="S2" i="43"/>
  <c r="T2" i="43" s="1"/>
  <c r="V2" i="43" s="1"/>
  <c r="C58" i="82"/>
  <c r="C67" i="82" s="1"/>
  <c r="C68" i="82" s="1"/>
  <c r="C64" i="78"/>
  <c r="C61" i="78"/>
  <c r="C59" i="78" s="1"/>
  <c r="J16" i="78"/>
  <c r="J25" i="78" s="1"/>
  <c r="C80" i="82"/>
  <c r="C79" i="82" s="1"/>
  <c r="J16" i="77"/>
  <c r="J25" i="77" s="1"/>
  <c r="J26" i="77" s="1"/>
  <c r="J29" i="77" s="1"/>
  <c r="G22" i="79"/>
  <c r="N101" i="79"/>
  <c r="L101" i="79"/>
  <c r="J101" i="79"/>
  <c r="H101" i="79"/>
  <c r="F101" i="79"/>
  <c r="D101" i="79"/>
  <c r="E22" i="79"/>
  <c r="H22" i="79"/>
  <c r="J22" i="79"/>
  <c r="Z7" i="79"/>
  <c r="S6" i="79"/>
  <c r="T6" i="79" s="1"/>
  <c r="V6" i="79" s="1"/>
  <c r="AJ11" i="79"/>
  <c r="AJ13" i="79" s="1"/>
  <c r="AH11" i="79"/>
  <c r="AH13" i="79" s="1"/>
  <c r="AF11" i="79"/>
  <c r="AF13" i="79" s="1"/>
  <c r="AD11" i="79"/>
  <c r="AD13" i="79" s="1"/>
  <c r="AB11" i="79"/>
  <c r="AB13" i="79" s="1"/>
  <c r="Z11" i="79"/>
  <c r="Z13" i="79" s="1"/>
  <c r="S3" i="79"/>
  <c r="T3" i="79" s="1"/>
  <c r="V3" i="79" s="1"/>
  <c r="B113" i="79"/>
  <c r="M101" i="79"/>
  <c r="K101" i="79"/>
  <c r="I101" i="79"/>
  <c r="G101" i="79"/>
  <c r="E101" i="79"/>
  <c r="C101" i="79"/>
  <c r="F22" i="79"/>
  <c r="C23" i="79"/>
  <c r="Y11" i="79"/>
  <c r="Y13" i="79" s="1"/>
  <c r="S7" i="79"/>
  <c r="T7" i="79" s="1"/>
  <c r="V7" i="79" s="1"/>
  <c r="S4" i="79"/>
  <c r="T4" i="79" s="1"/>
  <c r="V4" i="79" s="1"/>
  <c r="AI11" i="79"/>
  <c r="AI13" i="79" s="1"/>
  <c r="AG11" i="79"/>
  <c r="AG13" i="79" s="1"/>
  <c r="AE11" i="79"/>
  <c r="AE13" i="79" s="1"/>
  <c r="AC11" i="79"/>
  <c r="AC13" i="79" s="1"/>
  <c r="AA11" i="79"/>
  <c r="AA13" i="79" s="1"/>
  <c r="S5" i="79"/>
  <c r="T5" i="79" s="1"/>
  <c r="V5" i="79" s="1"/>
  <c r="S2" i="79"/>
  <c r="T2" i="79" s="1"/>
  <c r="V2" i="79" s="1"/>
  <c r="J16" i="82"/>
  <c r="J25" i="82" s="1"/>
  <c r="C37" i="36"/>
  <c r="B2" i="36" s="1"/>
  <c r="B3" i="36" s="1"/>
  <c r="C36" i="36"/>
  <c r="AA7" i="35"/>
  <c r="R38" i="35" s="1"/>
  <c r="S7" i="35"/>
  <c r="E41" i="36"/>
  <c r="F41" i="36" s="1"/>
  <c r="E40" i="36"/>
  <c r="F40" i="36" s="1"/>
  <c r="I41" i="36"/>
  <c r="J41" i="36" s="1"/>
  <c r="J7" i="35"/>
  <c r="H7" i="35"/>
  <c r="O63" i="40"/>
  <c r="O65" i="40" s="1"/>
  <c r="N65" i="40"/>
  <c r="O68" i="39"/>
  <c r="O70" i="39" s="1"/>
  <c r="N70" i="39"/>
  <c r="C23" i="84"/>
  <c r="C20" i="84"/>
  <c r="C25" i="84" s="1"/>
  <c r="C46" i="15"/>
  <c r="Q65" i="15"/>
  <c r="Q75" i="15" s="1"/>
  <c r="B2" i="15"/>
  <c r="C43" i="15"/>
  <c r="Q56" i="15"/>
  <c r="Q62" i="15" s="1"/>
  <c r="Q47" i="15"/>
  <c r="Q53" i="15" s="1"/>
  <c r="C83" i="15"/>
  <c r="C82" i="15" s="1"/>
  <c r="L51" i="77"/>
  <c r="L51" i="82"/>
  <c r="AO7" i="1"/>
  <c r="Q67" i="82" l="1"/>
  <c r="Q67" i="77"/>
  <c r="C107" i="79"/>
  <c r="C105" i="79"/>
  <c r="C103" i="79"/>
  <c r="C109" i="79"/>
  <c r="C106" i="79"/>
  <c r="C104" i="79"/>
  <c r="C102" i="79"/>
  <c r="G107" i="79"/>
  <c r="G105" i="79"/>
  <c r="G103" i="79"/>
  <c r="G109" i="79"/>
  <c r="G106" i="79"/>
  <c r="G104" i="79"/>
  <c r="G102" i="79"/>
  <c r="K107" i="79"/>
  <c r="K105" i="79"/>
  <c r="K103" i="79"/>
  <c r="K109" i="79"/>
  <c r="K106" i="79"/>
  <c r="K104" i="79"/>
  <c r="K102" i="79"/>
  <c r="D118" i="79"/>
  <c r="E118" i="79" s="1"/>
  <c r="F118" i="79" s="1"/>
  <c r="D116" i="79"/>
  <c r="E116" i="79" s="1"/>
  <c r="F116" i="79" s="1"/>
  <c r="G116" i="79" s="1"/>
  <c r="H116" i="79" s="1"/>
  <c r="I118" i="79"/>
  <c r="J118" i="79" s="1"/>
  <c r="K118" i="79" s="1"/>
  <c r="L118" i="79" s="1"/>
  <c r="M118" i="79" s="1"/>
  <c r="I117" i="79"/>
  <c r="J117" i="79" s="1"/>
  <c r="K117" i="79" s="1"/>
  <c r="L117" i="79" s="1"/>
  <c r="M117" i="79" s="1"/>
  <c r="I116" i="79"/>
  <c r="J116" i="79" s="1"/>
  <c r="K116" i="79" s="1"/>
  <c r="L116" i="79" s="1"/>
  <c r="M116" i="79" s="1"/>
  <c r="I115" i="79"/>
  <c r="J115" i="79" s="1"/>
  <c r="K115" i="79" s="1"/>
  <c r="L115" i="79" s="1"/>
  <c r="M115" i="79" s="1"/>
  <c r="G118" i="79"/>
  <c r="H118" i="79" s="1"/>
  <c r="D117" i="79"/>
  <c r="E117" i="79" s="1"/>
  <c r="F117" i="79" s="1"/>
  <c r="G117" i="79" s="1"/>
  <c r="H117" i="79" s="1"/>
  <c r="D115" i="79"/>
  <c r="E115" i="79" s="1"/>
  <c r="F115" i="79" s="1"/>
  <c r="G115" i="79" s="1"/>
  <c r="H115" i="79" s="1"/>
  <c r="B118" i="79"/>
  <c r="C118" i="79" s="1"/>
  <c r="B117" i="79"/>
  <c r="C117" i="79" s="1"/>
  <c r="B116" i="79"/>
  <c r="C116" i="79" s="1"/>
  <c r="B115" i="79"/>
  <c r="D22" i="79"/>
  <c r="C21" i="79" s="1"/>
  <c r="F106" i="79"/>
  <c r="F102" i="79"/>
  <c r="F109" i="79"/>
  <c r="F105" i="79"/>
  <c r="F103" i="79"/>
  <c r="F107" i="79"/>
  <c r="F104" i="79"/>
  <c r="J107" i="79"/>
  <c r="J106" i="79"/>
  <c r="J102" i="79"/>
  <c r="J109" i="79"/>
  <c r="J105" i="79"/>
  <c r="J103" i="79"/>
  <c r="J104" i="79"/>
  <c r="N107" i="79"/>
  <c r="N104" i="79"/>
  <c r="N102" i="79"/>
  <c r="N106" i="79"/>
  <c r="N105" i="79"/>
  <c r="N103" i="79"/>
  <c r="N109" i="79"/>
  <c r="H107" i="43"/>
  <c r="H103" i="43"/>
  <c r="H106" i="43"/>
  <c r="H104" i="43"/>
  <c r="H102" i="43"/>
  <c r="H105" i="43"/>
  <c r="H109" i="43"/>
  <c r="L107" i="43"/>
  <c r="L103" i="43"/>
  <c r="L106" i="43"/>
  <c r="L104" i="43"/>
  <c r="L102" i="43"/>
  <c r="L105" i="43"/>
  <c r="L109" i="43"/>
  <c r="I115" i="43"/>
  <c r="J115" i="43" s="1"/>
  <c r="K115" i="43" s="1"/>
  <c r="L115" i="43" s="1"/>
  <c r="M115" i="43" s="1"/>
  <c r="B118" i="43"/>
  <c r="C118" i="43" s="1"/>
  <c r="D118" i="43"/>
  <c r="E118" i="43" s="1"/>
  <c r="F118" i="43" s="1"/>
  <c r="I116" i="43"/>
  <c r="J116" i="43" s="1"/>
  <c r="K116" i="43" s="1"/>
  <c r="L116" i="43" s="1"/>
  <c r="M116" i="43" s="1"/>
  <c r="B115" i="43"/>
  <c r="B117" i="43"/>
  <c r="C117" i="43" s="1"/>
  <c r="D115" i="43"/>
  <c r="E115" i="43" s="1"/>
  <c r="F115" i="43" s="1"/>
  <c r="G115" i="43" s="1"/>
  <c r="H115" i="43" s="1"/>
  <c r="D117" i="43"/>
  <c r="E117" i="43" s="1"/>
  <c r="F117" i="43" s="1"/>
  <c r="G117" i="43" s="1"/>
  <c r="H117" i="43" s="1"/>
  <c r="G118" i="43"/>
  <c r="H118" i="43" s="1"/>
  <c r="I117" i="43"/>
  <c r="J117" i="43" s="1"/>
  <c r="K117" i="43" s="1"/>
  <c r="L117" i="43" s="1"/>
  <c r="M117" i="43" s="1"/>
  <c r="B116" i="43"/>
  <c r="C116" i="43" s="1"/>
  <c r="D116" i="43"/>
  <c r="E116" i="43" s="1"/>
  <c r="F116" i="43" s="1"/>
  <c r="G116" i="43" s="1"/>
  <c r="H116" i="43" s="1"/>
  <c r="I118" i="43"/>
  <c r="J118" i="43" s="1"/>
  <c r="K118" i="43" s="1"/>
  <c r="L118" i="43" s="1"/>
  <c r="M118" i="43" s="1"/>
  <c r="E105" i="43"/>
  <c r="E109" i="43"/>
  <c r="E106" i="43"/>
  <c r="E104" i="43"/>
  <c r="E102" i="43"/>
  <c r="E107" i="43"/>
  <c r="E103" i="43"/>
  <c r="I105" i="43"/>
  <c r="I109" i="43"/>
  <c r="I106" i="43"/>
  <c r="I104" i="43"/>
  <c r="I102" i="43"/>
  <c r="I107" i="43"/>
  <c r="I103" i="43"/>
  <c r="M105" i="43"/>
  <c r="M109" i="43"/>
  <c r="M106" i="43"/>
  <c r="M104" i="43"/>
  <c r="M102" i="43"/>
  <c r="M107" i="43"/>
  <c r="M103" i="43"/>
  <c r="C102" i="43"/>
  <c r="C103" i="43"/>
  <c r="C107" i="43"/>
  <c r="C104" i="43"/>
  <c r="C109" i="43"/>
  <c r="C105" i="43"/>
  <c r="C106" i="43"/>
  <c r="D22" i="43"/>
  <c r="C21" i="43" s="1"/>
  <c r="B2" i="77"/>
  <c r="Q65" i="77"/>
  <c r="Q75" i="77" s="1"/>
  <c r="C83" i="77"/>
  <c r="C82" i="77" s="1"/>
  <c r="Q47" i="77"/>
  <c r="Q53" i="77" s="1"/>
  <c r="C43" i="77"/>
  <c r="Q56" i="77"/>
  <c r="Q62" i="77" s="1"/>
  <c r="C46" i="77"/>
  <c r="E107" i="79"/>
  <c r="E106" i="79"/>
  <c r="E104" i="79"/>
  <c r="E102" i="79"/>
  <c r="E109" i="79"/>
  <c r="E105" i="79"/>
  <c r="E103" i="79"/>
  <c r="I107" i="79"/>
  <c r="I106" i="79"/>
  <c r="I104" i="79"/>
  <c r="I102" i="79"/>
  <c r="I109" i="79"/>
  <c r="I105" i="79"/>
  <c r="I103" i="79"/>
  <c r="M107" i="79"/>
  <c r="M109" i="79"/>
  <c r="M104" i="79"/>
  <c r="M102" i="79"/>
  <c r="M106" i="79"/>
  <c r="M105" i="79"/>
  <c r="M103" i="79"/>
  <c r="D105" i="79"/>
  <c r="D103" i="79"/>
  <c r="D107" i="79"/>
  <c r="D106" i="79"/>
  <c r="D104" i="79"/>
  <c r="D102" i="79"/>
  <c r="D109" i="79"/>
  <c r="H105" i="79"/>
  <c r="H103" i="79"/>
  <c r="H107" i="79"/>
  <c r="H106" i="79"/>
  <c r="H104" i="79"/>
  <c r="H102" i="79"/>
  <c r="H109" i="79"/>
  <c r="L105" i="79"/>
  <c r="L107" i="79"/>
  <c r="L109" i="79"/>
  <c r="L104" i="79"/>
  <c r="L102" i="79"/>
  <c r="L106" i="79"/>
  <c r="L103" i="79"/>
  <c r="C58" i="78"/>
  <c r="C67" i="78" s="1"/>
  <c r="C68" i="78" s="1"/>
  <c r="C46" i="82"/>
  <c r="C71" i="82"/>
  <c r="F104" i="43"/>
  <c r="F107" i="43"/>
  <c r="F105" i="43"/>
  <c r="F103" i="43"/>
  <c r="F109" i="43"/>
  <c r="F106" i="43"/>
  <c r="F102" i="43"/>
  <c r="J106" i="43"/>
  <c r="J104" i="43"/>
  <c r="J107" i="43"/>
  <c r="J105" i="43"/>
  <c r="J103" i="43"/>
  <c r="J109" i="43"/>
  <c r="J102" i="43"/>
  <c r="N106" i="43"/>
  <c r="N104" i="43"/>
  <c r="N107" i="43"/>
  <c r="N105" i="43"/>
  <c r="N103" i="43"/>
  <c r="N109" i="43"/>
  <c r="N102" i="43"/>
  <c r="G109" i="43"/>
  <c r="G102" i="43"/>
  <c r="G107" i="43"/>
  <c r="G105" i="43"/>
  <c r="G103" i="43"/>
  <c r="G106" i="43"/>
  <c r="G104" i="43"/>
  <c r="K109" i="43"/>
  <c r="K102" i="43"/>
  <c r="K107" i="43"/>
  <c r="K105" i="43"/>
  <c r="K103" i="43"/>
  <c r="K106" i="43"/>
  <c r="K104" i="43"/>
  <c r="D102" i="43"/>
  <c r="D107" i="43"/>
  <c r="D104" i="43"/>
  <c r="D109" i="43"/>
  <c r="D105" i="43"/>
  <c r="D106" i="43"/>
  <c r="D103" i="43"/>
  <c r="Q47" i="82"/>
  <c r="Q53" i="82" s="1"/>
  <c r="C83" i="82"/>
  <c r="C82" i="82" s="1"/>
  <c r="B2" i="82"/>
  <c r="Q65" i="82"/>
  <c r="Q75" i="82" s="1"/>
  <c r="Q56" i="82"/>
  <c r="Q62" i="82" s="1"/>
  <c r="C43" i="82"/>
  <c r="C40" i="78"/>
  <c r="Q69" i="78"/>
  <c r="Q68" i="78" s="1"/>
  <c r="C80" i="78"/>
  <c r="C79" i="78" s="1"/>
  <c r="J7" i="39"/>
  <c r="H7" i="39"/>
  <c r="F7" i="39"/>
  <c r="H7" i="40"/>
  <c r="J7" i="40"/>
  <c r="F7" i="40"/>
  <c r="W7" i="35"/>
  <c r="AC7" i="35"/>
  <c r="V38" i="35" s="1"/>
  <c r="I38" i="35" s="1"/>
  <c r="AB7" i="35"/>
  <c r="T38" i="35" s="1"/>
  <c r="G38" i="35" s="1"/>
  <c r="U7" i="35"/>
  <c r="E38" i="35"/>
  <c r="R39" i="35"/>
  <c r="C28" i="84"/>
  <c r="C27" i="84" s="1"/>
  <c r="C22" i="84"/>
  <c r="B7" i="70"/>
  <c r="B3" i="15"/>
  <c r="AO8" i="1"/>
  <c r="E2" i="68"/>
  <c r="E2" i="84"/>
  <c r="E2" i="83"/>
  <c r="AO9" i="1"/>
  <c r="L51" i="78"/>
  <c r="D19" i="85"/>
  <c r="Q67" i="78" l="1"/>
  <c r="B9" i="70"/>
  <c r="B8" i="70"/>
  <c r="C71" i="78"/>
  <c r="C46" i="78"/>
  <c r="C29" i="43"/>
  <c r="D113" i="79"/>
  <c r="C115" i="79"/>
  <c r="Q56" i="78"/>
  <c r="Q62" i="78" s="1"/>
  <c r="B2" i="78"/>
  <c r="C43" i="78"/>
  <c r="Q65" i="78"/>
  <c r="Q75" i="78" s="1"/>
  <c r="C83" i="78"/>
  <c r="C82" i="78" s="1"/>
  <c r="Q47" i="78"/>
  <c r="Q53" i="78" s="1"/>
  <c r="B3" i="82"/>
  <c r="B3" i="77"/>
  <c r="D113" i="43"/>
  <c r="C115" i="43"/>
  <c r="C29" i="79"/>
  <c r="E43" i="35"/>
  <c r="F43" i="35" s="1"/>
  <c r="E42" i="35"/>
  <c r="F42" i="35" s="1"/>
  <c r="G42" i="35"/>
  <c r="H42" i="35" s="1"/>
  <c r="G43" i="35"/>
  <c r="H43" i="35" s="1"/>
  <c r="C39" i="35"/>
  <c r="B2" i="35" s="1"/>
  <c r="B3" i="35" s="1"/>
  <c r="C38" i="35"/>
  <c r="I43" i="35"/>
  <c r="J43" i="35" s="1"/>
  <c r="I42" i="35"/>
  <c r="J42" i="35" s="1"/>
  <c r="S7" i="40"/>
  <c r="AA7" i="40"/>
  <c r="R42" i="40" s="1"/>
  <c r="U7" i="40"/>
  <c r="AB7" i="40"/>
  <c r="T42" i="40" s="1"/>
  <c r="G42" i="40" s="1"/>
  <c r="AB7" i="39"/>
  <c r="T47" i="39" s="1"/>
  <c r="G47" i="39" s="1"/>
  <c r="U7" i="39"/>
  <c r="AC7" i="40"/>
  <c r="V42" i="40" s="1"/>
  <c r="I42" i="40" s="1"/>
  <c r="W7" i="40"/>
  <c r="AA7" i="39"/>
  <c r="R47" i="39" s="1"/>
  <c r="S7" i="39"/>
  <c r="AC7" i="39"/>
  <c r="V47" i="39" s="1"/>
  <c r="I47" i="39" s="1"/>
  <c r="W7" i="39"/>
  <c r="C31" i="84"/>
  <c r="D102" i="85"/>
  <c r="D21" i="85"/>
  <c r="D19" i="86"/>
  <c r="AO6" i="1"/>
  <c r="D20" i="85"/>
  <c r="B6" i="70" l="1"/>
  <c r="B2" i="70" s="1"/>
  <c r="D102" i="86"/>
  <c r="D21" i="86"/>
  <c r="C30" i="79"/>
  <c r="E30" i="79" s="1"/>
  <c r="C27" i="79" s="1"/>
  <c r="E29" i="79"/>
  <c r="C26" i="79" s="1"/>
  <c r="B3" i="78"/>
  <c r="E29" i="43"/>
  <c r="C30" i="43"/>
  <c r="E30" i="43" s="1"/>
  <c r="C27" i="43" s="1"/>
  <c r="E47" i="39"/>
  <c r="I52" i="39" s="1"/>
  <c r="J52" i="39" s="1"/>
  <c r="R48" i="39"/>
  <c r="G51" i="39"/>
  <c r="H51" i="39" s="1"/>
  <c r="G52" i="39"/>
  <c r="H52" i="39" s="1"/>
  <c r="G47" i="40"/>
  <c r="H47" i="40" s="1"/>
  <c r="G46" i="40"/>
  <c r="H46" i="40" s="1"/>
  <c r="R43" i="40"/>
  <c r="E42" i="40"/>
  <c r="I51" i="39"/>
  <c r="J51" i="39" s="1"/>
  <c r="I47" i="40"/>
  <c r="J47" i="40" s="1"/>
  <c r="I46" i="40"/>
  <c r="J46" i="40" s="1"/>
  <c r="C52" i="84"/>
  <c r="D103" i="85"/>
  <c r="D19" i="9"/>
  <c r="D20" i="86"/>
  <c r="E6" i="76"/>
  <c r="D103" i="86" l="1"/>
  <c r="D102" i="9"/>
  <c r="D21" i="9"/>
  <c r="C26" i="43"/>
  <c r="C6" i="83"/>
  <c r="C7" i="83" s="1"/>
  <c r="C5" i="83" s="1"/>
  <c r="B2" i="79"/>
  <c r="B3" i="70"/>
  <c r="E46" i="40"/>
  <c r="F46" i="40" s="1"/>
  <c r="E47" i="40"/>
  <c r="F47" i="40" s="1"/>
  <c r="C47" i="39"/>
  <c r="C48" i="39"/>
  <c r="C43" i="40"/>
  <c r="C42" i="40"/>
  <c r="E52" i="39"/>
  <c r="F52" i="39" s="1"/>
  <c r="E51" i="39"/>
  <c r="F51" i="39" s="1"/>
  <c r="B2" i="84"/>
  <c r="C57" i="84"/>
  <c r="C56" i="84" s="1"/>
  <c r="E7" i="76"/>
  <c r="B6" i="76"/>
  <c r="C19" i="86"/>
  <c r="D20" i="9"/>
  <c r="B3" i="84"/>
  <c r="D35" i="86" s="1"/>
  <c r="D34" i="86"/>
  <c r="D103" i="9" l="1"/>
  <c r="E2" i="76"/>
  <c r="C20" i="83"/>
  <c r="C25" i="83" s="1"/>
  <c r="C23" i="83"/>
  <c r="C28" i="83"/>
  <c r="C27" i="83" s="1"/>
  <c r="B3" i="79"/>
  <c r="B2" i="43"/>
  <c r="B56" i="39"/>
  <c r="F56" i="39" s="1"/>
  <c r="B65" i="39"/>
  <c r="F65" i="39" s="1"/>
  <c r="B61" i="39"/>
  <c r="F61" i="39" s="1"/>
  <c r="B60" i="39"/>
  <c r="F60" i="39" s="1"/>
  <c r="B62" i="39"/>
  <c r="F62" i="39" s="1"/>
  <c r="B63" i="39"/>
  <c r="F63" i="39" s="1"/>
  <c r="B58" i="39"/>
  <c r="F58" i="39" s="1"/>
  <c r="B59" i="39"/>
  <c r="F59" i="39" s="1"/>
  <c r="B64" i="39"/>
  <c r="F64" i="39" s="1"/>
  <c r="B57" i="39"/>
  <c r="F57" i="39" s="1"/>
  <c r="B57" i="40"/>
  <c r="F57" i="40" s="1"/>
  <c r="B53" i="40"/>
  <c r="F53" i="40" s="1"/>
  <c r="B60" i="40"/>
  <c r="F60" i="40" s="1"/>
  <c r="B56" i="40"/>
  <c r="F56" i="40" s="1"/>
  <c r="B52" i="40"/>
  <c r="F52" i="40" s="1"/>
  <c r="B59" i="40"/>
  <c r="F59" i="40" s="1"/>
  <c r="B55" i="40"/>
  <c r="F55" i="40" s="1"/>
  <c r="F61" i="40"/>
  <c r="B2" i="40" s="1"/>
  <c r="B3" i="40" s="1"/>
  <c r="B58" i="40"/>
  <c r="F58" i="40" s="1"/>
  <c r="B54" i="40"/>
  <c r="F54" i="40" s="1"/>
  <c r="B51" i="40"/>
  <c r="F51" i="40" s="1"/>
  <c r="C102" i="86"/>
  <c r="G19" i="86"/>
  <c r="C21" i="86"/>
  <c r="D22" i="86"/>
  <c r="B7" i="76"/>
  <c r="C20" i="86"/>
  <c r="B2" i="76" l="1"/>
  <c r="B3" i="43"/>
  <c r="C22" i="83"/>
  <c r="C31" i="83" s="1"/>
  <c r="F66" i="39"/>
  <c r="B2" i="39" s="1"/>
  <c r="B3" i="39" s="1"/>
  <c r="G20" i="86"/>
  <c r="C103" i="86"/>
  <c r="D16" i="74"/>
  <c r="K23" i="86"/>
  <c r="K24" i="86"/>
  <c r="G21" i="86"/>
  <c r="C32" i="86"/>
  <c r="C52" i="83" l="1"/>
  <c r="F7" i="74"/>
  <c r="B3" i="76"/>
  <c r="C6" i="68"/>
  <c r="C7" i="68" s="1"/>
  <c r="C5" i="68" s="1"/>
  <c r="E11" i="74"/>
  <c r="H11" i="74" s="1"/>
  <c r="G16" i="74"/>
  <c r="L23" i="86"/>
  <c r="K25" i="86"/>
  <c r="L25" i="86" s="1"/>
  <c r="N25" i="86" s="1"/>
  <c r="C35" i="86"/>
  <c r="F118" i="86" s="1"/>
  <c r="H118" i="86"/>
  <c r="M29" i="86"/>
  <c r="M30" i="86" s="1"/>
  <c r="L24" i="86"/>
  <c r="E16" i="74"/>
  <c r="F11" i="74" s="1"/>
  <c r="F16" i="74"/>
  <c r="C20" i="68" l="1"/>
  <c r="C25" i="68" s="1"/>
  <c r="C23" i="68"/>
  <c r="C28" i="68"/>
  <c r="C27" i="68" s="1"/>
  <c r="B2" i="83"/>
  <c r="C57" i="83"/>
  <c r="C56" i="83" s="1"/>
  <c r="F6" i="74"/>
  <c r="A30" i="74"/>
  <c r="F119" i="86"/>
  <c r="G118" i="86"/>
  <c r="I118" i="86"/>
  <c r="H119" i="86"/>
  <c r="C104" i="86"/>
  <c r="H101" i="86"/>
  <c r="C34" i="86"/>
  <c r="D118" i="86" s="1"/>
  <c r="C19" i="85"/>
  <c r="D22" i="85" l="1"/>
  <c r="G19" i="85"/>
  <c r="C102" i="85"/>
  <c r="C21" i="85"/>
  <c r="C30" i="74"/>
  <c r="B31" i="74"/>
  <c r="C31" i="74" s="1"/>
  <c r="C31" i="68"/>
  <c r="C52" i="68" s="1"/>
  <c r="C22" i="68"/>
  <c r="D119" i="86"/>
  <c r="H107" i="86"/>
  <c r="M48" i="86"/>
  <c r="D45" i="86"/>
  <c r="C105" i="86"/>
  <c r="E118" i="86"/>
  <c r="H102" i="86"/>
  <c r="B3" i="83"/>
  <c r="D35" i="85"/>
  <c r="D34" i="85"/>
  <c r="C20" i="85"/>
  <c r="C103" i="85" l="1"/>
  <c r="G20" i="85"/>
  <c r="C57" i="68"/>
  <c r="C56" i="68" s="1"/>
  <c r="B2" i="68"/>
  <c r="D15" i="74"/>
  <c r="K24" i="85"/>
  <c r="C32" i="85"/>
  <c r="G21" i="85"/>
  <c r="K23" i="85"/>
  <c r="L23" i="85" s="1"/>
  <c r="C78" i="86"/>
  <c r="C73" i="86" s="1"/>
  <c r="C93" i="86"/>
  <c r="C86" i="86" s="1"/>
  <c r="C72" i="86"/>
  <c r="C79" i="86" s="1"/>
  <c r="C80" i="86" s="1"/>
  <c r="E80" i="86" s="1"/>
  <c r="E81" i="86" s="1"/>
  <c r="D55" i="86"/>
  <c r="M53" i="86" s="1"/>
  <c r="D52" i="86"/>
  <c r="C85" i="86"/>
  <c r="C64" i="86"/>
  <c r="C63" i="86" s="1"/>
  <c r="C67" i="86" s="1"/>
  <c r="C68" i="86" s="1"/>
  <c r="D54" i="86" s="1"/>
  <c r="D53" i="86"/>
  <c r="H108" i="86"/>
  <c r="D122" i="86"/>
  <c r="D123" i="86" s="1"/>
  <c r="M49" i="86"/>
  <c r="C19" i="9"/>
  <c r="K25" i="85" l="1"/>
  <c r="L25" i="85" s="1"/>
  <c r="N25" i="85" s="1"/>
  <c r="D22" i="9"/>
  <c r="C21" i="9"/>
  <c r="C102" i="9"/>
  <c r="G19" i="9"/>
  <c r="M29" i="85"/>
  <c r="M30" i="85" s="1"/>
  <c r="L24" i="85"/>
  <c r="B3" i="68"/>
  <c r="H118" i="85"/>
  <c r="C35" i="85"/>
  <c r="F118" i="85" s="1"/>
  <c r="C34" i="85"/>
  <c r="D118" i="85" s="1"/>
  <c r="E10" i="74"/>
  <c r="G10" i="74" s="1"/>
  <c r="E15" i="74"/>
  <c r="F10" i="74" s="1"/>
  <c r="G15" i="74"/>
  <c r="F15" i="74"/>
  <c r="C81" i="86"/>
  <c r="C95" i="86"/>
  <c r="L65" i="86"/>
  <c r="M65" i="86" s="1"/>
  <c r="L68" i="86"/>
  <c r="M68" i="86" s="1"/>
  <c r="L63" i="86"/>
  <c r="M63" i="86" s="1"/>
  <c r="L66" i="86"/>
  <c r="M66" i="86" s="1"/>
  <c r="L64" i="86"/>
  <c r="M64" i="86" s="1"/>
  <c r="L67" i="86"/>
  <c r="M67" i="86" s="1"/>
  <c r="D35" i="9"/>
  <c r="D34" i="9"/>
  <c r="C20" i="9"/>
  <c r="C103" i="9" l="1"/>
  <c r="G20" i="9"/>
  <c r="D119" i="85"/>
  <c r="C25" i="74"/>
  <c r="I118" i="85"/>
  <c r="H119" i="85"/>
  <c r="C104" i="85"/>
  <c r="H101" i="85"/>
  <c r="K24" i="9"/>
  <c r="G21" i="9"/>
  <c r="K23" i="9"/>
  <c r="L23" i="9" s="1"/>
  <c r="C32" i="9"/>
  <c r="K25" i="9"/>
  <c r="L25" i="9" s="1"/>
  <c r="N25" i="9" s="1"/>
  <c r="F119" i="85"/>
  <c r="G118" i="85"/>
  <c r="B25" i="74"/>
  <c r="B26" i="74" s="1"/>
  <c r="C96" i="86"/>
  <c r="E96" i="86" s="1"/>
  <c r="E97" i="86" s="1"/>
  <c r="M69" i="86"/>
  <c r="N69" i="86" s="1"/>
  <c r="H118" i="9" l="1"/>
  <c r="C35" i="9"/>
  <c r="F118" i="9" s="1"/>
  <c r="D45" i="85"/>
  <c r="H107" i="85"/>
  <c r="M48" i="85"/>
  <c r="M29" i="9"/>
  <c r="M30" i="9" s="1"/>
  <c r="L24" i="9"/>
  <c r="E118" i="85"/>
  <c r="H102" i="85"/>
  <c r="C105" i="85"/>
  <c r="C97" i="86"/>
  <c r="D58" i="86" s="1"/>
  <c r="D56" i="86" s="1"/>
  <c r="M54" i="86" s="1"/>
  <c r="N57" i="86" s="1"/>
  <c r="G7" i="74"/>
  <c r="G8" i="74" s="1"/>
  <c r="D52" i="85" l="1"/>
  <c r="C85" i="85"/>
  <c r="C64" i="85"/>
  <c r="C63" i="85" s="1"/>
  <c r="C67" i="85" s="1"/>
  <c r="C68" i="85" s="1"/>
  <c r="D54" i="85" s="1"/>
  <c r="D53" i="85"/>
  <c r="C78" i="85"/>
  <c r="C73" i="85" s="1"/>
  <c r="C93" i="85"/>
  <c r="C86" i="85" s="1"/>
  <c r="C72" i="85"/>
  <c r="C79" i="85" s="1"/>
  <c r="D55" i="85"/>
  <c r="M53" i="85" s="1"/>
  <c r="F4" i="52"/>
  <c r="B51" i="72" s="1"/>
  <c r="F119" i="9"/>
  <c r="F5" i="52" s="1"/>
  <c r="B53" i="72" s="1"/>
  <c r="G118" i="9"/>
  <c r="G4" i="52" s="1"/>
  <c r="B52" i="72" s="1"/>
  <c r="D122" i="85"/>
  <c r="D123" i="85" s="1"/>
  <c r="M49" i="85"/>
  <c r="H108" i="85"/>
  <c r="C34" i="9"/>
  <c r="D118" i="9" s="1"/>
  <c r="C104" i="9"/>
  <c r="H101" i="9"/>
  <c r="H4" i="52"/>
  <c r="I118" i="9"/>
  <c r="H119" i="9"/>
  <c r="H5" i="52" s="1"/>
  <c r="P57" i="86"/>
  <c r="N58" i="86"/>
  <c r="N59" i="86"/>
  <c r="D14" i="74"/>
  <c r="C95" i="85" l="1"/>
  <c r="I4" i="52"/>
  <c r="H102" i="9"/>
  <c r="D7" i="53" s="1"/>
  <c r="B21" i="72" s="1"/>
  <c r="C105" i="9"/>
  <c r="E118" i="9"/>
  <c r="E4" i="52" s="1"/>
  <c r="B48" i="72" s="1"/>
  <c r="D5" i="53"/>
  <c r="M48" i="9"/>
  <c r="H107" i="9"/>
  <c r="D45" i="9"/>
  <c r="D4" i="52"/>
  <c r="B47" i="72" s="1"/>
  <c r="D119" i="9"/>
  <c r="D5" i="52" s="1"/>
  <c r="B49" i="72" s="1"/>
  <c r="L66" i="85"/>
  <c r="M66" i="85" s="1"/>
  <c r="L64" i="85"/>
  <c r="M64" i="85" s="1"/>
  <c r="L67" i="85"/>
  <c r="M67" i="85" s="1"/>
  <c r="L65" i="85"/>
  <c r="M65" i="85" s="1"/>
  <c r="L68" i="85"/>
  <c r="M68" i="85" s="1"/>
  <c r="L63" i="85"/>
  <c r="M63" i="85" s="1"/>
  <c r="C80" i="85"/>
  <c r="E80" i="85" s="1"/>
  <c r="E81" i="85" s="1"/>
  <c r="C81" i="85"/>
  <c r="N60" i="86"/>
  <c r="N61" i="86"/>
  <c r="G14" i="74"/>
  <c r="F4" i="74"/>
  <c r="E14" i="74"/>
  <c r="F9" i="74" s="1"/>
  <c r="E9" i="74"/>
  <c r="E12" i="74" s="1"/>
  <c r="B5" i="74"/>
  <c r="F14" i="74"/>
  <c r="D122" i="9" l="1"/>
  <c r="D13" i="53"/>
  <c r="H108" i="9"/>
  <c r="D15" i="53" s="1"/>
  <c r="B31" i="72" s="1"/>
  <c r="M49" i="9"/>
  <c r="D6" i="53"/>
  <c r="B22" i="72" s="1"/>
  <c r="B20" i="72"/>
  <c r="M69" i="85"/>
  <c r="N69" i="85" s="1"/>
  <c r="D52" i="9"/>
  <c r="C93" i="9"/>
  <c r="C86" i="9" s="1"/>
  <c r="D53" i="9"/>
  <c r="C72" i="9"/>
  <c r="C85" i="9"/>
  <c r="C64" i="9"/>
  <c r="C63" i="9" s="1"/>
  <c r="C67" i="9" s="1"/>
  <c r="C68" i="9" s="1"/>
  <c r="D54" i="9" s="1"/>
  <c r="C78" i="9"/>
  <c r="C73" i="9" s="1"/>
  <c r="D55" i="9"/>
  <c r="M53" i="9" s="1"/>
  <c r="C96" i="85"/>
  <c r="E96" i="85" s="1"/>
  <c r="E97" i="85" s="1"/>
  <c r="O62" i="79"/>
  <c r="G25" i="74"/>
  <c r="B27" i="74" s="1"/>
  <c r="B6" i="74"/>
  <c r="C6" i="74" s="1"/>
  <c r="G4" i="74"/>
  <c r="F12" i="74" s="1"/>
  <c r="H7" i="74"/>
  <c r="I7" i="74" s="1"/>
  <c r="C5" i="74"/>
  <c r="C26" i="74" s="1"/>
  <c r="D5" i="74"/>
  <c r="C95" i="9" l="1"/>
  <c r="C96" i="9" s="1"/>
  <c r="E96" i="9" s="1"/>
  <c r="E97" i="9" s="1"/>
  <c r="L63" i="9"/>
  <c r="M63" i="9" s="1"/>
  <c r="L65" i="9"/>
  <c r="M65" i="9" s="1"/>
  <c r="L67" i="9"/>
  <c r="M67" i="9" s="1"/>
  <c r="L64" i="9"/>
  <c r="M64" i="9" s="1"/>
  <c r="L66" i="9"/>
  <c r="M66" i="9" s="1"/>
  <c r="L68" i="9"/>
  <c r="M68" i="9" s="1"/>
  <c r="B30" i="72"/>
  <c r="D14" i="53"/>
  <c r="B32" i="72" s="1"/>
  <c r="C97" i="85"/>
  <c r="D58" i="85" s="1"/>
  <c r="D56" i="85" s="1"/>
  <c r="M54" i="85" s="1"/>
  <c r="N57" i="85" s="1"/>
  <c r="C79" i="9"/>
  <c r="D8" i="52"/>
  <c r="D123" i="9"/>
  <c r="D9" i="52" s="1"/>
  <c r="B32" i="74"/>
  <c r="C32" i="74" s="1"/>
  <c r="E27" i="1"/>
  <c r="D6" i="74"/>
  <c r="H8" i="74"/>
  <c r="I8" i="74"/>
  <c r="C80" i="9" l="1"/>
  <c r="E80" i="9" s="1"/>
  <c r="E81" i="9" s="1"/>
  <c r="M69" i="9"/>
  <c r="N69" i="9" s="1"/>
  <c r="P57" i="85"/>
  <c r="N58" i="85"/>
  <c r="N59" i="85"/>
  <c r="C97" i="9"/>
  <c r="D58" i="9" s="1"/>
  <c r="D56" i="9" s="1"/>
  <c r="M54" i="9" s="1"/>
  <c r="N57" i="9" s="1"/>
  <c r="C81" i="9" l="1"/>
  <c r="N61" i="85"/>
  <c r="N60" i="85"/>
  <c r="P57" i="9"/>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10"/>
            <color indexed="81"/>
            <rFont val="宋体"/>
            <family val="3"/>
            <charset val="134"/>
          </rPr>
          <t xml:space="preserve">
</t>
        </r>
        <r>
          <rPr>
            <sz val="10"/>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sharedStrings.xml><?xml version="1.0" encoding="utf-8"?>
<sst xmlns="http://schemas.openxmlformats.org/spreadsheetml/2006/main" count="10099" uniqueCount="3350">
  <si>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</si>
  <si>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</si>
  <si>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</si>
  <si>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</si>
  <si>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</si>
  <si>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</si>
  <si>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</si>
  <si>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</si>
  <si>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</si>
  <si>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</si>
  <si>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</si>
  <si>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</si>
  <si>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</si>
  <si>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</si>
  <si>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</si>
  <si>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</si>
  <si>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</si>
  <si>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</si>
  <si>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</si>
  <si>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</si>
  <si>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</si>
  <si>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</si>
  <si>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</si>
  <si>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</si>
  <si>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</si>
  <si>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</si>
  <si>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</si>
  <si>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</si>
  <si>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</si>
  <si>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</si>
  <si>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</si>
  <si>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</si>
  <si>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</si>
  <si>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</si>
  <si>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</si>
  <si>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</si>
  <si>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</si>
  <si>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</si>
  <si>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</si>
  <si>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</si>
  <si>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</si>
  <si>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</si>
  <si>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</si>
  <si>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</si>
  <si>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</si>
  <si>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</si>
  <si>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</si>
  <si>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</si>
  <si>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</si>
  <si>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</si>
  <si>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</si>
  <si>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</si>
  <si>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</si>
  <si>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</si>
  <si>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</si>
  <si>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</si>
  <si>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</si>
  <si>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</si>
  <si>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</si>
  <si>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</si>
  <si>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</si>
  <si>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</si>
  <si>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</si>
  <si>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</si>
  <si>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</si>
  <si>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</si>
  <si>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</si>
  <si>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</si>
  <si>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</si>
  <si>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</si>
  <si>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</si>
  <si>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</si>
  <si>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</si>
  <si>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</si>
  <si>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</si>
  <si>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</si>
  <si>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</si>
  <si>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</si>
  <si>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</si>
  <si>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</si>
  <si>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</si>
  <si>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</si>
  <si>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</si>
  <si>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</si>
  <si>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</si>
  <si>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</si>
  <si>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</si>
  <si>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</si>
  <si>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</si>
  <si>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</si>
  <si>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</si>
  <si>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</si>
  <si>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</si>
  <si>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</si>
  <si>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</si>
  <si>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</si>
  <si>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</si>
  <si>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</si>
  <si>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</si>
  <si>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</si>
  <si>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</si>
  <si>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</si>
  <si>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</si>
  <si>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</si>
  <si>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</si>
  <si>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</si>
  <si>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</si>
  <si>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</si>
  <si>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</si>
  <si>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</si>
  <si>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</si>
  <si>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</si>
  <si>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</si>
  <si>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</si>
  <si>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</si>
  <si>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</si>
  <si>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</si>
  <si>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</si>
  <si>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</si>
  <si>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</si>
  <si>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</si>
  <si>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</si>
  <si>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</si>
  <si>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</si>
  <si>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</si>
  <si>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</si>
  <si>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</si>
  <si>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</si>
  <si>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</si>
  <si>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</si>
  <si>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</si>
  <si>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</si>
  <si>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</si>
  <si>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</si>
  <si>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</si>
  <si>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</si>
  <si>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</si>
  <si>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</si>
  <si>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</si>
  <si>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</si>
  <si>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</si>
  <si>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</si>
  <si>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</si>
  <si>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</si>
  <si>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</si>
  <si>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</si>
  <si>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</si>
  <si>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</si>
  <si>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</si>
  <si>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</si>
  <si>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</si>
  <si>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</si>
  <si>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</si>
  <si>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</si>
  <si>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</si>
  <si>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</si>
  <si>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</si>
  <si>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</si>
  <si>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</si>
  <si>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</si>
  <si>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</si>
  <si>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</si>
  <si>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</si>
  <si>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</si>
  <si>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</si>
  <si>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</si>
  <si>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</si>
  <si>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</si>
  <si>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</si>
  <si>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</si>
  <si>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</si>
  <si>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</si>
  <si>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</si>
  <si>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</si>
  <si>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</si>
  <si>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</si>
  <si>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</si>
  <si>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</si>
  <si>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</si>
  <si>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</si>
  <si>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</si>
  <si>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</si>
  <si>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</si>
  <si>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</si>
  <si>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</si>
  <si>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</si>
  <si>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</si>
  <si>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</si>
  <si>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</si>
  <si>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</si>
  <si>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</si>
  <si>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</si>
  <si>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</si>
  <si>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</si>
  <si>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</si>
  <si>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</si>
  <si>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</si>
  <si>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</si>
  <si>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</si>
  <si>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</si>
  <si>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</si>
  <si>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</si>
  <si>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</si>
  <si>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</si>
  <si>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</si>
  <si>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</si>
  <si>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</si>
  <si>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</si>
  <si>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</si>
  <si>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</si>
  <si>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</si>
  <si>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</si>
  <si>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</si>
  <si>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</si>
  <si>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</si>
  <si>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</si>
  <si>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</si>
  <si>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</si>
  <si>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</si>
  <si>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</si>
  <si>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</si>
  <si>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</si>
  <si>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</si>
  <si>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</si>
  <si>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</si>
  <si>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</si>
  <si>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</si>
  <si>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</si>
  <si>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</si>
  <si>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</si>
  <si>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</si>
  <si>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</si>
  <si>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</si>
  <si>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</si>
  <si>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</si>
  <si>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</si>
  <si>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</si>
  <si>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</si>
  <si>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</si>
  <si>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</si>
  <si>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</si>
  <si>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</si>
  <si>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</si>
  <si>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</si>
  <si>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</si>
  <si>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</si>
  <si>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</si>
  <si>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</si>
  <si>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</si>
  <si>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</si>
  <si>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</si>
  <si>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</si>
  <si>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</si>
  <si>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</si>
  <si>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</si>
  <si>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</si>
  <si>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</si>
  <si>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</si>
  <si>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</si>
  <si>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</si>
  <si>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</si>
  <si>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</si>
  <si>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</si>
  <si>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</si>
  <si>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</si>
  <si>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</si>
  <si>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</si>
  <si>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</si>
  <si>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</si>
  <si>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</si>
  <si>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</si>
  <si>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</si>
  <si>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</si>
  <si>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</si>
  <si>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</si>
  <si>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</si>
  <si>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</si>
  <si>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</si>
  <si>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</si>
  <si>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</si>
  <si>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</si>
  <si>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</si>
  <si>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</si>
  <si>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</si>
  <si>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</si>
  <si>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</si>
  <si>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</si>
  <si>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</si>
  <si>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</si>
  <si>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</si>
  <si>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</si>
  <si>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</si>
  <si>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</si>
  <si>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</si>
  <si>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</si>
  <si>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</si>
  <si>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</si>
  <si>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</si>
  <si>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</si>
  <si>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</si>
  <si>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</si>
  <si>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</si>
  <si>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</si>
  <si>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</si>
  <si>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</si>
  <si>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</si>
  <si>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</si>
  <si>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</si>
  <si>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</si>
  <si>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</si>
  <si>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</si>
  <si>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</si>
  <si>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</si>
  <si>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</si>
  <si>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</si>
  <si>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</si>
  <si>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</si>
  <si>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</si>
  <si>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</si>
  <si>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</si>
  <si>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</si>
  <si>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</si>
  <si>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</si>
  <si>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</si>
  <si>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</si>
  <si>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</si>
  <si>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</si>
  <si>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</si>
  <si>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</si>
  <si>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</si>
  <si>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</si>
  <si>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</si>
  <si>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</si>
  <si>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</si>
  <si>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</si>
  <si>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</si>
  <si>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</si>
  <si>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</si>
  <si>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</si>
  <si>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</si>
  <si>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</si>
  <si>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</si>
  <si>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</si>
  <si>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</si>
  <si>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</si>
  <si>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</si>
  <si>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</si>
  <si>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</si>
  <si>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</si>
  <si>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</si>
  <si>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</si>
  <si>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</si>
  <si>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</si>
  <si>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</si>
  <si>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</si>
  <si>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</si>
  <si>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</si>
  <si>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</si>
  <si>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</si>
  <si>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</si>
  <si>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</si>
  <si>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</si>
  <si>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</si>
  <si>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</si>
  <si>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</si>
  <si>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</si>
  <si>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</si>
  <si>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</si>
  <si>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</si>
  <si>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</si>
  <si>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</si>
  <si>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</si>
  <si>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</si>
  <si>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</si>
  <si>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</si>
  <si>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</si>
  <si>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</si>
  <si>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</si>
  <si>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</si>
  <si>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</si>
  <si>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</si>
  <si>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</si>
  <si>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</si>
  <si>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</si>
  <si>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</si>
  <si>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</si>
  <si>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</si>
  <si>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</si>
  <si>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</si>
  <si>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</si>
  <si>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</si>
  <si>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</si>
  <si>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</si>
  <si>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</si>
  <si>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</si>
  <si>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</si>
  <si>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</si>
  <si>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</si>
  <si>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</si>
  <si>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</si>
  <si>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</si>
  <si>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</si>
  <si>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</si>
  <si>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</si>
  <si>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</si>
  <si>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</si>
  <si>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</si>
  <si>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</si>
  <si>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</si>
  <si>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</si>
  <si>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</si>
  <si>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</si>
  <si>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</si>
  <si>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</si>
  <si>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</si>
  <si>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</si>
  <si>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</si>
  <si>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</si>
  <si>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</si>
  <si>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</si>
  <si>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</si>
  <si>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</si>
  <si>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</si>
  <si>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</si>
  <si>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</si>
  <si>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</si>
  <si>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</si>
  <si>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</si>
  <si>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</si>
  <si>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</si>
  <si>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</si>
  <si>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</si>
  <si>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</si>
  <si>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</si>
  <si>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</si>
  <si>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</si>
  <si>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</si>
  <si>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</si>
  <si>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</si>
  <si>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</si>
  <si>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</si>
  <si>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</si>
  <si>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</si>
  <si>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</si>
  <si>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</si>
  <si>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</si>
  <si>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</si>
  <si>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</si>
  <si>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</si>
  <si>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</si>
  <si>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</si>
  <si>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</si>
  <si>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</si>
  <si>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</si>
  <si>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</si>
  <si>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</si>
  <si>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</si>
  <si>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</si>
  <si>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</si>
  <si>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</si>
  <si>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</si>
  <si>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</si>
  <si>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</si>
  <si>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</si>
  <si>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</si>
  <si>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</si>
  <si>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</si>
  <si>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</si>
  <si>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</si>
  <si>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</si>
  <si>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</si>
  <si>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</si>
  <si>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</si>
  <si>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</si>
  <si>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</si>
  <si>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</si>
  <si>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</si>
  <si>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</si>
  <si>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</si>
  <si>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</si>
  <si>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</si>
  <si>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</si>
  <si>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</si>
  <si>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</si>
  <si>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</si>
  <si>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</si>
  <si>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</si>
  <si>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</si>
  <si>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</si>
  <si>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</si>
  <si>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</si>
  <si>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</si>
  <si>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</si>
  <si>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</si>
  <si>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</si>
  <si>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</si>
  <si>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</si>
  <si>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</si>
  <si>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</si>
  <si>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</si>
  <si>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</si>
  <si>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</si>
  <si>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</si>
  <si>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</si>
  <si>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</si>
  <si>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</si>
  <si>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</si>
  <si>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</si>
  <si>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</si>
  <si>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</si>
  <si>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</si>
  <si>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</si>
  <si>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</si>
  <si>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</si>
  <si>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</si>
  <si>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</si>
  <si>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</si>
  <si>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</si>
  <si>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</si>
  <si>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</si>
  <si>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</si>
  <si>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</si>
  <si>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</si>
  <si>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</si>
  <si>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</si>
  <si>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</si>
  <si>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</si>
  <si>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</si>
  <si>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</si>
  <si>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</si>
  <si>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</si>
  <si>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</si>
  <si>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</si>
  <si>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</si>
  <si>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</si>
  <si>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</si>
  <si>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</si>
  <si>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</si>
  <si>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</si>
  <si>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</si>
  <si>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</si>
  <si>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</si>
  <si>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</si>
  <si>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</si>
  <si>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</si>
  <si>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</si>
  <si>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</si>
  <si>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</si>
  <si>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</si>
  <si>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</si>
  <si>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</si>
  <si>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</si>
  <si>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</si>
  <si>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</si>
  <si>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</si>
  <si>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</si>
  <si>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</si>
  <si>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</si>
  <si>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</si>
  <si>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</si>
  <si>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</si>
  <si>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</si>
  <si>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</si>
  <si>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</si>
  <si>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</si>
  <si>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</si>
  <si>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</si>
  <si>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</si>
  <si>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</si>
  <si>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</si>
  <si>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</si>
  <si>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</si>
  <si>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</si>
  <si>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</si>
  <si>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</si>
  <si>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</si>
  <si>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</si>
  <si>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</si>
  <si>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</si>
  <si>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</si>
  <si>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</si>
  <si>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</si>
  <si>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</si>
  <si>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</si>
  <si>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</si>
  <si>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</si>
  <si>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</si>
  <si>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</si>
  <si>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</si>
  <si>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</si>
  <si>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</si>
  <si>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</si>
  <si>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</si>
  <si>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</si>
  <si>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</si>
  <si>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</si>
  <si>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</si>
  <si>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</si>
  <si>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</si>
  <si>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</si>
  <si>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</si>
  <si>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</si>
  <si>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</si>
  <si>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</si>
  <si>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</si>
  <si>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</si>
  <si>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</si>
  <si>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</si>
  <si>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</si>
  <si>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</si>
  <si>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</si>
  <si>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</si>
  <si>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</si>
  <si>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</si>
  <si>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</si>
  <si>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</si>
  <si>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</si>
  <si>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</si>
  <si>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</si>
  <si>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</si>
  <si>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</si>
  <si>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</si>
  <si>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</si>
  <si>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</si>
  <si>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</si>
  <si>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</si>
  <si>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</si>
  <si>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</si>
  <si>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</si>
  <si>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</si>
  <si>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</si>
  <si>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</si>
  <si>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</si>
  <si>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</si>
  <si>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</si>
  <si>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</si>
  <si>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</si>
  <si>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</si>
  <si>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</si>
  <si>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</si>
  <si>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</si>
  <si>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</si>
  <si>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</si>
  <si>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</si>
  <si>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</si>
  <si>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</si>
  <si>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</si>
  <si>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</si>
  <si>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</si>
  <si>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</si>
  <si>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</si>
  <si>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</si>
  <si>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</si>
  <si>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</si>
  <si>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</si>
  <si>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</si>
  <si>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</si>
  <si>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</si>
  <si>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</si>
  <si>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</si>
  <si>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</si>
  <si>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</si>
  <si>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</si>
  <si>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</si>
  <si>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</si>
  <si>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</si>
  <si>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</si>
  <si>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</si>
  <si>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</si>
  <si>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</si>
  <si>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</si>
  <si>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</si>
  <si>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</si>
  <si>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</si>
  <si>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</si>
  <si>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</si>
  <si>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</si>
  <si>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</si>
  <si>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</si>
  <si>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</si>
  <si>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</si>
  <si>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</si>
  <si>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</si>
  <si>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</si>
  <si>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</si>
  <si>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</si>
  <si>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</si>
  <si>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</si>
  <si>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</si>
  <si>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</si>
  <si>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</si>
  <si>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</si>
  <si>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</si>
  <si>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</si>
  <si>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</si>
  <si>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</si>
  <si>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</si>
  <si>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</si>
  <si>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</si>
  <si>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</si>
  <si>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</si>
  <si>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</si>
  <si>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</si>
  <si>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</si>
  <si>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</si>
  <si>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</si>
  <si>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</si>
  <si>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</si>
  <si>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</si>
  <si>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</si>
  <si>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</si>
  <si>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</si>
  <si>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</si>
  <si>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</si>
  <si>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</si>
  <si>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</si>
  <si>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</si>
  <si>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</si>
  <si>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</si>
  <si>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</si>
  <si>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</si>
  <si>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</si>
  <si>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</si>
  <si>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</si>
  <si>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</si>
  <si>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</si>
  <si>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</si>
  <si>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</si>
  <si>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</si>
  <si>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</si>
  <si>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</si>
  <si>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</si>
  <si>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</si>
  <si>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</si>
  <si>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</si>
  <si>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</si>
  <si>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</si>
  <si>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</si>
  <si>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</si>
  <si>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</si>
  <si>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</si>
  <si>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</si>
  <si>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</si>
  <si>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</si>
  <si>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</si>
  <si>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</si>
  <si>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</si>
  <si>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</si>
  <si>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</si>
  <si>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</si>
  <si>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</si>
  <si>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</si>
  <si>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</si>
  <si>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</si>
  <si>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</si>
  <si>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</si>
  <si>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</si>
  <si>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</si>
  <si>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</si>
  <si>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</si>
  <si>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</si>
  <si>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</si>
  <si>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</si>
  <si>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</si>
  <si>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</si>
  <si>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</si>
  <si>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</si>
  <si>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</si>
  <si>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</si>
  <si>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</si>
  <si>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</si>
  <si>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</si>
  <si>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</si>
  <si>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</si>
  <si>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</si>
  <si>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</si>
  <si>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</si>
  <si>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</si>
  <si>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</si>
  <si>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</si>
  <si>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</si>
  <si>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</si>
  <si>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</si>
  <si>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</si>
  <si>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</si>
  <si>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</si>
  <si>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</si>
  <si>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</si>
  <si>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</si>
  <si>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</si>
  <si>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</si>
  <si>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</si>
  <si>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</si>
  <si>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</si>
  <si>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</si>
  <si>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</si>
  <si>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</si>
  <si>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</si>
  <si>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</si>
  <si>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</si>
  <si>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</si>
  <si>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</si>
  <si>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</si>
  <si>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</si>
  <si>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</si>
  <si>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</si>
  <si>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</si>
  <si>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</si>
  <si>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</si>
  <si>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</si>
  <si>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</si>
  <si>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</si>
  <si>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</si>
  <si>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</si>
  <si>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</si>
  <si>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</si>
  <si>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</si>
  <si>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</si>
  <si>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</si>
  <si>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</si>
  <si>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</si>
  <si>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</si>
  <si>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</si>
  <si>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</si>
  <si>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</si>
  <si>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</si>
  <si>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</si>
  <si>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</si>
  <si>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</si>
  <si>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</si>
  <si>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</si>
  <si>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</si>
  <si>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</si>
  <si>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</si>
  <si>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</si>
  <si>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</si>
  <si>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</si>
  <si>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</si>
  <si>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</si>
  <si>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</si>
  <si>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</si>
  <si>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</si>
  <si>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</si>
  <si>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</si>
  <si>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</si>
  <si>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</si>
  <si>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</si>
  <si>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</si>
  <si>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</si>
  <si>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</si>
  <si>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</si>
  <si>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</si>
  <si>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</si>
  <si>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</si>
  <si>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</si>
  <si>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</si>
  <si>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</si>
  <si>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</si>
  <si>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</si>
  <si>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</si>
  <si>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</si>
  <si>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</si>
  <si>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</si>
  <si>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</si>
  <si>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</si>
  <si>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</si>
  <si>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</si>
  <si>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</si>
  <si>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</si>
  <si>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</si>
  <si>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</si>
  <si>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</si>
  <si>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</si>
  <si>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</si>
  <si>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</si>
  <si>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</si>
  <si>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</si>
  <si>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</si>
  <si>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</si>
  <si>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</si>
  <si>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</si>
  <si>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</si>
  <si>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</si>
  <si>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</si>
  <si>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</si>
  <si>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</si>
  <si>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</si>
  <si>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</si>
  <si>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</si>
  <si>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</si>
  <si>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</si>
  <si>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</si>
  <si>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</si>
  <si>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</si>
  <si>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</si>
  <si>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</si>
  <si>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</si>
  <si>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</si>
  <si>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</si>
  <si>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</si>
  <si>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</si>
  <si>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</si>
  <si>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</si>
  <si>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</si>
  <si>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</si>
  <si>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</si>
  <si>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</si>
  <si>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</si>
  <si>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</si>
  <si>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</si>
  <si>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</si>
  <si>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</si>
  <si>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</si>
  <si>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</si>
  <si>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</si>
  <si>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</si>
  <si>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</si>
  <si>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</si>
  <si>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</si>
  <si>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</si>
  <si>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</si>
  <si>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</si>
  <si>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</si>
  <si>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</si>
  <si>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</si>
  <si>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</si>
  <si>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</si>
  <si>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</si>
  <si>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</si>
  <si>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</si>
  <si>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</si>
  <si>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</si>
  <si>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</si>
  <si>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</si>
  <si>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</si>
  <si>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</si>
  <si>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</si>
  <si>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</si>
  <si>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</si>
  <si>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</si>
  <si>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</si>
  <si>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</si>
  <si>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</si>
  <si>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</si>
  <si>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</si>
  <si>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</si>
  <si>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</si>
  <si>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</si>
  <si>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</si>
  <si>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</si>
  <si>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</si>
  <si>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</si>
  <si>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</si>
  <si>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</si>
  <si>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</si>
  <si>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</si>
  <si>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</si>
  <si>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</si>
  <si>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</si>
  <si>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</si>
  <si>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</si>
  <si>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</si>
  <si>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</si>
  <si>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</si>
  <si>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</si>
  <si>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</si>
  <si>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</si>
  <si>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</si>
  <si>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</si>
  <si>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</si>
  <si>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</si>
  <si>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</si>
  <si>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</si>
  <si>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</si>
  <si>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</si>
  <si>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</si>
  <si>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</si>
  <si>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</si>
  <si>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</si>
  <si>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</si>
  <si>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</si>
  <si>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</si>
  <si>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</si>
  <si>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</si>
  <si>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</si>
  <si>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</si>
  <si>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</si>
  <si>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</si>
  <si>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</si>
  <si>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</si>
  <si>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</si>
  <si>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</si>
  <si>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</si>
  <si>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</si>
  <si>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</si>
  <si>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</si>
  <si>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</si>
  <si>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</si>
  <si>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</si>
  <si>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</si>
  <si>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</si>
  <si>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</si>
  <si>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</si>
  <si>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</si>
  <si>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</si>
  <si>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</si>
  <si>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</si>
  <si>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</si>
  <si>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</si>
  <si>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</si>
  <si>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</si>
  <si>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</si>
  <si>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</si>
  <si>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</si>
  <si>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</si>
  <si>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</si>
  <si>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</si>
  <si>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</si>
  <si>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</si>
  <si>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</si>
  <si>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</si>
  <si>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</si>
  <si>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</si>
  <si>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</si>
  <si>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</si>
  <si>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</si>
  <si>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</si>
  <si>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</si>
  <si>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</si>
  <si>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</si>
  <si>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</si>
  <si>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</si>
  <si>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</si>
  <si>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</si>
  <si>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</si>
  <si>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</si>
  <si>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</si>
  <si>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</si>
  <si>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</si>
  <si>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</si>
  <si>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</si>
  <si>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</si>
  <si>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</si>
  <si>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</si>
  <si>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</si>
  <si>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</si>
  <si>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</si>
  <si>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</si>
  <si>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</si>
  <si>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</si>
  <si>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</si>
  <si>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</si>
  <si>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</si>
  <si>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</si>
  <si>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</si>
  <si>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</si>
  <si>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</si>
  <si>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</si>
  <si>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</si>
  <si>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</si>
  <si>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</si>
  <si>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</si>
  <si>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</si>
  <si>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</si>
  <si>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</si>
  <si>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</si>
  <si>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</si>
  <si>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</si>
  <si>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</si>
  <si>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</si>
  <si>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</si>
  <si>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</si>
  <si>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</si>
  <si>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</si>
  <si>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</si>
  <si>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</si>
  <si>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</si>
  <si>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</si>
  <si>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</si>
  <si>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</si>
  <si>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</si>
  <si>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</si>
  <si>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</si>
  <si>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</si>
  <si>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</si>
  <si>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</si>
  <si>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</si>
  <si>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</si>
  <si>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</si>
  <si>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</si>
  <si>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</si>
  <si>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</si>
  <si>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</si>
  <si>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</si>
  <si>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</si>
  <si>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</si>
  <si>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</si>
  <si>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</si>
  <si>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</si>
  <si>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</si>
  <si>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</si>
  <si>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</si>
  <si>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</si>
  <si>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</si>
  <si>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</si>
  <si>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</si>
  <si>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</si>
  <si>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</si>
  <si>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</si>
  <si>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</si>
  <si>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</si>
  <si>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</si>
  <si>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</si>
  <si>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</si>
  <si>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</si>
  <si>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</si>
  <si>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</si>
  <si>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</si>
  <si>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</si>
  <si>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</si>
  <si>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</si>
  <si>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</si>
  <si>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</si>
  <si>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</si>
  <si>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</si>
  <si>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</si>
  <si>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</si>
  <si>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</si>
  <si>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</si>
  <si>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</si>
  <si>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</si>
  <si>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</si>
  <si>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</si>
  <si>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</si>
  <si>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</si>
  <si>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</si>
  <si>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</si>
  <si>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</si>
  <si>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</si>
  <si>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</si>
  <si>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</si>
  <si>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</si>
  <si>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</si>
  <si>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</si>
  <si>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</si>
  <si>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</si>
  <si>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</si>
  <si>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</si>
  <si>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</si>
  <si>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</si>
  <si>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</si>
  <si>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</si>
  <si>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</si>
  <si>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</si>
  <si>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</si>
  <si>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</si>
  <si>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</si>
  <si>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</si>
  <si>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</si>
  <si>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</si>
  <si>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</si>
  <si>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</si>
  <si>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</si>
  <si>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</si>
  <si>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</si>
  <si>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</si>
  <si>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</si>
  <si>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</si>
  <si>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</si>
  <si>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</si>
  <si>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</si>
  <si>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</si>
  <si>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</si>
  <si>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</si>
  <si>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</si>
  <si>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</si>
  <si>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</si>
  <si>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</si>
  <si>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</si>
  <si>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</si>
  <si>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</si>
  <si>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</si>
  <si>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</si>
  <si>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</si>
  <si>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</si>
  <si>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</si>
  <si>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</si>
  <si>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</si>
  <si>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</si>
  <si>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</si>
  <si>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</si>
  <si>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</si>
  <si>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</si>
  <si>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</si>
  <si>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</si>
  <si>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</si>
  <si>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</si>
  <si>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</si>
  <si>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</si>
  <si>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</si>
  <si>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</si>
  <si>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</si>
  <si>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</si>
  <si>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</si>
  <si>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</si>
  <si>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</si>
  <si>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</si>
  <si>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</si>
  <si>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</si>
  <si>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</si>
  <si>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</si>
  <si>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</si>
  <si>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</si>
  <si>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</si>
  <si>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</si>
  <si>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</si>
  <si>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</si>
  <si>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</si>
  <si>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</si>
  <si>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</si>
  <si>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</si>
  <si>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</si>
  <si>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</si>
  <si>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</si>
  <si>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</si>
  <si>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</si>
  <si>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</si>
  <si>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</si>
  <si>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</si>
  <si>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</si>
  <si>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</si>
  <si>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</si>
  <si>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</si>
  <si>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</si>
  <si>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</si>
  <si>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</si>
  <si>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</si>
  <si>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</si>
  <si>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</si>
  <si>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</si>
  <si>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</si>
  <si>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</si>
  <si>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</si>
  <si>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</si>
  <si>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</si>
  <si>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</si>
  <si>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</si>
  <si>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</si>
  <si>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</si>
  <si>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</si>
  <si>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</si>
  <si>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</si>
  <si>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</si>
  <si>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</si>
  <si>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</si>
  <si>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</si>
  <si>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</si>
  <si>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</si>
  <si>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</si>
  <si>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</si>
  <si>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</si>
  <si>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</si>
  <si>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</si>
  <si>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</si>
  <si>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</si>
  <si>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</si>
  <si>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</si>
  <si>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</si>
  <si>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</si>
  <si>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</si>
  <si>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</si>
  <si>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</si>
  <si>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</si>
  <si>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</si>
  <si>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</si>
  <si>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</si>
  <si>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</si>
  <si>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</si>
  <si>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</si>
  <si>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</si>
  <si>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</si>
  <si>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</si>
  <si>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</si>
  <si>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</si>
  <si>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</si>
  <si>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</si>
  <si>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</si>
  <si>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</si>
  <si>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</si>
  <si>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</si>
  <si>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</si>
  <si>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</si>
  <si>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</si>
  <si>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</si>
  <si>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</si>
  <si>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</si>
  <si>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</si>
  <si>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</si>
  <si>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</si>
  <si>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</si>
  <si>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</si>
  <si>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</si>
  <si>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</si>
  <si>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</si>
  <si>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</si>
  <si>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</si>
  <si>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</si>
  <si>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</si>
  <si>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</si>
  <si>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</si>
  <si>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</si>
  <si>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</si>
  <si>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</si>
  <si>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</si>
  <si>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</si>
  <si>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</si>
  <si>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</si>
  <si>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</si>
  <si>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</si>
  <si>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</si>
  <si>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</si>
  <si>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</si>
  <si>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</si>
  <si>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</si>
  <si>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</si>
  <si>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</si>
  <si>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</si>
  <si>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</si>
  <si>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</si>
  <si>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</si>
  <si>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</si>
  <si>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</si>
  <si>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</si>
  <si>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</si>
  <si>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</si>
  <si>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</si>
  <si>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</si>
  <si>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</si>
  <si>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</si>
  <si>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</si>
  <si>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</si>
  <si>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</si>
  <si>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</si>
  <si>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</si>
  <si>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</si>
  <si>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</si>
  <si>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</si>
  <si>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</si>
  <si>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</si>
  <si>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</si>
  <si>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</si>
  <si>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</si>
  <si>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</si>
  <si>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</si>
  <si>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</si>
  <si>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</si>
  <si>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</si>
  <si>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</si>
  <si>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</si>
  <si>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</si>
  <si>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</si>
  <si>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</si>
  <si>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</si>
  <si>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</si>
  <si>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</si>
  <si>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</si>
  <si>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</si>
  <si>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</si>
  <si>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</si>
  <si>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</si>
  <si>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</si>
  <si>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</si>
  <si>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</si>
  <si>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</si>
  <si>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</si>
  <si>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</si>
  <si>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</si>
  <si>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</si>
  <si>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</si>
  <si>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</si>
  <si>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</si>
  <si>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</si>
  <si>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</si>
  <si>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</si>
  <si>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</si>
  <si>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</si>
  <si>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</si>
  <si>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</si>
  <si>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</si>
  <si>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</si>
  <si>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</si>
  <si>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</si>
  <si>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</si>
  <si>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</si>
  <si>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</si>
  <si>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</si>
  <si>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</si>
  <si>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</si>
  <si>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</si>
  <si>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</si>
  <si>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</si>
  <si>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</si>
  <si>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</si>
  <si>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</si>
  <si>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</si>
  <si>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</si>
  <si>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</si>
  <si>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</si>
  <si>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</si>
  <si>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</si>
  <si>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</si>
  <si>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</si>
  <si>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</si>
  <si>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</si>
  <si>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</si>
  <si>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</si>
  <si>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</si>
  <si>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</si>
  <si>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</si>
  <si>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</si>
  <si>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</si>
  <si>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</si>
  <si>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</si>
  <si>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</si>
  <si>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</si>
  <si>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</si>
  <si>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</si>
  <si>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</si>
  <si>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</si>
  <si>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</si>
  <si>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</si>
  <si>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</si>
  <si>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</si>
  <si>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</si>
  <si>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</si>
  <si>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</si>
  <si>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</si>
  <si>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</si>
  <si>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</si>
  <si>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</si>
  <si>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</si>
  <si>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</si>
  <si>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</si>
  <si>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</si>
  <si>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</si>
  <si>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</si>
  <si>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</si>
  <si>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</si>
  <si>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</si>
  <si>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</si>
  <si>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</si>
  <si>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</si>
  <si>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</si>
  <si>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</si>
  <si>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</si>
  <si>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</si>
  <si>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</si>
  <si>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</si>
  <si>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</si>
  <si>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</si>
  <si>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</si>
  <si>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</si>
  <si>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</si>
  <si>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</si>
  <si>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</si>
  <si>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</si>
  <si>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</si>
  <si>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</si>
  <si>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</si>
  <si>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</si>
  <si>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</si>
  <si>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</si>
  <si>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</si>
  <si>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</si>
  <si>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</si>
  <si>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</si>
  <si>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</si>
  <si>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</si>
  <si>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</si>
  <si>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</si>
  <si>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</si>
  <si>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</si>
  <si>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</si>
  <si>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</si>
  <si>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</si>
  <si>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</si>
  <si>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</si>
  <si>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</si>
  <si>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</si>
  <si>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</si>
  <si>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</si>
  <si>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</si>
  <si>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</si>
  <si>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</si>
  <si>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</si>
  <si>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</si>
  <si>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</si>
  <si>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</si>
  <si>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</si>
  <si>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</si>
  <si>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</si>
  <si>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</si>
  <si>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</si>
  <si>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</si>
  <si>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</si>
  <si>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</si>
  <si>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</si>
  <si>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</si>
  <si>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</si>
  <si>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</si>
  <si>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</si>
  <si>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</si>
  <si>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</si>
  <si>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</si>
  <si>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</si>
  <si>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</si>
  <si>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</si>
  <si>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</si>
  <si>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</si>
  <si>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</si>
  <si>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</si>
  <si>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</si>
  <si>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</si>
  <si>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</si>
  <si>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</si>
  <si>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</si>
  <si>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</si>
  <si>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</si>
  <si>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</si>
  <si>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</si>
  <si>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</si>
  <si>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</si>
  <si>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</si>
  <si>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</si>
  <si>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</si>
  <si>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</si>
  <si>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</si>
  <si>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</si>
  <si>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</si>
  <si>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</si>
  <si>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</si>
  <si>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</si>
  <si>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</si>
  <si>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</si>
  <si>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</si>
  <si>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</si>
  <si>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</si>
  <si>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</si>
  <si>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</si>
  <si>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</si>
  <si>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</si>
  <si>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</si>
  <si>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</si>
  <si>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</si>
  <si>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</si>
  <si>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</si>
  <si>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</si>
  <si>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</si>
  <si>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</si>
  <si>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</si>
  <si>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</si>
  <si>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</si>
  <si>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</si>
  <si>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</si>
  <si>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</si>
  <si>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</si>
  <si>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</si>
  <si>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</si>
  <si>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</si>
  <si>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</si>
  <si>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</si>
  <si>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</si>
  <si>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</si>
  <si>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</si>
  <si>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</si>
  <si>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</si>
  <si>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</si>
  <si>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</si>
  <si>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</si>
  <si>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</si>
  <si>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</si>
  <si>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</si>
  <si>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</si>
  <si>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</si>
  <si>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</si>
  <si>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</si>
  <si>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</si>
  <si>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</si>
  <si>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</si>
  <si>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</si>
  <si>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</si>
  <si>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</si>
  <si>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</si>
  <si>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</si>
  <si>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</si>
  <si>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</si>
  <si>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</si>
  <si>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</si>
  <si>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</si>
  <si>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</si>
  <si>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</si>
  <si>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</si>
  <si>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</si>
  <si>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</si>
  <si>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</si>
  <si>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</si>
  <si>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</si>
  <si>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</si>
  <si>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</si>
  <si>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</si>
  <si>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</si>
  <si>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</si>
  <si>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</si>
  <si>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</si>
  <si>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</si>
  <si>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</si>
  <si>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</si>
  <si>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</si>
  <si>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</si>
  <si>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</si>
  <si>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</si>
  <si>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</si>
  <si>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</si>
  <si>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</si>
  <si>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</si>
  <si>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</si>
  <si>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</si>
  <si>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</si>
  <si>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</si>
  <si>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</si>
  <si>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</si>
  <si>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</si>
  <si>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</si>
  <si>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</si>
  <si>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</si>
  <si>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</si>
  <si>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</si>
  <si>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</si>
  <si>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</si>
  <si>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</si>
  <si>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</si>
  <si>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</si>
  <si>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</si>
  <si>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</si>
  <si>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</si>
  <si>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</si>
  <si>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</si>
  <si>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</si>
  <si>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</si>
  <si>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</si>
  <si>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</si>
  <si>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</si>
  <si>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</si>
  <si>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</si>
  <si>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</si>
  <si>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</si>
  <si>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</si>
  <si>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</si>
  <si>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</si>
  <si>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</si>
  <si>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</si>
  <si>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</si>
  <si>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</si>
  <si>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</si>
  <si>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</si>
  <si>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</si>
  <si>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</si>
  <si>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</si>
  <si>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</si>
  <si>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</si>
  <si>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</si>
  <si>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</si>
  <si>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</si>
  <si>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</si>
  <si>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</si>
  <si>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</si>
  <si>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</si>
  <si>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</si>
  <si>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</si>
  <si>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</si>
  <si>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</si>
  <si>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</si>
  <si>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</si>
  <si>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</si>
  <si>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</si>
  <si>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</si>
  <si>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</si>
  <si>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</si>
  <si>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</si>
  <si>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</si>
  <si>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</si>
  <si>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</si>
  <si>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</si>
  <si>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</si>
  <si>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</si>
  <si>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</si>
  <si>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</si>
  <si>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</si>
  <si>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</si>
  <si>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</si>
  <si>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</si>
  <si>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</si>
  <si>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</si>
  <si>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</si>
  <si>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</si>
  <si>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</si>
  <si>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</si>
  <si>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</si>
  <si>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</si>
  <si>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</si>
  <si>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</si>
  <si>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</si>
  <si>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</si>
  <si>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</si>
  <si>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</si>
  <si>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</si>
  <si>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</si>
  <si>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</si>
  <si>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</si>
  <si>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</si>
  <si>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</si>
  <si>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</si>
  <si>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</si>
  <si>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</si>
  <si>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</si>
  <si>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</si>
  <si>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</si>
  <si>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</si>
  <si>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</si>
  <si>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</si>
  <si>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</si>
  <si>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</si>
  <si>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</si>
  <si>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</si>
  <si>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</si>
  <si>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</si>
  <si>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</si>
  <si>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</si>
  <si>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</si>
  <si>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</si>
  <si>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</si>
  <si>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</si>
  <si>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</si>
  <si>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</si>
  <si>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</si>
  <si>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</si>
  <si>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</si>
  <si>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</si>
  <si>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</si>
  <si>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</si>
  <si>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</si>
  <si>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</si>
  <si>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</si>
  <si>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</si>
  <si>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</si>
  <si>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</si>
  <si>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</si>
  <si>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</si>
  <si>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</si>
  <si>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</si>
  <si>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</si>
  <si>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</si>
  <si>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</si>
  <si>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</si>
  <si>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</si>
  <si>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</si>
  <si>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</si>
  <si>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</si>
  <si>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</si>
  <si>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</si>
  <si>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</si>
  <si>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</si>
  <si>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</si>
  <si>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</si>
  <si>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</si>
  <si>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</si>
  <si>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</si>
  <si>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</si>
  <si>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</si>
  <si>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</si>
  <si>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</si>
  <si>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</si>
  <si>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</si>
  <si>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</si>
  <si>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</si>
  <si>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</si>
  <si>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</si>
  <si>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</si>
  <si>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</si>
  <si>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</si>
  <si>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</si>
  <si>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</si>
  <si>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</si>
  <si>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</si>
  <si>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</si>
  <si>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</si>
  <si>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</si>
  <si>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</si>
  <si>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</si>
  <si>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</si>
  <si>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</si>
  <si>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</si>
  <si>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</si>
  <si>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</si>
  <si>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</si>
  <si>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</si>
  <si>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</si>
  <si>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</si>
  <si>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</si>
  <si>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</si>
  <si>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</si>
  <si>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</si>
  <si>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</si>
  <si>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</si>
  <si>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</si>
  <si>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</si>
  <si>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</si>
  <si>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</si>
  <si>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</si>
  <si>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</si>
  <si>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</si>
  <si>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</si>
  <si>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</si>
  <si>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</si>
  <si>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</si>
  <si>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</si>
  <si>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</si>
  <si>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</si>
  <si>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</si>
  <si>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</si>
  <si>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</si>
  <si>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</si>
  <si>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</si>
  <si>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</si>
  <si>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</si>
  <si>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</si>
  <si>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</si>
  <si>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</si>
  <si>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</si>
  <si>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</si>
  <si>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</si>
  <si>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</si>
  <si>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</si>
  <si>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</si>
  <si>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</si>
  <si>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</si>
  <si>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</si>
  <si>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</si>
  <si>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</si>
  <si>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</si>
  <si>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</si>
  <si>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</si>
  <si>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</si>
  <si>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</si>
  <si>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</si>
  <si>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</si>
  <si>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</si>
  <si>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</si>
  <si>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</si>
  <si>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</si>
  <si>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</si>
  <si>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</si>
  <si>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</si>
  <si>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</si>
  <si>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</si>
  <si>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</si>
  <si>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</si>
  <si>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</si>
  <si>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</si>
  <si>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</si>
  <si>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</si>
  <si>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</si>
  <si>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</si>
  <si>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</si>
  <si>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</si>
  <si>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</si>
  <si>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</si>
  <si>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</si>
  <si>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</si>
  <si>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</si>
  <si>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</si>
  <si>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</si>
  <si>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</si>
  <si>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</si>
  <si>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</si>
  <si>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</si>
  <si>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</si>
  <si>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</si>
  <si>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</si>
  <si>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</si>
  <si>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</si>
  <si>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</si>
  <si>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</si>
  <si>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</si>
  <si>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</si>
  <si>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</si>
  <si>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</si>
  <si>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</si>
  <si>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</si>
  <si>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</si>
  <si>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</si>
  <si>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</si>
  <si>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</si>
  <si>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</si>
  <si>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</si>
  <si>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</si>
  <si>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</si>
  <si>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</si>
  <si>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</si>
  <si>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</si>
  <si>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</si>
  <si>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</si>
  <si>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</si>
  <si>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</si>
  <si>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</si>
  <si>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</si>
  <si>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</si>
  <si>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</si>
  <si>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</si>
  <si>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</si>
  <si>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</si>
  <si>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</si>
  <si>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</si>
  <si>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</si>
  <si>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</si>
  <si>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</si>
  <si>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</si>
  <si>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</si>
  <si>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</si>
  <si>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</si>
  <si>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</si>
  <si>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</si>
  <si>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</si>
  <si>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</si>
  <si>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</si>
  <si>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</si>
  <si>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</si>
  <si>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</si>
  <si>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</si>
  <si>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</si>
  <si>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</si>
  <si>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</si>
  <si>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</si>
  <si>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</si>
  <si>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</si>
  <si>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</si>
  <si>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</si>
  <si>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</si>
  <si>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</si>
  <si>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</si>
  <si>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</si>
  <si>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</si>
  <si>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</si>
  <si>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</si>
  <si>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</si>
  <si>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</si>
  <si>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</si>
  <si>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</si>
  <si>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</si>
  <si>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</si>
  <si>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</si>
  <si>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</si>
  <si>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</si>
  <si>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</si>
  <si>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</si>
  <si>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</si>
  <si>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</si>
  <si>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</si>
  <si>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</si>
  <si>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</si>
  <si>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</si>
  <si>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</si>
  <si>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</si>
  <si>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</si>
  <si>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</si>
  <si>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</si>
  <si>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</si>
  <si>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</si>
  <si>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</si>
  <si>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</si>
  <si>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</si>
  <si>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</si>
  <si>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</si>
  <si>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</si>
  <si>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</si>
  <si>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</si>
  <si>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</si>
  <si>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</si>
  <si>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</si>
  <si>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</si>
  <si>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</si>
  <si>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</si>
  <si>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</si>
  <si>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</si>
  <si>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</si>
  <si>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</si>
  <si>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</si>
  <si>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</si>
  <si>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</si>
  <si>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</si>
  <si>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</si>
  <si>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</si>
  <si>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</si>
  <si>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</si>
  <si>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</si>
  <si>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</si>
  <si>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</si>
  <si>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</si>
  <si>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</si>
  <si>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</si>
  <si>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</si>
  <si>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</si>
  <si>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</si>
  <si>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</si>
  <si>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</si>
  <si>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</si>
  <si>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</si>
  <si>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</si>
  <si>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</si>
  <si>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</si>
  <si>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</si>
  <si>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</si>
  <si>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</si>
  <si>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</si>
  <si>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</si>
  <si>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</si>
  <si>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</si>
  <si>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</si>
  <si>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</si>
  <si>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</si>
  <si>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</si>
  <si>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</si>
  <si>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</si>
  <si>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</si>
  <si>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</si>
  <si>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</si>
  <si>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</si>
  <si>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</si>
  <si>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</si>
  <si>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</si>
  <si>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</si>
  <si>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</si>
  <si>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</si>
  <si>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</si>
  <si>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</si>
  <si>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</si>
  <si>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</si>
  <si>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</si>
  <si>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</si>
  <si>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</si>
  <si>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</si>
  <si>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</si>
  <si>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</si>
  <si>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</si>
  <si>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</si>
  <si>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</si>
  <si>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</si>
  <si>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</si>
  <si>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</si>
  <si>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</si>
  <si>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</si>
  <si>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</si>
  <si>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</si>
  <si>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</si>
  <si>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</si>
  <si>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</si>
  <si>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</si>
  <si>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</si>
  <si>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</si>
  <si>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</si>
  <si>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</si>
  <si>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</si>
  <si>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</si>
  <si>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</si>
  <si>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</si>
  <si>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</si>
  <si>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</si>
  <si>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</si>
  <si>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</si>
  <si>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</si>
  <si>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</si>
  <si>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</si>
  <si>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</si>
  <si>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</si>
  <si>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</si>
  <si>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</si>
  <si>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</si>
  <si>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</si>
  <si>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</si>
  <si>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</si>
  <si>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</si>
  <si>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</si>
  <si>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</si>
  <si>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</si>
  <si>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</si>
  <si>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</si>
  <si>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</si>
  <si>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</si>
  <si>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</si>
  <si>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</si>
  <si>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</si>
  <si>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</si>
  <si>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</si>
  <si>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</si>
  <si>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</si>
  <si>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</si>
  <si>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</si>
  <si>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</si>
  <si>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</si>
  <si>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</si>
  <si>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</si>
  <si>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</si>
  <si>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</si>
  <si>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</si>
  <si>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</si>
  <si>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</si>
  <si>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</si>
  <si>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</si>
  <si>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</si>
  <si>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</si>
  <si>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</si>
  <si>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</si>
  <si>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</si>
  <si>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</si>
  <si>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</si>
  <si>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</si>
  <si>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</si>
  <si>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</si>
  <si>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</si>
  <si>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</si>
  <si>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</si>
  <si>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</si>
  <si>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</si>
  <si>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</si>
  <si>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</si>
  <si>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</si>
  <si>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</si>
  <si>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</si>
  <si>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</si>
  <si>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</si>
  <si>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</si>
  <si>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</si>
  <si>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</si>
  <si>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</si>
  <si>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</si>
  <si>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</si>
  <si>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</si>
  <si>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</si>
  <si>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</si>
  <si>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</si>
  <si>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</si>
  <si>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</si>
  <si>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</si>
  <si>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</si>
  <si>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</si>
  <si>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</si>
  <si>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</si>
  <si>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</si>
  <si>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</si>
  <si>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</si>
  <si>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</si>
  <si>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</si>
  <si>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</si>
  <si>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</si>
  <si>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</si>
  <si>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</si>
  <si>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</si>
  <si>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</si>
  <si>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</si>
  <si>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</si>
  <si>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</si>
  <si>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</si>
  <si>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</si>
  <si>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</si>
  <si>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</si>
  <si>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</si>
  <si>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</si>
  <si>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</si>
  <si>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</si>
  <si>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</si>
  <si>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</si>
  <si>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</si>
  <si>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</si>
  <si>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</si>
  <si>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</si>
  <si>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</si>
  <si>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</si>
  <si>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</si>
  <si>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</si>
  <si>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</si>
  <si>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</si>
  <si>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</si>
  <si>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</si>
  <si>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</si>
  <si>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</si>
  <si>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</si>
  <si>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</si>
  <si>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</si>
  <si>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</si>
  <si>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</si>
  <si>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</si>
  <si>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</si>
  <si>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</si>
  <si>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</si>
  <si>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</si>
  <si>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</si>
  <si>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</si>
  <si>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</si>
  <si>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</si>
  <si>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</si>
  <si>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</si>
  <si>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</si>
  <si>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</si>
  <si>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</si>
  <si>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</si>
  <si>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</si>
  <si>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</si>
  <si>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</si>
  <si>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</si>
  <si>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</si>
  <si>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</si>
  <si>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</si>
  <si>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</si>
  <si>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</si>
  <si>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</si>
  <si>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</si>
  <si>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</si>
  <si>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</si>
  <si>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</si>
  <si>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</si>
  <si>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</si>
  <si>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</si>
  <si>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</si>
  <si>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</si>
  <si>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</si>
  <si>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</si>
  <si>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</si>
  <si>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</si>
  <si>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</si>
  <si>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</si>
  <si>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</si>
  <si>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</si>
  <si>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</si>
  <si>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</si>
  <si>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</si>
  <si>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</si>
  <si>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</si>
  <si>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</si>
  <si>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</si>
  <si>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</si>
  <si>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</si>
  <si>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</si>
  <si>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</si>
  <si>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</si>
  <si>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</si>
  <si>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</si>
  <si>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</si>
  <si>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</si>
  <si>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</si>
  <si>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</si>
  <si>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</si>
  <si>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</si>
  <si>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</si>
  <si>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</si>
  <si>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</si>
  <si>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</si>
  <si>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</si>
  <si>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</si>
  <si>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</si>
  <si>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</si>
  <si>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</si>
  <si>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</si>
  <si>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</si>
  <si>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</si>
  <si>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</si>
  <si>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</si>
  <si>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</si>
  <si>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</si>
  <si>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</si>
  <si>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</si>
  <si>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</si>
  <si>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</si>
  <si>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</si>
  <si>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</si>
  <si>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</si>
  <si>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</si>
  <si>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</si>
  <si>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</si>
  <si>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</si>
  <si>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</si>
  <si>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</si>
  <si>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</si>
  <si>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</si>
  <si>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</si>
  <si>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</si>
  <si>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</si>
  <si>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</si>
  <si>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</si>
  <si>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</si>
  <si>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</si>
  <si>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</si>
  <si>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</si>
  <si>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</si>
  <si>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</si>
  <si>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</si>
  <si>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</si>
  <si>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</si>
  <si>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</si>
  <si>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</si>
  <si>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</si>
  <si>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</si>
  <si>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</si>
  <si>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</si>
  <si>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</si>
  <si>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</si>
  <si>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</si>
  <si>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</si>
  <si>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</si>
  <si>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</si>
  <si>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</si>
  <si>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</si>
  <si>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</si>
  <si>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</si>
  <si>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</si>
  <si>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</si>
  <si>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</si>
  <si>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</si>
  <si>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</si>
  <si>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</si>
  <si>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</si>
  <si>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</si>
  <si>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</si>
  <si>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</si>
  <si>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</si>
  <si>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</si>
  <si>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</si>
  <si>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</si>
  <si>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</si>
  <si>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</si>
  <si>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</si>
  <si>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</si>
  <si>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</si>
  <si>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</si>
  <si>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</si>
  <si>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</si>
  <si>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</si>
  <si>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</si>
  <si>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</si>
  <si>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</si>
  <si>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</si>
  <si>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</si>
  <si>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</si>
  <si>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</si>
  <si>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</si>
  <si>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</si>
  <si>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</si>
  <si>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</si>
  <si>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</si>
  <si>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</si>
  <si>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</si>
  <si>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</si>
  <si>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</si>
  <si>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</si>
  <si>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</si>
  <si>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</si>
  <si>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</si>
  <si>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</si>
  <si>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</si>
  <si>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</si>
  <si>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</si>
  <si>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</si>
  <si>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</si>
  <si>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</si>
  <si>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</si>
  <si>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</si>
  <si>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</si>
  <si>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</si>
  <si>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</si>
  <si>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</si>
  <si>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</si>
  <si>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</si>
  <si>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</si>
  <si>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</si>
  <si>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</si>
  <si>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</si>
  <si>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</si>
  <si>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</si>
  <si>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</si>
  <si>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</si>
  <si>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</si>
  <si>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</si>
  <si>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</si>
  <si>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</si>
  <si>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</si>
  <si>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</si>
  <si>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</si>
  <si>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</si>
  <si>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</si>
  <si>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</si>
  <si>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</si>
  <si>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</si>
  <si>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</si>
  <si>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</si>
  <si>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</si>
  <si>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</si>
  <si>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</si>
  <si>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</si>
  <si>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</si>
  <si>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</si>
  <si>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</si>
  <si>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</si>
  <si>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</si>
  <si>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</si>
  <si>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</si>
  <si>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</si>
  <si>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</si>
  <si>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</si>
  <si>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</si>
  <si>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</si>
  <si>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</si>
  <si>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</si>
  <si>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</si>
  <si>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</si>
  <si>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</si>
  <si>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</si>
  <si>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</si>
  <si>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</si>
  <si>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</si>
  <si>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</si>
  <si>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</si>
  <si>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</si>
  <si>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</si>
  <si>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</si>
  <si>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</si>
  <si>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</si>
  <si>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</si>
  <si>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</si>
  <si>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</si>
  <si>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</si>
  <si>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</si>
  <si>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</si>
  <si>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</si>
  <si>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</si>
  <si>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</si>
  <si>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</si>
  <si>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</si>
  <si>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</si>
  <si>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</si>
  <si>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</si>
  <si>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</si>
  <si>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</si>
  <si>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</si>
  <si>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</si>
  <si>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</si>
  <si>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</si>
  <si>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</si>
  <si>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</si>
  <si>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</si>
  <si>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</si>
  <si>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</si>
  <si>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</si>
  <si>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</si>
  <si>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</si>
  <si>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</si>
  <si>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</si>
  <si>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</si>
  <si>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</si>
  <si>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</si>
  <si>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</si>
  <si>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</si>
  <si>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</si>
  <si>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</si>
  <si>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</si>
  <si>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</si>
  <si>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</si>
  <si>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</si>
  <si>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</si>
  <si>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</si>
  <si>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</si>
  <si>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</si>
  <si>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</si>
  <si>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</si>
  <si>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</si>
  <si>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</si>
  <si>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</si>
  <si>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</si>
  <si>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</si>
  <si>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</si>
  <si>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</si>
  <si>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</si>
  <si>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</si>
  <si>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</si>
  <si>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</si>
  <si>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</si>
  <si>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</si>
  <si>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</si>
  <si>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</si>
  <si>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</si>
  <si>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</si>
  <si>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</si>
  <si>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</si>
  <si>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</si>
  <si>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</si>
  <si>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</si>
  <si>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</si>
  <si>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</si>
  <si>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</si>
  <si>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</si>
  <si>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</si>
  <si>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</si>
  <si>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</si>
  <si>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</si>
  <si>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</si>
  <si>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</si>
  <si>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</si>
  <si>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</si>
  <si>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</si>
  <si>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</si>
  <si>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</si>
  <si>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</si>
  <si>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</si>
  <si>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</si>
  <si>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</si>
  <si>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</si>
  <si>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</si>
  <si>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</si>
  <si>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</si>
  <si>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</si>
  <si>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</si>
  <si>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</si>
  <si>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</si>
  <si>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</si>
  <si>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</si>
  <si>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</si>
  <si>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</si>
  <si>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</si>
  <si>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</si>
  <si>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</si>
  <si>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</si>
  <si>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</si>
  <si>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</si>
  <si>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</si>
  <si>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</si>
  <si>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</si>
  <si>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</si>
  <si>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</si>
  <si>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</si>
  <si>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</si>
  <si>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</si>
  <si>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</si>
  <si>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</si>
  <si>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</si>
  <si>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</si>
  <si>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</si>
  <si>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</si>
  <si>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</si>
  <si>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</si>
  <si>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</si>
  <si>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</si>
  <si>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</si>
  <si>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</si>
  <si>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</si>
  <si>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</si>
  <si>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</si>
  <si>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</si>
  <si>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</si>
  <si>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</si>
  <si>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</si>
  <si>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</si>
  <si>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</si>
  <si>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</si>
  <si>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</si>
  <si>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</si>
  <si>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</si>
  <si>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</si>
  <si>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</si>
  <si>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</si>
  <si>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</si>
  <si>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</si>
  <si>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</si>
  <si>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</si>
  <si>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</si>
  <si>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</si>
  <si>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</si>
  <si>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</si>
  <si>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</si>
  <si>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</si>
  <si>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</si>
  <si>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</si>
  <si>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</si>
  <si>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</si>
  <si>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</si>
  <si>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</si>
  <si>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</si>
  <si>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</si>
  <si>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</si>
  <si>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</si>
  <si>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</si>
  <si>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</si>
  <si>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</si>
  <si>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</si>
  <si>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</si>
  <si>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</si>
  <si>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</si>
  <si>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</si>
  <si>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</si>
  <si>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</si>
  <si>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</si>
  <si>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</si>
  <si>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</si>
  <si>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</si>
  <si>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</si>
  <si>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</si>
  <si>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</si>
  <si>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</si>
  <si>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</si>
  <si>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</si>
  <si>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</si>
  <si>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</si>
  <si>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</si>
  <si>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</si>
  <si>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</si>
  <si>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</si>
  <si>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</si>
  <si>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</si>
  <si>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</si>
  <si>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</si>
  <si>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</si>
  <si>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</si>
  <si>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</si>
  <si>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</si>
  <si>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</si>
  <si>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</si>
  <si>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</si>
  <si>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</si>
  <si>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</si>
  <si>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</si>
  <si>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</si>
  <si>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</si>
  <si>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</si>
  <si>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</si>
  <si>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</si>
  <si>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</si>
  <si>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</si>
  <si>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</si>
  <si>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</si>
  <si>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</si>
  <si>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</si>
  <si>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</si>
  <si>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</si>
  <si>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</si>
  <si>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</si>
  <si>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</si>
  <si>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</si>
  <si>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</si>
  <si>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</si>
  <si>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</si>
  <si>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</si>
  <si>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</si>
  <si>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</si>
  <si>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</si>
  <si>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</si>
  <si>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</si>
  <si>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</si>
  <si>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</si>
  <si>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</si>
  <si>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</si>
  <si>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</si>
  <si>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</si>
  <si>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</si>
  <si>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</si>
  <si>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</si>
  <si>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</si>
  <si>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</si>
  <si>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</si>
  <si>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</si>
  <si>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</si>
  <si>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</si>
  <si>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</si>
  <si>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</si>
  <si>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</si>
  <si>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</si>
  <si>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</si>
  <si>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</si>
  <si>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</si>
  <si>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</si>
  <si>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</si>
  <si>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</si>
  <si>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</si>
  <si>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</si>
  <si>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</si>
  <si>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</si>
  <si>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</si>
  <si>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</si>
  <si>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</si>
  <si>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</si>
  <si>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</si>
  <si>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</si>
  <si>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</si>
  <si>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</si>
  <si>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</si>
  <si>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</si>
  <si>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</si>
  <si>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</si>
  <si>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</si>
  <si>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</si>
  <si>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</si>
  <si>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</si>
  <si>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</si>
  <si>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</si>
  <si>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</si>
  <si>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</si>
  <si>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</si>
  <si>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</si>
  <si>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</si>
  <si>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</si>
  <si>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</si>
  <si>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</si>
  <si>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</si>
  <si>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</si>
  <si>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</si>
  <si>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</si>
  <si>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</si>
  <si>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</si>
  <si>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</si>
  <si>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</si>
  <si>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</si>
  <si>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</si>
  <si>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</si>
  <si>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</si>
  <si>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</si>
  <si>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</si>
  <si>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</si>
  <si>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</si>
  <si>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</si>
  <si>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</si>
  <si>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</si>
  <si>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</si>
  <si>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</si>
  <si>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</si>
  <si>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</si>
  <si>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</si>
  <si>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</si>
  <si>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</si>
  <si>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</si>
  <si>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</si>
  <si>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</si>
  <si>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</si>
  <si>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</si>
  <si>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</si>
  <si>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</si>
  <si>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</si>
  <si>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</si>
  <si>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</si>
  <si>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</si>
  <si>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</si>
  <si>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</si>
  <si>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</si>
  <si>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</si>
  <si>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</si>
  <si>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</si>
  <si>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</si>
  <si>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</si>
  <si>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</si>
  <si>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</si>
  <si>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</si>
  <si>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</si>
  <si>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</si>
  <si>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</si>
  <si>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</si>
  <si>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</si>
  <si>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</si>
  <si>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</si>
  <si>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</si>
  <si>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</si>
  <si>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</si>
  <si>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</si>
  <si>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</si>
  <si>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</si>
  <si>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</si>
  <si>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</si>
  <si>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</si>
  <si>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</si>
  <si>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</si>
  <si>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</si>
  <si>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</si>
  <si>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</si>
  <si>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</si>
  <si>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</si>
  <si>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</si>
  <si>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</si>
  <si>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</si>
  <si>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</si>
  <si>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</si>
  <si>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</si>
  <si>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</si>
  <si>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</si>
  <si>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</si>
  <si>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</si>
  <si>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</si>
  <si>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</si>
  <si>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</si>
  <si>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</si>
  <si>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</si>
  <si>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</si>
  <si>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</si>
  <si>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</si>
  <si>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</si>
  <si>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</si>
  <si>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</si>
  <si>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</si>
  <si>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</si>
  <si>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</si>
  <si>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</si>
  <si>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</si>
  <si>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</si>
  <si>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</si>
  <si>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</si>
  <si>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</si>
  <si>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</si>
  <si>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</si>
  <si>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</si>
  <si>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</si>
  <si>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</si>
  <si>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</si>
  <si>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</si>
  <si>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</si>
  <si>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</si>
  <si>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</si>
  <si>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</si>
  <si>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</si>
  <si>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</si>
  <si>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</si>
  <si>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</si>
  <si>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</si>
  <si>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</si>
  <si>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</si>
  <si>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</si>
  <si>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</si>
  <si>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</si>
  <si>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</si>
  <si>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</si>
  <si>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</si>
  <si>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</si>
  <si>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</si>
  <si>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</si>
  <si>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</si>
  <si>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</si>
  <si>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</si>
  <si>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</si>
  <si>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</si>
  <si>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</si>
  <si>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</si>
  <si>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</si>
  <si>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</si>
  <si>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</si>
  <si>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</si>
  <si>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</si>
  <si>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</si>
  <si>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</si>
  <si>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</si>
  <si>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</si>
  <si>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</si>
  <si>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</si>
  <si>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</si>
  <si>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</si>
  <si>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</si>
  <si>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</si>
  <si>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</si>
  <si>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</si>
  <si>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</si>
  <si>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</si>
  <si>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</si>
  <si>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</si>
  <si>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</si>
  <si>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</si>
  <si>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</si>
  <si>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</si>
  <si>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</si>
  <si>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</si>
  <si>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</si>
  <si>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</si>
  <si>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</si>
  <si>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</si>
  <si>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</si>
  <si>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</si>
  <si>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</si>
  <si>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</si>
  <si>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</si>
  <si>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</si>
  <si>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</si>
  <si>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</si>
  <si>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</si>
  <si>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</si>
  <si>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</si>
  <si>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</si>
  <si>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</si>
  <si>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</si>
  <si>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</si>
  <si>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</si>
  <si>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</si>
  <si>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</si>
  <si>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</si>
  <si>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</si>
  <si>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</si>
  <si>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</si>
  <si>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</si>
  <si>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</si>
  <si>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</si>
  <si>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</si>
  <si>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</si>
  <si>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</si>
  <si>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</si>
  <si>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</si>
  <si>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</si>
  <si>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</si>
  <si>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</si>
  <si>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</si>
  <si>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</si>
  <si>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</si>
  <si>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</si>
  <si>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</si>
  <si>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</si>
  <si>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</si>
  <si>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</si>
  <si>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</si>
  <si>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</si>
  <si>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</si>
  <si>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</si>
  <si>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</si>
  <si>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</si>
  <si>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</si>
  <si>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</si>
  <si>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</si>
  <si>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</si>
  <si>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</si>
  <si>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</si>
  <si>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</si>
  <si>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</si>
  <si>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</si>
  <si>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</si>
  <si>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</si>
  <si>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</si>
  <si>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</si>
  <si>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</si>
  <si>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</si>
  <si>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</si>
  <si>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</si>
  <si>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</si>
  <si>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</si>
  <si>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</si>
  <si>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</si>
  <si>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</si>
  <si>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</si>
  <si>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</si>
  <si>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</si>
  <si>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</si>
  <si>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</si>
  <si>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</si>
  <si>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</si>
  <si>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</si>
  <si>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</si>
  <si>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</si>
  <si>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</si>
  <si>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</si>
  <si>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</si>
  <si>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</si>
  <si>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</si>
  <si>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</si>
  <si>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</si>
  <si>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</si>
  <si>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</si>
  <si>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</si>
  <si>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</si>
  <si>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</si>
  <si>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</si>
  <si>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</si>
  <si>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</si>
  <si>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</si>
  <si>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</si>
  <si>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</si>
  <si>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</si>
  <si>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</si>
  <si>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</si>
  <si>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</si>
  <si>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</si>
  <si>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</si>
  <si>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</si>
  <si>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</si>
  <si>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</si>
  <si>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</si>
  <si>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</si>
  <si>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</si>
  <si>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</si>
  <si>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</si>
  <si>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</si>
  <si>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</si>
  <si>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</si>
  <si>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</si>
  <si>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</si>
  <si>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</si>
  <si>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</si>
  <si>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</si>
  <si>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</si>
  <si>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</si>
  <si>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</si>
  <si>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</si>
  <si>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</si>
  <si>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</si>
  <si>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</si>
  <si>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</si>
  <si>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</si>
  <si>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</si>
  <si>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</si>
  <si>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</si>
  <si>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</si>
  <si>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</si>
  <si>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</si>
  <si>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</si>
  <si>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</si>
  <si>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</si>
  <si>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</si>
  <si>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</si>
  <si>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</si>
  <si>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</si>
  <si>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</si>
  <si>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</si>
  <si>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</si>
  <si>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</si>
  <si>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</si>
  <si>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</si>
  <si>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</si>
  <si>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</si>
  <si>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</si>
  <si>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</si>
  <si>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</si>
  <si>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</si>
  <si>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</si>
  <si>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</si>
  <si>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</si>
  <si>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</si>
  <si>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</si>
  <si>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</si>
  <si>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</si>
  <si>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商业</t>
    <phoneticPr fontId="3" type="noConversion"/>
  </si>
  <si>
    <t>办公、车库</t>
    <phoneticPr fontId="3" type="noConversion"/>
  </si>
  <si>
    <t>是</t>
  </si>
  <si>
    <t>地下</t>
  </si>
  <si>
    <t>车库</t>
  </si>
  <si>
    <t>地上</t>
  </si>
  <si>
    <t>酒店</t>
  </si>
  <si>
    <t>抵押</t>
  </si>
  <si>
    <t>房地产抵押价值</t>
  </si>
  <si>
    <t>北京市</t>
  </si>
  <si>
    <t>企业</t>
  </si>
  <si>
    <t>出让</t>
  </si>
  <si>
    <t>通路</t>
  </si>
  <si>
    <t>通电</t>
  </si>
  <si>
    <t>通讯</t>
  </si>
  <si>
    <t>通上水</t>
  </si>
  <si>
    <t>通下水</t>
  </si>
  <si>
    <t>燃气</t>
  </si>
  <si>
    <t>车库</t>
    <phoneticPr fontId="7" type="noConversion"/>
  </si>
  <si>
    <t>酒店</t>
    <phoneticPr fontId="7" type="noConversion"/>
  </si>
  <si>
    <t>成新度</t>
  </si>
  <si>
    <t>住宿餐饮用地</t>
  </si>
  <si>
    <t>容积率修正</t>
  </si>
  <si>
    <t>不临58条商业街</t>
  </si>
  <si>
    <t>六通一平</t>
  </si>
  <si>
    <t>缺少</t>
  </si>
  <si>
    <t>估价对象容积率</t>
  </si>
  <si>
    <t>商务金融用地（办公类）</t>
  </si>
  <si>
    <t>全部缴纳</t>
  </si>
  <si>
    <t>已包含在土地取得成本中</t>
  </si>
  <si>
    <t>收益法-酒店</t>
  </si>
  <si>
    <t>收益法-酒店</t>
    <phoneticPr fontId="16" type="noConversion"/>
  </si>
  <si>
    <t>收益法-车库</t>
  </si>
  <si>
    <t>收益法-车库</t>
    <phoneticPr fontId="16" type="noConversion"/>
  </si>
  <si>
    <t>商业</t>
    <phoneticPr fontId="3" type="noConversion"/>
  </si>
  <si>
    <t>车库</t>
    <phoneticPr fontId="3" type="noConversion"/>
  </si>
  <si>
    <t>自定义</t>
  </si>
  <si>
    <t>按租金收入计税</t>
  </si>
  <si>
    <t>钢混</t>
  </si>
  <si>
    <t>非生产用房</t>
  </si>
  <si>
    <t>否</t>
  </si>
  <si>
    <t>办公-出租</t>
  </si>
  <si>
    <t>办公-出租</t>
    <phoneticPr fontId="7" type="noConversion"/>
  </si>
  <si>
    <r>
      <rPr>
        <sz val="11"/>
        <color indexed="8"/>
        <rFont val="宋体"/>
        <family val="3"/>
        <charset val="134"/>
      </rPr>
      <t>办公</t>
    </r>
    <r>
      <rPr>
        <sz val="11"/>
        <color indexed="8"/>
        <rFont val="Arial"/>
        <family val="2"/>
      </rPr>
      <t>-</t>
    </r>
    <r>
      <rPr>
        <sz val="11"/>
        <color indexed="8"/>
        <rFont val="宋体"/>
        <family val="3"/>
        <charset val="134"/>
      </rPr>
      <t>未出租</t>
    </r>
    <phoneticPr fontId="7" type="noConversion"/>
  </si>
  <si>
    <t>商业</t>
    <phoneticPr fontId="143" type="noConversion"/>
  </si>
  <si>
    <t>车库</t>
    <phoneticPr fontId="143" type="noConversion"/>
  </si>
  <si>
    <t>Shun Tak Tower</t>
    <phoneticPr fontId="3" type="noConversion"/>
  </si>
  <si>
    <t>Leasing Status as at 18 Oct 2018</t>
    <phoneticPr fontId="3" type="noConversion"/>
  </si>
  <si>
    <t>Lease Term</t>
  </si>
  <si>
    <t>Fitting out period</t>
    <phoneticPr fontId="3" type="noConversion"/>
  </si>
  <si>
    <t>Rent free</t>
    <phoneticPr fontId="3" type="noConversion"/>
  </si>
  <si>
    <t>Existing Rent as at 30 2018</t>
    <phoneticPr fontId="3" type="noConversion"/>
  </si>
  <si>
    <t>Turnover</t>
    <phoneticPr fontId="263" type="noConversion"/>
  </si>
  <si>
    <t>Total Charge</t>
    <phoneticPr fontId="263" type="noConversion"/>
  </si>
  <si>
    <t>Area</t>
    <phoneticPr fontId="264" type="noConversion"/>
  </si>
  <si>
    <t>Rental</t>
    <phoneticPr fontId="3" type="noConversion"/>
  </si>
  <si>
    <t>No. of car park entittled to use</t>
    <phoneticPr fontId="3" type="noConversion"/>
  </si>
  <si>
    <t>Unit No.</t>
    <phoneticPr fontId="3" type="noConversion"/>
  </si>
  <si>
    <t>Tenant</t>
  </si>
  <si>
    <t>From</t>
  </si>
  <si>
    <t>To</t>
  </si>
  <si>
    <t>period</t>
  </si>
  <si>
    <r>
      <t>Rental/mth (RMB</t>
    </r>
    <r>
      <rPr>
        <b/>
        <sz val="14"/>
        <rFont val="細明體"/>
        <family val="3"/>
      </rPr>
      <t>￥</t>
    </r>
    <r>
      <rPr>
        <b/>
        <sz val="14"/>
        <rFont val="Times New Roman"/>
        <family val="1"/>
      </rPr>
      <t>)</t>
    </r>
  </si>
  <si>
    <t>Rent/mth (HK$)</t>
    <phoneticPr fontId="263" type="noConversion"/>
  </si>
  <si>
    <t>mth (HK$)</t>
    <phoneticPr fontId="263" type="noConversion"/>
  </si>
  <si>
    <t>sqm</t>
    <phoneticPr fontId="3" type="noConversion"/>
  </si>
  <si>
    <t>per sqm</t>
    <phoneticPr fontId="264" type="noConversion"/>
  </si>
  <si>
    <t>Remarks</t>
    <phoneticPr fontId="3" type="noConversion"/>
  </si>
  <si>
    <t>1602A</t>
    <phoneticPr fontId="3" type="noConversion"/>
  </si>
  <si>
    <t>北京黄色石头艺术工作室</t>
    <phoneticPr fontId="3" type="noConversion"/>
  </si>
  <si>
    <t>5 Apr 2016 - 4 Jun 2016</t>
    <phoneticPr fontId="3" type="noConversion"/>
  </si>
  <si>
    <t>5 Mar 2017 - 4 Apr 2017</t>
  </si>
  <si>
    <t>RMB55,440.00 ( 5 Apr 2016-4 Apr 2019)</t>
    <phoneticPr fontId="3" type="noConversion"/>
  </si>
  <si>
    <t>5 Mar 2018 - 4 Apr 2018</t>
  </si>
  <si>
    <t>RMB58,212.00 ( 5 Apr 2019-4 Apr 2020)</t>
    <phoneticPr fontId="3" type="noConversion"/>
  </si>
  <si>
    <t>5 Mar 2019 - 4 Apr 2019</t>
  </si>
  <si>
    <t>RMB61,236.00 ( 5 Apr 2020- 4 Apr 2021)</t>
    <phoneticPr fontId="3" type="noConversion"/>
  </si>
  <si>
    <t>5 Mar 2020 - 4 Apr 2020</t>
  </si>
  <si>
    <t>5 Mar 2021 - 4 Apr 2021</t>
  </si>
  <si>
    <t>1602 B</t>
    <phoneticPr fontId="3" type="noConversion"/>
  </si>
  <si>
    <t>北京黄色石头音频制品有限公司</t>
    <phoneticPr fontId="3" type="noConversion"/>
  </si>
  <si>
    <t>5 Mar 2017 - 4 Apr 2017</t>
    <phoneticPr fontId="3" type="noConversion"/>
  </si>
  <si>
    <t xml:space="preserve">RMB55,061.60 ( 5 Apr 2016 - 4 Apr 2019) </t>
    <phoneticPr fontId="3" type="noConversion"/>
  </si>
  <si>
    <t>Nil</t>
    <phoneticPr fontId="3" type="noConversion"/>
  </si>
  <si>
    <t>5 Mar 2018 - 4 Apr 2018</t>
    <phoneticPr fontId="3" type="noConversion"/>
  </si>
  <si>
    <t xml:space="preserve">RMB57,814.68 (5 Apr 2019 - 4 Apr 2020) </t>
    <phoneticPr fontId="3" type="noConversion"/>
  </si>
  <si>
    <t>5 Mar 2019 - 4 Apr 2019</t>
    <phoneticPr fontId="3" type="noConversion"/>
  </si>
  <si>
    <t>RMB60,818.04 ( 5 Apr 2020 - 4 Apr 2021)</t>
    <phoneticPr fontId="3" type="noConversion"/>
  </si>
  <si>
    <t>5 Mar 2020 - 4 Apr 2020</t>
    <phoneticPr fontId="3" type="noConversion"/>
  </si>
  <si>
    <t>5 Mar 2021 - 4 Apr 2021</t>
    <phoneticPr fontId="3" type="noConversion"/>
  </si>
  <si>
    <t>1501-1502</t>
    <phoneticPr fontId="3" type="noConversion"/>
  </si>
  <si>
    <t>北京锦绣置业有限公司</t>
    <phoneticPr fontId="3" type="noConversion"/>
  </si>
  <si>
    <t>25 Apr 2016 - 24 Jun 2016</t>
    <phoneticPr fontId="3" type="noConversion"/>
  </si>
  <si>
    <t>25 Mar 2017 -24 Apr 2017</t>
    <phoneticPr fontId="3" type="noConversion"/>
  </si>
  <si>
    <t>RMB220,189.20 (25 Apr 2016 - 24 Apr 2019</t>
    <phoneticPr fontId="3" type="noConversion"/>
  </si>
  <si>
    <t>25 Mar 2018 -24 Apr 2018</t>
    <phoneticPr fontId="3" type="noConversion"/>
  </si>
  <si>
    <t>RMB231,198.66 (25 Apr 2019 - 24 Apr 2020)</t>
    <phoneticPr fontId="3" type="noConversion"/>
  </si>
  <si>
    <t>25 Mar 2019 -24 Apr 2019</t>
    <phoneticPr fontId="3" type="noConversion"/>
  </si>
  <si>
    <t>RMB243,208.98 (25 Apr 2020 - 24 Apr 2021)</t>
    <phoneticPr fontId="3" type="noConversion"/>
  </si>
  <si>
    <t>25 Mar 2020 -24 Apr 2020</t>
    <phoneticPr fontId="3" type="noConversion"/>
  </si>
  <si>
    <t>25 Mar 2021 -24 Apr 2021</t>
    <phoneticPr fontId="3" type="noConversion"/>
  </si>
  <si>
    <t>1301 &amp; 1302</t>
    <phoneticPr fontId="3" type="noConversion"/>
  </si>
  <si>
    <t>里卡多认证（北京）有限公司</t>
    <phoneticPr fontId="3" type="noConversion"/>
  </si>
  <si>
    <t>RMB110,094.60 ( 22 Jul 2016- 21 Jul 2017)</t>
    <phoneticPr fontId="3" type="noConversion"/>
  </si>
  <si>
    <t>RMB220,189.20 (22 Jul 2017 - 21 Jul 2019)</t>
    <phoneticPr fontId="3" type="noConversion"/>
  </si>
  <si>
    <t>RMB231,198.66 (22 Jul 2019 - 21 Jul 2020)</t>
    <phoneticPr fontId="3" type="noConversion"/>
  </si>
  <si>
    <t>RMB243,208.98 (22 Jul  2020 - 21 Jul 2021)</t>
    <phoneticPr fontId="3" type="noConversion"/>
  </si>
  <si>
    <t>19F</t>
    <phoneticPr fontId="3" type="noConversion"/>
  </si>
  <si>
    <t>中国港湾工程有限责任公司</t>
    <phoneticPr fontId="3" type="noConversion"/>
  </si>
  <si>
    <t>19 Aug 2016-18 Nov 2016</t>
    <phoneticPr fontId="3" type="noConversion"/>
  </si>
  <si>
    <t>RMB243,148.8 ( 19 Aug 2016-18 Aug 2017)</t>
    <phoneticPr fontId="3" type="noConversion"/>
  </si>
  <si>
    <t>RMB486,297.60 ( 19 Aug 2017-18 Aug 2019)</t>
    <phoneticPr fontId="3" type="noConversion"/>
  </si>
  <si>
    <t>RMB510,612.48 ( 19 Aug 2019-18 Aug 2020)</t>
    <phoneticPr fontId="3" type="noConversion"/>
  </si>
  <si>
    <t>RMB536,143.10 ( 19 Aug 2020-18 Aug 2021)</t>
    <phoneticPr fontId="3" type="noConversion"/>
  </si>
  <si>
    <t>Nil</t>
    <phoneticPr fontId="3" type="noConversion"/>
  </si>
  <si>
    <t>1103A</t>
    <phoneticPr fontId="3" type="noConversion"/>
  </si>
  <si>
    <t>欧乐旅行援助（北京）有限公司</t>
    <phoneticPr fontId="3" type="noConversion"/>
  </si>
  <si>
    <t>25 Nov 2016-24 Jan 2017</t>
    <phoneticPr fontId="3" type="noConversion"/>
  </si>
  <si>
    <t>RMB60,488.4 ( 25 Nov 2016-24 Nov 2017)</t>
    <phoneticPr fontId="3" type="noConversion"/>
  </si>
  <si>
    <t>RMB72,586.08 ( 25 Nov 2017-24 Nov 2019)</t>
    <phoneticPr fontId="3" type="noConversion"/>
  </si>
  <si>
    <t>RMB76,215.38 ( 25 Nov 2019-24 Nov 2020)</t>
    <phoneticPr fontId="3" type="noConversion"/>
  </si>
  <si>
    <t>.</t>
    <phoneticPr fontId="3" type="noConversion"/>
  </si>
  <si>
    <t>RMB80,026.15 ( 25 Nov 2020- 24 Nov 2021)</t>
    <phoneticPr fontId="3" type="noConversion"/>
  </si>
  <si>
    <t>1103B</t>
    <phoneticPr fontId="3" type="noConversion"/>
  </si>
  <si>
    <t>欧善北亚咨询服务（北京）有限公司</t>
    <phoneticPr fontId="3" type="noConversion"/>
  </si>
  <si>
    <t>25 Nov 2016-24 Jan 2017</t>
    <phoneticPr fontId="3" type="noConversion"/>
  </si>
  <si>
    <t>RMB43,768.40 ( 25 Nov 2016-24 Nov 2017)</t>
    <phoneticPr fontId="3" type="noConversion"/>
  </si>
  <si>
    <t>RMB52,522.08 ( 25 Nov 2017-24 Nov 2019)</t>
    <phoneticPr fontId="3" type="noConversion"/>
  </si>
  <si>
    <t>RMB55,148.18 ( 25 Nov 2019-24 Nov 2020)</t>
    <phoneticPr fontId="3" type="noConversion"/>
  </si>
  <si>
    <t>RMB57,905.59 ( 25 Nov 2020- 24 Nov 2021)</t>
    <phoneticPr fontId="3" type="noConversion"/>
  </si>
  <si>
    <t>1601</t>
    <phoneticPr fontId="3" type="noConversion"/>
  </si>
  <si>
    <t>线众合壹（北京）科技有限公司</t>
    <phoneticPr fontId="3" type="noConversion"/>
  </si>
  <si>
    <t>30 Mar 2017-29 Apirl 2017</t>
    <phoneticPr fontId="3" type="noConversion"/>
  </si>
  <si>
    <t>RMB108,668.40( 30 Mar 2017-29 Mar 2018)</t>
    <phoneticPr fontId="3" type="noConversion"/>
  </si>
  <si>
    <t>RMB118,547.40( 30 Mar 2018-29 Mar 2019)</t>
    <phoneticPr fontId="3" type="noConversion"/>
  </si>
  <si>
    <t>RMB118,547.40 ( 30 Mar 2019-29 Mar 2020)</t>
    <phoneticPr fontId="3" type="noConversion"/>
  </si>
  <si>
    <t>1403B</t>
    <phoneticPr fontId="3" type="noConversion"/>
  </si>
  <si>
    <t>20 Mar 2017-5 Jul 2017</t>
    <phoneticPr fontId="3" type="noConversion"/>
  </si>
  <si>
    <t>Nil</t>
    <phoneticPr fontId="3" type="noConversion"/>
  </si>
  <si>
    <t>RMB37,467.24 ( 20 Mar 2017-19 Mar 2018)</t>
    <phoneticPr fontId="3" type="noConversion"/>
  </si>
  <si>
    <t>北京权承体育文化发展有限公司</t>
    <phoneticPr fontId="3" type="noConversion"/>
  </si>
  <si>
    <t>RMB52,896 ( 20 Mar 2018- 19 Mar 2019)</t>
    <phoneticPr fontId="3" type="noConversion"/>
  </si>
  <si>
    <t>RMB52,896 ( 20 Mar 2019- 19 Mar 2020)</t>
    <phoneticPr fontId="3" type="noConversion"/>
  </si>
  <si>
    <t>1404B</t>
    <phoneticPr fontId="3" type="noConversion"/>
  </si>
  <si>
    <t>北京权承石油科技有限公司</t>
    <phoneticPr fontId="3" type="noConversion"/>
  </si>
  <si>
    <t>20-Mar 2017-5 Jul 2017</t>
    <phoneticPr fontId="3" type="noConversion"/>
  </si>
  <si>
    <t>1404A</t>
    <phoneticPr fontId="3" type="noConversion"/>
  </si>
  <si>
    <t>20-Mar 2017-5 Jul 2017</t>
    <phoneticPr fontId="3" type="noConversion"/>
  </si>
  <si>
    <t>RMB37,569.12 ( 20 Mar 2017-19 Mar 2018)</t>
    <phoneticPr fontId="3" type="noConversion"/>
  </si>
  <si>
    <t>RMB53,039.84 ( 20 Mar 2018-19 Mar 2019)</t>
    <phoneticPr fontId="3" type="noConversion"/>
  </si>
  <si>
    <t>RMB53,039.84 ( 20 Mar 2019-19 Mar 2020)</t>
    <phoneticPr fontId="3" type="noConversion"/>
  </si>
  <si>
    <t>北京权承实业有限公司</t>
    <phoneticPr fontId="3" type="noConversion"/>
  </si>
  <si>
    <t>1403A</t>
    <phoneticPr fontId="3" type="noConversion"/>
  </si>
  <si>
    <t>北京权承惠众信息投资有限公司</t>
    <phoneticPr fontId="3" type="noConversion"/>
  </si>
  <si>
    <t>RMB55,398.93 ( 20 Mar 2017-19 Mar 2018)</t>
    <phoneticPr fontId="3" type="noConversion"/>
  </si>
  <si>
    <t>RMB78,211.84 ( 20 Mar 2018-19 Mar 2019)</t>
    <phoneticPr fontId="3" type="noConversion"/>
  </si>
  <si>
    <t>RMB78,211.84 ( 20 Mar 2019-19 Mar 2020)</t>
    <phoneticPr fontId="3" type="noConversion"/>
  </si>
  <si>
    <t>1503</t>
    <phoneticPr fontId="3" type="noConversion"/>
  </si>
  <si>
    <t>1 Jul 2017- 31 Aug 2017</t>
    <phoneticPr fontId="3" type="noConversion"/>
  </si>
  <si>
    <t>RMB136,924 ( 1 Jul 2017-30-Jun 2018)</t>
    <phoneticPr fontId="3" type="noConversion"/>
  </si>
  <si>
    <t>Nil</t>
    <phoneticPr fontId="3" type="noConversion"/>
  </si>
  <si>
    <t>RMB164,308.80 ( 1 Jul 2018-30-Jun 2019)</t>
    <phoneticPr fontId="3" type="noConversion"/>
  </si>
  <si>
    <t>RMB164,308.80 ( 1 Jul 2019-30-Jun 2020)</t>
    <phoneticPr fontId="3" type="noConversion"/>
  </si>
  <si>
    <t>20F</t>
    <phoneticPr fontId="3" type="noConversion"/>
  </si>
  <si>
    <t>中国港湾工程有限责任公司</t>
    <phoneticPr fontId="3" type="noConversion"/>
  </si>
  <si>
    <t>29 Jun 2017-28 Sep 2017</t>
    <phoneticPr fontId="3" type="noConversion"/>
  </si>
  <si>
    <t>RMB283,673.6 ( 29 Jun 2017-28 Jun 2018)</t>
    <phoneticPr fontId="3" type="noConversion"/>
  </si>
  <si>
    <t>Nil</t>
    <phoneticPr fontId="3" type="noConversion"/>
  </si>
  <si>
    <t>RMB567,347.20 ( 29 Jun 2018-28 Jun 2020)</t>
    <phoneticPr fontId="3" type="noConversion"/>
  </si>
  <si>
    <t>RMB595,714.56 ( 29 Jun 2020-28 Jun 2021)</t>
    <phoneticPr fontId="3" type="noConversion"/>
  </si>
  <si>
    <t>RMB625,500.29 ( 29 Jun 2021-28 Jun 2022)</t>
    <phoneticPr fontId="3" type="noConversion"/>
  </si>
  <si>
    <t>21F</t>
    <phoneticPr fontId="3" type="noConversion"/>
  </si>
  <si>
    <t>RMB303,936 ( 29 Jun 2017-28 Jun 2018)</t>
    <phoneticPr fontId="3" type="noConversion"/>
  </si>
  <si>
    <t>RMB607,872.00 ( 29 Jun 2018-28 Jun 2020)</t>
    <phoneticPr fontId="3" type="noConversion"/>
  </si>
  <si>
    <t>RMB638,265.60( 29 Jun 2020-28 Jun 2021)</t>
    <phoneticPr fontId="3" type="noConversion"/>
  </si>
  <si>
    <t>RMB670,178.88 ( 29 Jun 2021-28 Jun 2022)</t>
    <phoneticPr fontId="3" type="noConversion"/>
  </si>
  <si>
    <t>1604</t>
    <phoneticPr fontId="3" type="noConversion"/>
  </si>
  <si>
    <t>班布网络科技（北京）有限公司</t>
    <phoneticPr fontId="3" type="noConversion"/>
  </si>
  <si>
    <t>28 Jul 2017-27 Oct 2017</t>
    <phoneticPr fontId="3" type="noConversion"/>
  </si>
  <si>
    <t>RMB59,468.51 ( 28 Jul 2017-27 Jul 2018)</t>
    <phoneticPr fontId="3" type="noConversion"/>
  </si>
  <si>
    <t>RMB79,291.35 ( 28 Jul 2018-27 Jul 2019)</t>
    <phoneticPr fontId="3" type="noConversion"/>
  </si>
  <si>
    <t>RMB79,291.35 ( 28 Jul 2019-27 Jul 2020)</t>
    <phoneticPr fontId="3" type="noConversion"/>
  </si>
  <si>
    <t>1603</t>
    <phoneticPr fontId="3" type="noConversion"/>
  </si>
  <si>
    <t>北京竹间科技有限公司</t>
    <phoneticPr fontId="3" type="noConversion"/>
  </si>
  <si>
    <t>28 Jul 2017-27 Oct 2017</t>
    <phoneticPr fontId="3" type="noConversion"/>
  </si>
  <si>
    <t>RMB120,969.19 ( 28 Jul 2017-27 Jul 2018)</t>
    <phoneticPr fontId="3" type="noConversion"/>
  </si>
  <si>
    <t>Nil</t>
    <phoneticPr fontId="3" type="noConversion"/>
  </si>
  <si>
    <t>RMB161,292.25 ( 28 Jul 2018-27 Jul 2019)</t>
    <phoneticPr fontId="3" type="noConversion"/>
  </si>
  <si>
    <t>RMB161,292.25 ( 28 Jul 2019-27 Jul 2020)</t>
    <phoneticPr fontId="3" type="noConversion"/>
  </si>
  <si>
    <t>1303</t>
    <phoneticPr fontId="3" type="noConversion"/>
  </si>
  <si>
    <t>北京榆东科技有限公司</t>
    <phoneticPr fontId="3" type="noConversion"/>
  </si>
  <si>
    <t>1 Aug 2017-30 Sep 2017</t>
    <phoneticPr fontId="3" type="noConversion"/>
  </si>
  <si>
    <t>RMB134,071.42(1 Aug 2017- 31 Jul 2018)</t>
    <phoneticPr fontId="3" type="noConversion"/>
  </si>
  <si>
    <t>RMB160,885.70(1 Aug 2018- 31 Jul 2019)</t>
    <phoneticPr fontId="3" type="noConversion"/>
  </si>
  <si>
    <t>RMB160,885.70(1 Aug 2019- 31 Jul 2020)</t>
    <phoneticPr fontId="3" type="noConversion"/>
  </si>
  <si>
    <t>1402</t>
    <phoneticPr fontId="3" type="noConversion"/>
  </si>
  <si>
    <t>北京权承影视投资有限公司</t>
    <phoneticPr fontId="3" type="noConversion"/>
  </si>
  <si>
    <t>30 Nov 2017-14 Feb 2018</t>
    <phoneticPr fontId="3" type="noConversion"/>
  </si>
  <si>
    <t>RMB103,241.88 (30 Nov 2017- 29 Nov 2018)</t>
    <phoneticPr fontId="3" type="noConversion"/>
  </si>
  <si>
    <t>RMB130,410.80 (30 Nov 2018- 29 Nov 2019)</t>
    <phoneticPr fontId="3" type="noConversion"/>
  </si>
  <si>
    <t>RMB130,410.80 (30 Nov 2019- 29 Nov 2020)</t>
    <phoneticPr fontId="3" type="noConversion"/>
  </si>
  <si>
    <t>1504</t>
    <phoneticPr fontId="3" type="noConversion"/>
  </si>
  <si>
    <t>乐竞文化传媒（上海）有限公司北京分公司</t>
    <phoneticPr fontId="3" type="noConversion"/>
  </si>
  <si>
    <t>1 Dec 2017-31 Dec 2017</t>
    <phoneticPr fontId="3" type="noConversion"/>
  </si>
  <si>
    <t>RMB71,076.13 (1 Dec 2017- 30 Nov 2018)</t>
    <phoneticPr fontId="3" type="noConversion"/>
  </si>
  <si>
    <t>RMB77,537.60 (1 Dec 2018- 30 Nov 2019)</t>
    <phoneticPr fontId="3" type="noConversion"/>
  </si>
  <si>
    <t>RMB77,537.60 (1 Dec 2019- 30 Nov 2020)</t>
    <phoneticPr fontId="3" type="noConversion"/>
  </si>
  <si>
    <t>1101A</t>
    <phoneticPr fontId="3" type="noConversion"/>
  </si>
  <si>
    <t>北京瑞知金诚科技有限责任公司</t>
    <phoneticPr fontId="3" type="noConversion"/>
  </si>
  <si>
    <t>25 Dec 2017-24 Feb 2018</t>
    <phoneticPr fontId="3" type="noConversion"/>
  </si>
  <si>
    <t>RMB52,434.38 (25 Dec 2017- 24 Dec 2018)</t>
    <phoneticPr fontId="3" type="noConversion"/>
  </si>
  <si>
    <t>RMB62,921.25 (25 Dec 2018- 24 Dec 2019)</t>
    <phoneticPr fontId="3" type="noConversion"/>
  </si>
  <si>
    <t>RMB62,921.25 (25 Dec 2019- 24 Dec 2020)</t>
    <phoneticPr fontId="3" type="noConversion"/>
  </si>
  <si>
    <t>1401</t>
    <phoneticPr fontId="3" type="noConversion"/>
  </si>
  <si>
    <t>北京西坞牧人文化传播有限责任公司</t>
    <phoneticPr fontId="3" type="noConversion"/>
  </si>
  <si>
    <t>28 Jun 2018-13 Sep 2018</t>
    <phoneticPr fontId="3" type="noConversion"/>
  </si>
  <si>
    <t>Nil</t>
    <phoneticPr fontId="3" type="noConversion"/>
  </si>
  <si>
    <t>RMB100,792.15 ( 28 Jun 2018 - 27 Jun 2019)</t>
    <phoneticPr fontId="3" type="noConversion"/>
  </si>
  <si>
    <r>
      <t>RMB127,316.40 ( 28 Jun 2019 - 27 Jun 2020</t>
    </r>
    <r>
      <rPr>
        <sz val="14"/>
        <rFont val="宋体"/>
        <family val="3"/>
        <charset val="134"/>
      </rPr>
      <t>）</t>
    </r>
    <phoneticPr fontId="3" type="noConversion"/>
  </si>
  <si>
    <r>
      <t>RMB127,316.40 ( 28 Jun 2020 - 27 Jun 2021</t>
    </r>
    <r>
      <rPr>
        <sz val="14"/>
        <rFont val="宋体"/>
        <family val="3"/>
        <charset val="134"/>
      </rPr>
      <t>）</t>
    </r>
    <phoneticPr fontId="3" type="noConversion"/>
  </si>
  <si>
    <t>北京五道口投资基金管理有限公司</t>
    <phoneticPr fontId="3" type="noConversion"/>
  </si>
  <si>
    <t>1 Aug 18 - 15 Sep 19</t>
    <phoneticPr fontId="3" type="noConversion"/>
  </si>
  <si>
    <t>RMB80,890.43 ( 1 Aug 2018-31 Jul 2019)</t>
    <phoneticPr fontId="3" type="noConversion"/>
  </si>
  <si>
    <t>RMB92,446.20 ( 1 Aug 2019- 31 Jul 2020)</t>
    <phoneticPr fontId="3" type="noConversion"/>
  </si>
  <si>
    <t>RMB92,446.20 ( 1 Aug 2020- 31 Jul 2021)</t>
    <phoneticPr fontId="3" type="noConversion"/>
  </si>
  <si>
    <t>RMB97,068.51 ( 1 Aug 2021-31 Jul 2022)</t>
    <phoneticPr fontId="3" type="noConversion"/>
  </si>
  <si>
    <t>RMB101,921.94 ( 1 Aug 2022-31 Jul 2023)</t>
    <phoneticPr fontId="3" type="noConversion"/>
  </si>
  <si>
    <t>1101B</t>
    <phoneticPr fontId="3" type="noConversion"/>
  </si>
  <si>
    <t>北京莲和无限医疗科技有限公司</t>
    <phoneticPr fontId="3" type="noConversion"/>
  </si>
  <si>
    <t>10 Aug 18-25 Oct 18</t>
    <phoneticPr fontId="3" type="noConversion"/>
  </si>
  <si>
    <t>RMB80,469.37 ( 10 Aug 2018-9 Aug 2019)</t>
    <phoneticPr fontId="3" type="noConversion"/>
  </si>
  <si>
    <t>RMB101,645.52 ( 10 Aug 2019-9 Aug 2020)</t>
    <phoneticPr fontId="3" type="noConversion"/>
  </si>
  <si>
    <t>RMB101,645.52 ( 10 Aug 2020-9 Aug 2021)</t>
    <phoneticPr fontId="3" type="noConversion"/>
  </si>
  <si>
    <t>大连合盛达森国际工程承包有限公司</t>
    <phoneticPr fontId="3" type="noConversion"/>
  </si>
  <si>
    <t>8-Aug 18-13 Oct 18</t>
    <phoneticPr fontId="3" type="noConversion"/>
  </si>
  <si>
    <t>RMB71151.33 ( 8 Aug 2018-7 Aug 2019)</t>
    <phoneticPr fontId="3" type="noConversion"/>
  </si>
  <si>
    <t>RMB81315.81 ( 8 Aug 2019-7 Aug 2020)</t>
    <phoneticPr fontId="3" type="noConversion"/>
  </si>
  <si>
    <t>RMB81315.81 ( 8 Aug 2020-7 Aug 2021)</t>
    <phoneticPr fontId="3" type="noConversion"/>
  </si>
  <si>
    <t>润东医药研发（上海）有限公司</t>
    <phoneticPr fontId="3" type="noConversion"/>
  </si>
  <si>
    <t>30-Dec 18-28-Feb 19</t>
    <phoneticPr fontId="3" type="noConversion"/>
  </si>
  <si>
    <t>Nil</t>
  </si>
  <si>
    <t>RMB 140129.79 (30 Dec 2018-29 Dec 2019)</t>
    <phoneticPr fontId="3" type="noConversion"/>
  </si>
  <si>
    <t>RMB 168155.75 (30 Dec 2019-29 Dec 2020)</t>
    <phoneticPr fontId="3" type="noConversion"/>
  </si>
  <si>
    <t>RMB 168155.75 (30 Dec 2020-29 Dec 2021)</t>
    <phoneticPr fontId="3" type="noConversion"/>
  </si>
  <si>
    <t>RMB 176563.54 (30 Dec 2021-29 Dec 2022)</t>
    <phoneticPr fontId="3" type="noConversion"/>
  </si>
  <si>
    <t>RMB 185390  (30 Dec 2022-29 Dec 2023)</t>
    <phoneticPr fontId="3" type="noConversion"/>
  </si>
  <si>
    <t>Leased :</t>
    <phoneticPr fontId="263" type="noConversion"/>
  </si>
  <si>
    <t xml:space="preserve"> </t>
    <phoneticPr fontId="264" type="noConversion"/>
  </si>
  <si>
    <t>AVE/R.O.O.</t>
    <phoneticPr fontId="263" type="noConversion"/>
  </si>
  <si>
    <t>LOI</t>
    <phoneticPr fontId="3" type="noConversion"/>
  </si>
  <si>
    <t>办公-出租</t>
    <phoneticPr fontId="143" type="noConversion"/>
  </si>
  <si>
    <t>办公-未出租</t>
  </si>
  <si>
    <t>办公-未出租</t>
    <phoneticPr fontId="143" type="noConversion"/>
  </si>
  <si>
    <t>押一</t>
  </si>
  <si>
    <t>收益法-办公未出租</t>
  </si>
  <si>
    <t>收益法-办公未出租</t>
    <phoneticPr fontId="16" type="noConversion"/>
  </si>
  <si>
    <t>收益法-办公出租</t>
  </si>
  <si>
    <t>收益法-办公出租</t>
    <phoneticPr fontId="16" type="noConversion"/>
  </si>
  <si>
    <t>成本法</t>
  </si>
  <si>
    <t>收益法（汇总）</t>
  </si>
  <si>
    <t>成本比率</t>
  </si>
  <si>
    <t>现房</t>
  </si>
  <si>
    <t>估价对象位于东直门商圈，周边商业氛围成熟，人流量大，商业繁华度好</t>
    <phoneticPr fontId="25" type="noConversion"/>
  </si>
  <si>
    <t>估价对象位于东直门商圈，周边办公楼项目较多，入驻率高，办公集聚程度较好</t>
    <phoneticPr fontId="25" type="noConversion"/>
  </si>
  <si>
    <t>估价对象周边道路状况较好（机场高速、香河园路）、公共交通较通达（2、机场线东直门站，18路、916路香河园路，359、915路东直门外站）、停车便捷程度，综合评价交通便捷度较好</t>
    <phoneticPr fontId="41" type="noConversion"/>
  </si>
  <si>
    <t>估价对象所在区域公共配套设施齐备</t>
    <phoneticPr fontId="41" type="noConversion"/>
  </si>
  <si>
    <t>估价对象所在区域基础设施水平较高</t>
    <phoneticPr fontId="25" type="noConversion"/>
  </si>
  <si>
    <t>区域自然环境：廉政文化公园；人文环境：自来水博物馆；综合评价环境状况较好</t>
    <phoneticPr fontId="41" type="noConversion"/>
  </si>
  <si>
    <t>单面临街</t>
  </si>
  <si>
    <t>较一致</t>
    <phoneticPr fontId="25" type="noConversion"/>
  </si>
  <si>
    <t>2018-1-0895-P01DYGJ1</t>
    <phoneticPr fontId="6" type="noConversion"/>
  </si>
  <si>
    <t>崔锴</t>
  </si>
  <si>
    <t>欧红伟</t>
  </si>
  <si>
    <t>北京万国城酒店运营管理有限公司</t>
  </si>
  <si>
    <t>工商银行总行北京分行东城支行</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</si>
  <si>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103218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</si>
  <si>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00294</t>
    </r>
    <r>
      <rPr>
        <sz val="12"/>
        <color theme="9" tint="-0.249977111117893"/>
        <rFont val="宋体"/>
        <family val="3"/>
        <charset val="134"/>
      </rPr>
      <t>号</t>
    </r>
    <r>
      <rPr>
        <sz val="12"/>
        <color theme="9" tint="-0.249977111117893"/>
        <rFont val="Arial"/>
        <family val="2"/>
      </rPr>
      <t>]</t>
    </r>
    <phoneticPr fontId="6" type="noConversion"/>
  </si>
  <si>
    <t>原件</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</si>
  <si>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t>
    </r>
    <r>
      <rPr>
        <sz val="12"/>
        <color theme="9" tint="-0.249977111117893"/>
        <rFont val="Arial"/>
        <family val="2"/>
      </rPr>
      <t>11</t>
    </r>
    <r>
      <rPr>
        <sz val="12"/>
        <color theme="9" tint="-0.249977111117893"/>
        <rFont val="宋体"/>
        <family val="3"/>
        <charset val="134"/>
      </rPr>
      <t>号楼</t>
    </r>
    <phoneticPr fontId="6" type="noConversion"/>
  </si>
  <si>
    <t>办公、车库、酒店</t>
    <phoneticPr fontId="6" type="noConversion"/>
  </si>
  <si>
    <t>基准地价修正办公</t>
  </si>
  <si>
    <t>基准地价修正办公</t>
    <phoneticPr fontId="16" type="noConversion"/>
  </si>
  <si>
    <t>基准地价修正商业</t>
  </si>
  <si>
    <t>基准地价修正商业</t>
    <phoneticPr fontId="16" type="noConversion"/>
  </si>
  <si>
    <t>通热</t>
  </si>
  <si>
    <t>较好</t>
  </si>
  <si>
    <t>好</t>
  </si>
  <si>
    <t>综合</t>
  </si>
  <si>
    <t>正常</t>
  </si>
  <si>
    <t>101.645.52</t>
    <phoneticPr fontId="143" type="noConversion"/>
  </si>
  <si>
    <t>需扣减承租人权益</t>
  </si>
  <si>
    <t>按房产原值计税</t>
  </si>
  <si>
    <t>办公</t>
    <phoneticPr fontId="8" type="noConversion"/>
  </si>
  <si>
    <t>酒店</t>
    <phoneticPr fontId="8" type="noConversion"/>
  </si>
  <si>
    <t>车库</t>
    <phoneticPr fontId="8" type="noConversion"/>
  </si>
  <si>
    <t>成本法 (2)</t>
  </si>
  <si>
    <t>成本法 (2)</t>
    <phoneticPr fontId="16" type="noConversion"/>
  </si>
  <si>
    <t>收益法-酒店</t>
    <phoneticPr fontId="16" type="noConversion"/>
  </si>
  <si>
    <t>收益法-车库</t>
    <phoneticPr fontId="16" type="noConversion"/>
  </si>
  <si>
    <t>成本法 (3)</t>
  </si>
  <si>
    <t>成本法 (3)</t>
    <phoneticPr fontId="16" type="noConversion"/>
  </si>
  <si>
    <t>办公</t>
    <phoneticPr fontId="143" type="noConversion"/>
  </si>
  <si>
    <t>酒店</t>
    <phoneticPr fontId="143" type="noConversion"/>
  </si>
  <si>
    <t>车库</t>
    <phoneticPr fontId="143" type="noConversion"/>
  </si>
  <si>
    <t>总价</t>
    <phoneticPr fontId="143"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</si>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</sst>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8"/>
      <name val="Times New Roman"/>
      <family val="1"/>
    </font>
    <font>
      <b/>
      <sz val="12"/>
      <name val="Times New Roman"/>
      <family val="1"/>
    </font>
    <font>
      <sz val="12"/>
      <name val="Times New Roman"/>
      <family val="1"/>
    </font>
    <font>
      <sz val="12"/>
      <color theme="1"/>
      <name val="Times New Roman"/>
      <family val="1"/>
    </font>
    <font>
      <sz val="10"/>
      <name val="Times New Roman"/>
      <family val="1"/>
    </font>
    <font>
      <sz val="10"/>
      <color theme="1"/>
      <name val="Times New Roman"/>
      <family val="1"/>
    </font>
    <font>
      <b/>
      <sz val="10"/>
      <name val="Times New Roman"/>
      <family val="1"/>
    </font>
    <font>
      <b/>
      <sz val="14"/>
      <name val="Times New Roman"/>
      <family val="1"/>
    </font>
    <font>
      <sz val="9"/>
      <name val="新細明體"/>
      <family val="1"/>
    </font>
    <font>
      <sz val="9"/>
      <name val="細明體"/>
      <family val="3"/>
    </font>
    <font>
      <sz val="14"/>
      <name val="Times New Roman"/>
      <family val="1"/>
    </font>
    <font>
      <b/>
      <sz val="14"/>
      <name val="細明體"/>
      <family val="3"/>
    </font>
    <font>
      <sz val="14"/>
      <name val="宋体"/>
      <family val="3"/>
      <charset val="134"/>
    </font>
    <font>
      <sz val="9"/>
      <name val="Times New Roman"/>
      <family val="1"/>
    </font>
    <font>
      <sz val="11"/>
      <color rgb="FF282828"/>
      <name val="Tahoma"/>
      <family val="2"/>
    </font>
    <font>
      <b/>
      <sz val="10"/>
      <color indexed="8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37" fontId="255" fillId="0" borderId="0"/>
  </cellStyleXfs>
  <cellXfs count="36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179" fontId="47" fillId="0" borderId="2"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2" borderId="5" xfId="1" applyNumberFormat="1" applyFont="1" applyFill="1" applyBorder="1" applyAlignment="1" applyProtection="1">
      <alignment vertical="center"/>
      <protection locked="0"/>
    </xf>
    <xf numFmtId="37" fontId="50" fillId="3" borderId="3" xfId="0" applyNumberFormat="1" applyFont="1" applyFill="1" applyBorder="1" applyProtection="1">
      <alignment vertical="center"/>
      <protection locked="0"/>
    </xf>
    <xf numFmtId="37" fontId="47" fillId="3" borderId="22" xfId="0" applyNumberFormat="1" applyFont="1" applyFill="1" applyBorder="1" applyProtection="1">
      <alignment vertical="center"/>
      <protection locked="0"/>
    </xf>
    <xf numFmtId="0" fontId="99" fillId="0" borderId="0" xfId="0" applyFont="1">
      <alignment vertical="center"/>
    </xf>
    <xf numFmtId="37" fontId="256" fillId="0" borderId="0" xfId="18" applyFont="1" applyAlignment="1"/>
    <xf numFmtId="37" fontId="257" fillId="7" borderId="0" xfId="18" applyFont="1" applyFill="1" applyAlignment="1"/>
    <xf numFmtId="14" fontId="257" fillId="0" borderId="0" xfId="18" applyNumberFormat="1" applyFont="1" applyAlignment="1">
      <alignment horizontal="centerContinuous"/>
    </xf>
    <xf numFmtId="37" fontId="257" fillId="0" borderId="0" xfId="18" applyFont="1" applyAlignment="1">
      <alignment horizontal="centerContinuous"/>
    </xf>
    <xf numFmtId="43" fontId="257" fillId="7" borderId="0" xfId="17" applyFont="1" applyFill="1" applyAlignment="1">
      <alignment horizontal="right"/>
    </xf>
    <xf numFmtId="37" fontId="257" fillId="0" borderId="0" xfId="18" applyFont="1" applyAlignment="1"/>
    <xf numFmtId="40" fontId="257" fillId="0" borderId="0" xfId="18" applyNumberFormat="1" applyFont="1" applyAlignment="1">
      <alignment horizontal="centerContinuous"/>
    </xf>
    <xf numFmtId="10" fontId="257" fillId="0" borderId="0" xfId="18" applyNumberFormat="1" applyFont="1" applyAlignment="1">
      <alignment horizontal="centerContinuous"/>
    </xf>
    <xf numFmtId="37" fontId="257" fillId="0" borderId="0" xfId="18" applyFont="1" applyAlignment="1">
      <alignment horizontal="left"/>
    </xf>
    <xf numFmtId="37" fontId="257" fillId="0" borderId="0" xfId="18" applyFont="1"/>
    <xf numFmtId="43" fontId="257" fillId="0" borderId="0" xfId="17" applyFont="1" applyAlignment="1"/>
    <xf numFmtId="14" fontId="258" fillId="0" borderId="0" xfId="18" applyNumberFormat="1" applyFont="1" applyAlignment="1">
      <alignment horizontal="centerContinuous"/>
    </xf>
    <xf numFmtId="37" fontId="258" fillId="0" borderId="0" xfId="18" applyFont="1" applyAlignment="1">
      <alignment horizontal="centerContinuous"/>
    </xf>
    <xf numFmtId="43" fontId="258" fillId="7" borderId="0" xfId="17" applyFont="1" applyFill="1" applyAlignment="1">
      <alignment horizontal="right"/>
    </xf>
    <xf numFmtId="37" fontId="258" fillId="0" borderId="0" xfId="18" applyFont="1" applyAlignment="1"/>
    <xf numFmtId="40" fontId="258" fillId="0" borderId="0" xfId="18" applyNumberFormat="1" applyFont="1" applyAlignment="1">
      <alignment horizontal="centerContinuous"/>
    </xf>
    <xf numFmtId="10" fontId="258" fillId="0" borderId="0" xfId="18" applyNumberFormat="1" applyFont="1" applyAlignment="1">
      <alignment horizontal="centerContinuous"/>
    </xf>
    <xf numFmtId="37" fontId="259" fillId="0" borderId="0" xfId="18" applyFont="1"/>
    <xf numFmtId="37" fontId="259" fillId="7" borderId="0" xfId="18" applyFont="1" applyFill="1" applyAlignment="1"/>
    <xf numFmtId="14" fontId="259" fillId="0" borderId="0" xfId="18" applyNumberFormat="1" applyFont="1" applyAlignment="1">
      <alignment horizontal="center"/>
    </xf>
    <xf numFmtId="14" fontId="130" fillId="0" borderId="0" xfId="18" applyNumberFormat="1" applyFont="1" applyAlignment="1">
      <alignment horizontal="center"/>
    </xf>
    <xf numFmtId="37" fontId="130" fillId="0" borderId="0" xfId="18" applyFont="1" applyAlignment="1">
      <alignment horizontal="center"/>
    </xf>
    <xf numFmtId="37" fontId="130" fillId="7" borderId="0" xfId="18" applyFont="1" applyFill="1" applyAlignment="1">
      <alignment horizontal="right"/>
    </xf>
    <xf numFmtId="37" fontId="260" fillId="0" borderId="0" xfId="18" applyFont="1" applyAlignment="1">
      <alignment horizontal="center"/>
    </xf>
    <xf numFmtId="37" fontId="130" fillId="0" borderId="0" xfId="18" applyFont="1" applyAlignment="1"/>
    <xf numFmtId="40" fontId="130" fillId="0" borderId="0" xfId="18" applyNumberFormat="1" applyFont="1" applyAlignment="1">
      <alignment horizontal="center"/>
    </xf>
    <xf numFmtId="37" fontId="145" fillId="0" borderId="0" xfId="18" applyFont="1" applyAlignment="1">
      <alignment horizontal="center"/>
    </xf>
    <xf numFmtId="10" fontId="145" fillId="0" borderId="0" xfId="18" applyNumberFormat="1" applyFont="1" applyAlignment="1">
      <alignment horizontal="center"/>
    </xf>
    <xf numFmtId="37" fontId="19" fillId="0" borderId="0" xfId="18" applyFont="1" applyAlignment="1">
      <alignment horizontal="left"/>
    </xf>
    <xf numFmtId="43" fontId="259" fillId="0" borderId="0" xfId="17" applyFont="1" applyAlignment="1"/>
    <xf numFmtId="37" fontId="259" fillId="0" borderId="0" xfId="18" applyFont="1" applyAlignment="1">
      <alignment horizontal="center"/>
    </xf>
    <xf numFmtId="37" fontId="259" fillId="7" borderId="0" xfId="18" applyFont="1" applyFill="1" applyAlignment="1">
      <alignment horizontal="right"/>
    </xf>
    <xf numFmtId="37" fontId="259" fillId="0" borderId="0" xfId="18" applyFont="1" applyAlignment="1"/>
    <xf numFmtId="40" fontId="259" fillId="0" borderId="0" xfId="18" applyNumberFormat="1" applyFont="1" applyAlignment="1">
      <alignment horizontal="center"/>
    </xf>
    <xf numFmtId="37" fontId="261" fillId="0" borderId="0" xfId="18" applyFont="1" applyAlignment="1">
      <alignment horizontal="center"/>
    </xf>
    <xf numFmtId="10" fontId="261" fillId="0" borderId="0" xfId="18" applyNumberFormat="1" applyFont="1" applyAlignment="1">
      <alignment horizontal="center"/>
    </xf>
    <xf numFmtId="37" fontId="259" fillId="0" borderId="0" xfId="18" applyFont="1" applyAlignment="1">
      <alignment horizontal="left"/>
    </xf>
    <xf numFmtId="37" fontId="262" fillId="0" borderId="13" xfId="18" applyFont="1" applyBorder="1" applyAlignment="1">
      <alignment horizontal="center"/>
    </xf>
    <xf numFmtId="37" fontId="262" fillId="7" borderId="13" xfId="18" applyFont="1" applyFill="1" applyBorder="1" applyAlignment="1"/>
    <xf numFmtId="37" fontId="262" fillId="0" borderId="46" xfId="18" applyFont="1" applyBorder="1" applyAlignment="1">
      <alignment horizontal="centerContinuous"/>
    </xf>
    <xf numFmtId="37" fontId="262" fillId="0" borderId="22" xfId="18" applyFont="1" applyBorder="1" applyAlignment="1">
      <alignment horizontal="centerContinuous"/>
    </xf>
    <xf numFmtId="37" fontId="262" fillId="7" borderId="13" xfId="18" applyFont="1" applyFill="1" applyBorder="1" applyAlignment="1">
      <alignment horizontal="right"/>
    </xf>
    <xf numFmtId="37" fontId="262" fillId="0" borderId="13" xfId="18" applyFont="1" applyBorder="1" applyAlignment="1"/>
    <xf numFmtId="40" fontId="262" fillId="0" borderId="13" xfId="18" applyNumberFormat="1" applyFont="1" applyBorder="1" applyAlignment="1">
      <alignment horizontal="center"/>
    </xf>
    <xf numFmtId="10" fontId="262" fillId="0" borderId="13" xfId="18" applyNumberFormat="1" applyFont="1" applyBorder="1" applyAlignment="1">
      <alignment horizontal="center"/>
    </xf>
    <xf numFmtId="37" fontId="262" fillId="0" borderId="0" xfId="18" applyFont="1"/>
    <xf numFmtId="43" fontId="262" fillId="0" borderId="0" xfId="17" applyFont="1" applyAlignment="1"/>
    <xf numFmtId="37" fontId="262" fillId="0" borderId="2" xfId="18" applyFont="1" applyBorder="1" applyAlignment="1">
      <alignment horizontal="center"/>
    </xf>
    <xf numFmtId="37" fontId="262" fillId="7" borderId="2" xfId="18" applyFont="1" applyFill="1" applyBorder="1" applyAlignment="1"/>
    <xf numFmtId="37" fontId="262" fillId="0" borderId="1" xfId="18" applyFont="1" applyBorder="1" applyAlignment="1">
      <alignment horizontal="center"/>
    </xf>
    <xf numFmtId="37" fontId="262" fillId="7" borderId="2" xfId="18" applyFont="1" applyFill="1" applyBorder="1" applyAlignment="1">
      <alignment horizontal="right"/>
    </xf>
    <xf numFmtId="37" fontId="262" fillId="0" borderId="2" xfId="18" applyFont="1" applyBorder="1" applyAlignment="1"/>
    <xf numFmtId="40" fontId="262" fillId="0" borderId="2" xfId="18" applyNumberFormat="1" applyFont="1" applyBorder="1" applyAlignment="1">
      <alignment horizontal="center"/>
    </xf>
    <xf numFmtId="10" fontId="262" fillId="0" borderId="2" xfId="18" applyNumberFormat="1" applyFont="1" applyBorder="1" applyAlignment="1">
      <alignment horizontal="center"/>
    </xf>
    <xf numFmtId="37" fontId="265" fillId="0" borderId="0" xfId="18" applyFont="1"/>
    <xf numFmtId="37" fontId="265" fillId="7" borderId="0" xfId="18" applyFont="1" applyFill="1" applyAlignment="1"/>
    <xf numFmtId="14" fontId="262" fillId="0" borderId="0" xfId="18" applyNumberFormat="1" applyFont="1" applyAlignment="1">
      <alignment horizontal="center"/>
    </xf>
    <xf numFmtId="37" fontId="265" fillId="0" borderId="0" xfId="18" applyFont="1" applyAlignment="1">
      <alignment horizontal="center"/>
    </xf>
    <xf numFmtId="37" fontId="265" fillId="7" borderId="0" xfId="18" applyFont="1" applyFill="1" applyAlignment="1">
      <alignment horizontal="right"/>
    </xf>
    <xf numFmtId="37" fontId="265" fillId="0" borderId="0" xfId="18" applyFont="1" applyAlignment="1"/>
    <xf numFmtId="40" fontId="265" fillId="0" borderId="0" xfId="18" applyNumberFormat="1" applyFont="1" applyAlignment="1">
      <alignment horizontal="center"/>
    </xf>
    <xf numFmtId="37" fontId="265" fillId="0" borderId="0" xfId="18" applyFont="1" applyAlignment="1">
      <alignment horizontal="left"/>
    </xf>
    <xf numFmtId="10" fontId="265" fillId="0" borderId="0" xfId="18" applyNumberFormat="1" applyFont="1" applyAlignment="1">
      <alignment horizontal="left"/>
    </xf>
    <xf numFmtId="37" fontId="262" fillId="0" borderId="0" xfId="18" applyFont="1" applyAlignment="1">
      <alignment horizontal="left"/>
    </xf>
    <xf numFmtId="43" fontId="265" fillId="0" borderId="0" xfId="17" applyFont="1" applyAlignment="1"/>
    <xf numFmtId="43" fontId="265" fillId="5" borderId="15" xfId="0" applyNumberFormat="1" applyFont="1" applyFill="1" applyBorder="1" applyAlignment="1">
      <alignment horizontal="left" wrapText="1"/>
    </xf>
    <xf numFmtId="37" fontId="265" fillId="7" borderId="0" xfId="18" applyFont="1" applyFill="1"/>
    <xf numFmtId="37" fontId="265" fillId="0" borderId="0" xfId="18" applyFont="1" applyFill="1"/>
    <xf numFmtId="43" fontId="265" fillId="0" borderId="0" xfId="17" applyFont="1" applyFill="1" applyAlignment="1"/>
    <xf numFmtId="37" fontId="265" fillId="0" borderId="1" xfId="18" applyFont="1" applyFill="1" applyBorder="1" applyAlignment="1">
      <alignment horizontal="left"/>
    </xf>
    <xf numFmtId="37" fontId="265" fillId="5" borderId="1" xfId="18" applyFont="1" applyFill="1" applyBorder="1" applyAlignment="1">
      <alignment horizontal="left"/>
    </xf>
    <xf numFmtId="37" fontId="265" fillId="0" borderId="0" xfId="18" applyFont="1" applyFill="1" applyAlignment="1">
      <alignment horizontal="left"/>
    </xf>
    <xf numFmtId="10" fontId="265" fillId="0" borderId="0" xfId="18" applyNumberFormat="1" applyFont="1" applyFill="1" applyAlignment="1">
      <alignment horizontal="left"/>
    </xf>
    <xf numFmtId="10" fontId="265" fillId="0" borderId="15" xfId="18" applyNumberFormat="1" applyFont="1" applyFill="1" applyBorder="1" applyAlignment="1">
      <alignment horizontal="left"/>
    </xf>
    <xf numFmtId="10" fontId="265" fillId="0" borderId="2" xfId="18" applyNumberFormat="1" applyFont="1" applyFill="1" applyBorder="1" applyAlignment="1">
      <alignment horizontal="left"/>
    </xf>
    <xf numFmtId="40" fontId="267" fillId="0" borderId="1" xfId="18" applyNumberFormat="1" applyFont="1" applyFill="1" applyBorder="1" applyAlignment="1">
      <alignment horizontal="center"/>
    </xf>
    <xf numFmtId="37" fontId="267" fillId="0" borderId="1" xfId="18" applyFont="1" applyFill="1" applyBorder="1"/>
    <xf numFmtId="37" fontId="267" fillId="7" borderId="0" xfId="18" applyFont="1" applyFill="1" applyBorder="1"/>
    <xf numFmtId="0" fontId="267" fillId="0" borderId="0" xfId="18" applyNumberFormat="1" applyFont="1" applyBorder="1" applyAlignment="1">
      <alignment horizontal="center"/>
    </xf>
    <xf numFmtId="14" fontId="267" fillId="0" borderId="0" xfId="18" applyNumberFormat="1" applyFont="1" applyBorder="1" applyAlignment="1">
      <alignment horizontal="center"/>
    </xf>
    <xf numFmtId="43" fontId="267" fillId="7" borderId="2" xfId="17" applyFont="1" applyFill="1" applyBorder="1" applyAlignment="1">
      <alignment horizontal="right"/>
    </xf>
    <xf numFmtId="40" fontId="267" fillId="7" borderId="2" xfId="18" applyNumberFormat="1" applyFont="1" applyFill="1" applyBorder="1" applyAlignment="1">
      <alignment horizontal="center"/>
    </xf>
    <xf numFmtId="43" fontId="267" fillId="7" borderId="7" xfId="17" applyFont="1" applyFill="1" applyBorder="1" applyAlignment="1">
      <alignment horizontal="center"/>
    </xf>
    <xf numFmtId="40" fontId="267" fillId="7" borderId="0" xfId="18" applyNumberFormat="1" applyFont="1" applyFill="1" applyBorder="1" applyAlignment="1">
      <alignment horizontal="center"/>
    </xf>
    <xf numFmtId="37" fontId="265" fillId="0" borderId="0" xfId="18" applyFont="1" applyFill="1" applyBorder="1" applyAlignment="1">
      <alignment horizontal="left"/>
    </xf>
    <xf numFmtId="10" fontId="265" fillId="0" borderId="0" xfId="18" applyNumberFormat="1" applyFont="1" applyFill="1" applyBorder="1" applyAlignment="1">
      <alignment horizontal="left"/>
    </xf>
    <xf numFmtId="37" fontId="267" fillId="7" borderId="0" xfId="18" applyFont="1" applyFill="1" applyBorder="1" applyAlignment="1">
      <alignment horizontal="left"/>
    </xf>
    <xf numFmtId="14" fontId="268" fillId="0" borderId="0" xfId="18" applyNumberFormat="1" applyFont="1" applyAlignment="1">
      <alignment horizontal="center"/>
    </xf>
    <xf numFmtId="39" fontId="265" fillId="7" borderId="2" xfId="18" applyNumberFormat="1" applyFont="1" applyFill="1" applyBorder="1" applyAlignment="1">
      <alignment horizontal="right"/>
    </xf>
    <xf numFmtId="40" fontId="265" fillId="0" borderId="2" xfId="18" applyNumberFormat="1" applyFont="1" applyBorder="1"/>
    <xf numFmtId="198" fontId="265" fillId="0" borderId="7" xfId="18" applyNumberFormat="1" applyFont="1" applyFill="1" applyBorder="1" applyAlignment="1"/>
    <xf numFmtId="40" fontId="265" fillId="0" borderId="0" xfId="18" applyNumberFormat="1" applyFont="1" applyFill="1" applyAlignment="1">
      <alignment horizontal="center"/>
    </xf>
    <xf numFmtId="43" fontId="257" fillId="0" borderId="0" xfId="17" applyFont="1" applyAlignment="1">
      <alignment horizontal="center"/>
    </xf>
    <xf numFmtId="40" fontId="265" fillId="0" borderId="0" xfId="18" applyNumberFormat="1" applyFont="1" applyFill="1" applyBorder="1"/>
    <xf numFmtId="198" fontId="265" fillId="0" borderId="0" xfId="18" applyNumberFormat="1" applyFont="1" applyFill="1" applyBorder="1" applyAlignment="1"/>
    <xf numFmtId="43" fontId="265" fillId="0" borderId="0" xfId="17" applyFont="1" applyFill="1" applyAlignment="1">
      <alignment horizontal="left"/>
    </xf>
    <xf numFmtId="10" fontId="265" fillId="0" borderId="0" xfId="17" applyNumberFormat="1" applyFont="1" applyFill="1" applyAlignment="1">
      <alignment horizontal="left"/>
    </xf>
    <xf numFmtId="15" fontId="262" fillId="0" borderId="0" xfId="18" applyNumberFormat="1" applyFont="1" applyFill="1" applyAlignment="1">
      <alignment horizontal="center"/>
    </xf>
    <xf numFmtId="15" fontId="262" fillId="0" borderId="0" xfId="18" applyNumberFormat="1" applyFont="1" applyFill="1" applyBorder="1" applyAlignment="1">
      <alignment horizontal="center"/>
    </xf>
    <xf numFmtId="37" fontId="265" fillId="0" borderId="0" xfId="18" applyFont="1" applyBorder="1" applyAlignment="1">
      <alignment horizontal="center" wrapText="1"/>
    </xf>
    <xf numFmtId="15" fontId="262" fillId="7" borderId="1" xfId="18" applyNumberFormat="1" applyFont="1" applyFill="1" applyBorder="1" applyAlignment="1">
      <alignment horizontal="right"/>
    </xf>
    <xf numFmtId="198" fontId="265" fillId="0" borderId="82" xfId="18" applyNumberFormat="1" applyFont="1" applyFill="1" applyBorder="1" applyAlignment="1"/>
    <xf numFmtId="37" fontId="265" fillId="0" borderId="0" xfId="18" applyFont="1" applyFill="1" applyBorder="1" applyAlignment="1">
      <alignment horizontal="center"/>
    </xf>
    <xf numFmtId="40" fontId="265" fillId="7" borderId="0" xfId="18" applyNumberFormat="1" applyFont="1" applyFill="1" applyAlignment="1">
      <alignment horizontal="right"/>
    </xf>
    <xf numFmtId="40" fontId="265" fillId="0" borderId="0" xfId="18" applyNumberFormat="1" applyFont="1" applyFill="1"/>
    <xf numFmtId="37" fontId="265" fillId="0" borderId="0" xfId="18" applyFont="1" applyFill="1" applyAlignment="1"/>
    <xf numFmtId="43" fontId="265" fillId="0" borderId="0" xfId="17" applyFont="1" applyBorder="1" applyAlignment="1">
      <alignment horizontal="center" wrapText="1"/>
    </xf>
    <xf numFmtId="15" fontId="262" fillId="7" borderId="5" xfId="18" applyNumberFormat="1" applyFont="1" applyFill="1" applyBorder="1" applyAlignment="1">
      <alignment horizontal="right"/>
    </xf>
    <xf numFmtId="10" fontId="265" fillId="0" borderId="82" xfId="18" applyNumberFormat="1" applyFont="1" applyFill="1" applyBorder="1" applyAlignment="1"/>
    <xf numFmtId="40" fontId="265" fillId="7" borderId="82" xfId="18" applyNumberFormat="1" applyFont="1" applyFill="1" applyBorder="1" applyAlignment="1">
      <alignment horizontal="center"/>
    </xf>
    <xf numFmtId="37" fontId="268" fillId="0" borderId="0" xfId="18" applyFont="1"/>
    <xf numFmtId="37" fontId="268" fillId="0" borderId="0" xfId="18" applyFont="1" applyAlignment="1">
      <alignment horizontal="center"/>
    </xf>
    <xf numFmtId="37" fontId="268" fillId="0" borderId="0" xfId="18" applyFont="1" applyAlignment="1"/>
    <xf numFmtId="40" fontId="268" fillId="0" borderId="0" xfId="18" applyNumberFormat="1" applyFont="1" applyAlignment="1">
      <alignment horizontal="center"/>
    </xf>
    <xf numFmtId="10" fontId="268" fillId="0" borderId="0" xfId="18" applyNumberFormat="1" applyFont="1" applyAlignment="1">
      <alignment horizontal="center"/>
    </xf>
    <xf numFmtId="37" fontId="268" fillId="0" borderId="0" xfId="18" applyFont="1" applyAlignment="1">
      <alignment horizontal="left"/>
    </xf>
    <xf numFmtId="43" fontId="268" fillId="0" borderId="0" xfId="17" applyFont="1" applyAlignment="1"/>
    <xf numFmtId="37" fontId="268" fillId="7" borderId="0" xfId="18" applyFont="1" applyFill="1" applyAlignment="1"/>
    <xf numFmtId="37" fontId="268" fillId="7" borderId="0" xfId="18" applyFont="1" applyFill="1" applyAlignment="1">
      <alignment horizontal="right"/>
    </xf>
    <xf numFmtId="176" fontId="268" fillId="0" borderId="0" xfId="18" applyNumberFormat="1" applyFont="1" applyAlignment="1">
      <alignment horizontal="center"/>
    </xf>
    <xf numFmtId="37" fontId="0" fillId="0" borderId="0" xfId="0" applyNumberForma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69" fillId="0" borderId="0" xfId="0" applyFont="1">
      <alignment vertical="center"/>
    </xf>
    <xf numFmtId="0" fontId="269" fillId="0" borderId="0" xfId="0" applyFont="1" applyProtection="1">
      <alignment vertical="center"/>
      <protection locked="0"/>
    </xf>
    <xf numFmtId="179" fontId="257" fillId="0" borderId="0" xfId="18" applyNumberFormat="1" applyFont="1" applyAlignment="1">
      <alignment horizontal="centerContinuous"/>
    </xf>
    <xf numFmtId="179" fontId="258" fillId="0" borderId="0" xfId="18" applyNumberFormat="1" applyFont="1" applyAlignment="1">
      <alignment horizontal="centerContinuous"/>
    </xf>
    <xf numFmtId="179" fontId="145" fillId="0" borderId="0" xfId="18" applyNumberFormat="1" applyFont="1" applyAlignment="1">
      <alignment horizontal="center"/>
    </xf>
    <xf numFmtId="179" fontId="261" fillId="0" borderId="0" xfId="18" applyNumberFormat="1" applyFont="1" applyAlignment="1">
      <alignment horizontal="center"/>
    </xf>
    <xf numFmtId="179" fontId="262" fillId="0" borderId="13" xfId="18" applyNumberFormat="1" applyFont="1" applyBorder="1" applyAlignment="1">
      <alignment horizontal="center"/>
    </xf>
    <xf numFmtId="179" fontId="262" fillId="0" borderId="2" xfId="18" applyNumberFormat="1" applyFont="1" applyBorder="1" applyAlignment="1">
      <alignment horizontal="center"/>
    </xf>
    <xf numFmtId="179" fontId="265" fillId="0" borderId="0" xfId="18" applyNumberFormat="1" applyFont="1" applyAlignment="1">
      <alignment horizontal="left"/>
    </xf>
    <xf numFmtId="179" fontId="265" fillId="0" borderId="0" xfId="18" applyNumberFormat="1" applyFont="1" applyFill="1" applyAlignment="1">
      <alignment horizontal="left"/>
    </xf>
    <xf numFmtId="179" fontId="265" fillId="0" borderId="15" xfId="18" applyNumberFormat="1" applyFont="1" applyFill="1" applyBorder="1" applyAlignment="1">
      <alignment horizontal="left"/>
    </xf>
    <xf numFmtId="179" fontId="265" fillId="0" borderId="2" xfId="18" applyNumberFormat="1" applyFont="1" applyFill="1" applyBorder="1" applyAlignment="1">
      <alignment horizontal="left"/>
    </xf>
    <xf numFmtId="179" fontId="265" fillId="0" borderId="0" xfId="18" applyNumberFormat="1" applyFont="1" applyFill="1" applyBorder="1" applyAlignment="1">
      <alignment horizontal="left"/>
    </xf>
    <xf numFmtId="179" fontId="265" fillId="0" borderId="0" xfId="17" applyNumberFormat="1" applyFont="1" applyFill="1" applyAlignment="1">
      <alignment horizontal="left"/>
    </xf>
    <xf numFmtId="179" fontId="268" fillId="0" borderId="0" xfId="18" applyNumberFormat="1" applyFont="1" applyAlignment="1">
      <alignment horizontal="center"/>
    </xf>
    <xf numFmtId="10" fontId="265" fillId="5" borderId="13" xfId="0" applyNumberFormat="1" applyFont="1" applyFill="1" applyBorder="1" applyAlignment="1">
      <alignment horizontal="left" wrapText="1"/>
    </xf>
    <xf numFmtId="179" fontId="265" fillId="5" borderId="13" xfId="0" applyNumberFormat="1" applyFont="1" applyFill="1" applyBorder="1" applyAlignment="1">
      <alignment horizontal="left" wrapText="1"/>
    </xf>
    <xf numFmtId="40" fontId="267" fillId="17" borderId="1" xfId="18" applyNumberFormat="1" applyFont="1" applyFill="1" applyBorder="1" applyAlignment="1">
      <alignment horizontal="center"/>
    </xf>
    <xf numFmtId="37" fontId="265" fillId="17" borderId="1" xfId="18" applyFont="1" applyFill="1" applyBorder="1" applyAlignment="1">
      <alignment horizontal="left"/>
    </xf>
    <xf numFmtId="37" fontId="265" fillId="17" borderId="13" xfId="18" applyFont="1" applyFill="1" applyBorder="1" applyAlignment="1">
      <alignment horizontal="left"/>
    </xf>
    <xf numFmtId="43" fontId="265" fillId="17" borderId="15" xfId="0" applyNumberFormat="1" applyFont="1" applyFill="1" applyBorder="1" applyAlignment="1">
      <alignment horizontal="left" wrapText="1"/>
    </xf>
    <xf numFmtId="10" fontId="265" fillId="17" borderId="15" xfId="0" applyNumberFormat="1" applyFont="1" applyFill="1" applyBorder="1" applyAlignment="1">
      <alignment horizontal="left" wrapText="1"/>
    </xf>
    <xf numFmtId="179" fontId="265" fillId="17" borderId="15" xfId="0" applyNumberFormat="1" applyFont="1" applyFill="1" applyBorder="1" applyAlignment="1">
      <alignment horizontal="left" wrapText="1"/>
    </xf>
    <xf numFmtId="37" fontId="265" fillId="17" borderId="0" xfId="18" applyFont="1" applyFill="1"/>
    <xf numFmtId="37" fontId="267" fillId="17" borderId="0" xfId="18" applyFont="1" applyFill="1" applyBorder="1"/>
    <xf numFmtId="37" fontId="265" fillId="17" borderId="15" xfId="18" applyFont="1" applyFill="1" applyBorder="1" applyAlignment="1">
      <alignment horizontal="left"/>
    </xf>
    <xf numFmtId="10" fontId="265" fillId="17" borderId="15" xfId="18" applyNumberFormat="1" applyFont="1" applyFill="1" applyBorder="1" applyAlignment="1">
      <alignment horizontal="left"/>
    </xf>
    <xf numFmtId="179" fontId="265" fillId="17" borderId="15" xfId="18" applyNumberFormat="1" applyFont="1" applyFill="1" applyBorder="1" applyAlignment="1">
      <alignment horizontal="left"/>
    </xf>
    <xf numFmtId="37" fontId="265" fillId="17" borderId="2" xfId="18" applyFont="1" applyFill="1" applyBorder="1" applyAlignment="1">
      <alignment horizontal="left"/>
    </xf>
    <xf numFmtId="10" fontId="265" fillId="17" borderId="2" xfId="18" applyNumberFormat="1" applyFont="1" applyFill="1" applyBorder="1" applyAlignment="1">
      <alignment horizontal="left"/>
    </xf>
    <xf numFmtId="179" fontId="265" fillId="17" borderId="2" xfId="18" applyNumberFormat="1" applyFont="1" applyFill="1" applyBorder="1" applyAlignment="1">
      <alignment horizontal="left"/>
    </xf>
    <xf numFmtId="40" fontId="265" fillId="17" borderId="1" xfId="18" applyNumberFormat="1" applyFont="1" applyFill="1" applyBorder="1" applyAlignment="1">
      <alignment horizontal="center"/>
    </xf>
    <xf numFmtId="10" fontId="265" fillId="17" borderId="13" xfId="0" applyNumberFormat="1" applyFont="1" applyFill="1" applyBorder="1" applyAlignment="1">
      <alignment horizontal="left" wrapText="1"/>
    </xf>
    <xf numFmtId="179" fontId="265" fillId="17" borderId="13" xfId="0" applyNumberFormat="1" applyFont="1" applyFill="1" applyBorder="1" applyAlignment="1">
      <alignment horizontal="left" wrapText="1"/>
    </xf>
    <xf numFmtId="37" fontId="268" fillId="17" borderId="0" xfId="18" applyFont="1" applyFill="1"/>
    <xf numFmtId="40" fontId="265" fillId="17" borderId="13" xfId="18" applyNumberFormat="1" applyFont="1" applyFill="1" applyBorder="1" applyAlignment="1">
      <alignment horizontal="center"/>
    </xf>
    <xf numFmtId="40" fontId="265" fillId="17" borderId="1" xfId="18" applyNumberFormat="1" applyFont="1" applyFill="1" applyBorder="1"/>
    <xf numFmtId="43" fontId="265" fillId="17" borderId="0" xfId="17" applyFont="1" applyFill="1" applyAlignment="1"/>
    <xf numFmtId="39" fontId="265" fillId="17" borderId="13" xfId="18" applyNumberFormat="1" applyFont="1" applyFill="1" applyBorder="1" applyAlignment="1">
      <alignment horizontal="right"/>
    </xf>
    <xf numFmtId="39" fontId="265" fillId="17" borderId="15" xfId="18" applyNumberFormat="1" applyFont="1" applyFill="1" applyBorder="1" applyAlignment="1">
      <alignment horizontal="right"/>
    </xf>
    <xf numFmtId="39" fontId="265" fillId="17" borderId="2" xfId="18" applyNumberFormat="1" applyFont="1" applyFill="1" applyBorder="1" applyAlignment="1">
      <alignment horizontal="right"/>
    </xf>
    <xf numFmtId="43" fontId="265" fillId="17" borderId="58" xfId="0" applyNumberFormat="1" applyFont="1" applyFill="1" applyBorder="1" applyAlignment="1">
      <alignment horizontal="left" wrapText="1"/>
    </xf>
    <xf numFmtId="39" fontId="265" fillId="17" borderId="1" xfId="18" applyNumberFormat="1" applyFont="1" applyFill="1" applyBorder="1" applyAlignment="1">
      <alignment horizontal="left"/>
    </xf>
    <xf numFmtId="37" fontId="265" fillId="17" borderId="1" xfId="18" applyFont="1" applyFill="1" applyBorder="1" applyAlignment="1">
      <alignment horizontal="left" wrapText="1"/>
    </xf>
    <xf numFmtId="37" fontId="265" fillId="17" borderId="13" xfId="18" applyFont="1" applyFill="1" applyBorder="1" applyAlignment="1">
      <alignment horizontal="left" wrapText="1"/>
    </xf>
    <xf numFmtId="37" fontId="265" fillId="17" borderId="15" xfId="18" applyFont="1" applyFill="1" applyBorder="1" applyAlignment="1">
      <alignment horizontal="left" wrapText="1"/>
    </xf>
    <xf numFmtId="10" fontId="265" fillId="17" borderId="15" xfId="18" applyNumberFormat="1" applyFont="1" applyFill="1" applyBorder="1" applyAlignment="1">
      <alignment horizontal="left" wrapText="1"/>
    </xf>
    <xf numFmtId="179" fontId="265" fillId="17" borderId="15" xfId="18" applyNumberFormat="1" applyFont="1" applyFill="1" applyBorder="1" applyAlignment="1">
      <alignment horizontal="left" wrapText="1"/>
    </xf>
    <xf numFmtId="37" fontId="265" fillId="17" borderId="2" xfId="18" applyFont="1" applyFill="1" applyBorder="1" applyAlignment="1">
      <alignment horizontal="left" wrapText="1"/>
    </xf>
    <xf numFmtId="37" fontId="265" fillId="17" borderId="13" xfId="18" applyFont="1" applyFill="1" applyBorder="1" applyAlignment="1">
      <alignment horizontal="center" wrapText="1"/>
    </xf>
    <xf numFmtId="0" fontId="265" fillId="17" borderId="13" xfId="0" applyFont="1" applyFill="1" applyBorder="1" applyAlignment="1">
      <alignment wrapText="1"/>
    </xf>
    <xf numFmtId="37" fontId="265" fillId="17" borderId="15" xfId="18" applyFont="1" applyFill="1" applyBorder="1" applyAlignment="1">
      <alignment horizontal="center" wrapText="1"/>
    </xf>
    <xf numFmtId="0" fontId="265" fillId="17" borderId="15" xfId="0" applyFont="1" applyFill="1" applyBorder="1" applyAlignment="1">
      <alignment wrapText="1"/>
    </xf>
    <xf numFmtId="0" fontId="265" fillId="17" borderId="2" xfId="0" applyFont="1" applyFill="1" applyBorder="1" applyAlignment="1">
      <alignment wrapText="1"/>
    </xf>
    <xf numFmtId="40" fontId="265" fillId="7" borderId="1" xfId="18" applyNumberFormat="1" applyFont="1" applyFill="1" applyBorder="1" applyAlignment="1">
      <alignment horizontal="center"/>
    </xf>
    <xf numFmtId="37" fontId="265" fillId="7" borderId="1" xfId="18" applyFont="1" applyFill="1" applyBorder="1" applyAlignment="1">
      <alignment horizontal="left"/>
    </xf>
    <xf numFmtId="43" fontId="265" fillId="7" borderId="15" xfId="0" applyNumberFormat="1" applyFont="1" applyFill="1" applyBorder="1" applyAlignment="1">
      <alignment horizontal="left" wrapText="1"/>
    </xf>
    <xf numFmtId="10" fontId="265" fillId="7" borderId="13" xfId="0" applyNumberFormat="1" applyFont="1" applyFill="1" applyBorder="1" applyAlignment="1">
      <alignment horizontal="left" wrapText="1"/>
    </xf>
    <xf numFmtId="179" fontId="265" fillId="7" borderId="13" xfId="0" applyNumberFormat="1" applyFont="1" applyFill="1" applyBorder="1" applyAlignment="1">
      <alignment horizontal="left" wrapText="1"/>
    </xf>
    <xf numFmtId="37" fontId="268" fillId="7" borderId="0" xfId="18" applyFont="1" applyFill="1"/>
    <xf numFmtId="43" fontId="268" fillId="7" borderId="0" xfId="17" applyFont="1" applyFill="1" applyAlignment="1"/>
    <xf numFmtId="10" fontId="265" fillId="7" borderId="15" xfId="18" applyNumberFormat="1" applyFont="1" applyFill="1" applyBorder="1" applyAlignment="1">
      <alignment horizontal="left"/>
    </xf>
    <xf numFmtId="179" fontId="265" fillId="7" borderId="15" xfId="18" applyNumberFormat="1" applyFont="1" applyFill="1" applyBorder="1" applyAlignment="1">
      <alignment horizontal="left"/>
    </xf>
    <xf numFmtId="37" fontId="268" fillId="7" borderId="1" xfId="18" applyFont="1" applyFill="1" applyBorder="1" applyAlignment="1">
      <alignment horizontal="center"/>
    </xf>
    <xf numFmtId="10" fontId="265" fillId="7" borderId="2" xfId="18" applyNumberFormat="1" applyFont="1" applyFill="1" applyBorder="1" applyAlignment="1">
      <alignment horizontal="left"/>
    </xf>
    <xf numFmtId="179" fontId="265" fillId="7" borderId="2" xfId="18" applyNumberFormat="1" applyFont="1" applyFill="1" applyBorder="1" applyAlignment="1">
      <alignment horizontal="left"/>
    </xf>
    <xf numFmtId="40" fontId="265" fillId="18" borderId="1" xfId="18" applyNumberFormat="1" applyFont="1" applyFill="1" applyBorder="1"/>
    <xf numFmtId="37" fontId="265" fillId="18" borderId="1" xfId="18" applyFont="1" applyFill="1" applyBorder="1" applyAlignment="1">
      <alignment horizontal="left"/>
    </xf>
    <xf numFmtId="37" fontId="265" fillId="18" borderId="13" xfId="18" applyFont="1" applyFill="1" applyBorder="1" applyAlignment="1">
      <alignment horizontal="left"/>
    </xf>
    <xf numFmtId="43" fontId="265" fillId="18" borderId="15" xfId="0" applyNumberFormat="1" applyFont="1" applyFill="1" applyBorder="1" applyAlignment="1">
      <alignment horizontal="left" wrapText="1"/>
    </xf>
    <xf numFmtId="10" fontId="265" fillId="18" borderId="15" xfId="0" applyNumberFormat="1" applyFont="1" applyFill="1" applyBorder="1" applyAlignment="1">
      <alignment horizontal="left" wrapText="1"/>
    </xf>
    <xf numFmtId="179" fontId="265" fillId="18" borderId="15" xfId="0" applyNumberFormat="1" applyFont="1" applyFill="1" applyBorder="1" applyAlignment="1">
      <alignment horizontal="left" wrapText="1"/>
    </xf>
    <xf numFmtId="37" fontId="265" fillId="18" borderId="0" xfId="18" applyFont="1" applyFill="1"/>
    <xf numFmtId="43" fontId="265" fillId="18" borderId="0" xfId="17" applyFont="1" applyFill="1" applyAlignment="1"/>
    <xf numFmtId="37" fontId="265" fillId="18" borderId="15" xfId="18" applyFont="1" applyFill="1" applyBorder="1" applyAlignment="1">
      <alignment horizontal="left"/>
    </xf>
    <xf numFmtId="10" fontId="265" fillId="18" borderId="15" xfId="18" applyNumberFormat="1" applyFont="1" applyFill="1" applyBorder="1" applyAlignment="1">
      <alignment horizontal="left"/>
    </xf>
    <xf numFmtId="179" fontId="265" fillId="18" borderId="15" xfId="18" applyNumberFormat="1" applyFont="1" applyFill="1" applyBorder="1" applyAlignment="1">
      <alignment horizontal="left"/>
    </xf>
    <xf numFmtId="40" fontId="265" fillId="18" borderId="1" xfId="18" applyNumberFormat="1" applyFont="1" applyFill="1" applyBorder="1" applyAlignment="1">
      <alignment horizontal="center"/>
    </xf>
    <xf numFmtId="37" fontId="265" fillId="18" borderId="2" xfId="18" applyFont="1" applyFill="1" applyBorder="1" applyAlignment="1">
      <alignment horizontal="left"/>
    </xf>
    <xf numFmtId="10" fontId="265" fillId="18" borderId="2" xfId="18" applyNumberFormat="1" applyFont="1" applyFill="1" applyBorder="1" applyAlignment="1">
      <alignment horizontal="left"/>
    </xf>
    <xf numFmtId="179" fontId="265" fillId="18" borderId="2" xfId="18" applyNumberFormat="1" applyFont="1" applyFill="1" applyBorder="1" applyAlignment="1">
      <alignment horizontal="left"/>
    </xf>
    <xf numFmtId="39" fontId="265" fillId="18" borderId="13" xfId="18" applyNumberFormat="1" applyFont="1" applyFill="1" applyBorder="1" applyAlignment="1">
      <alignment horizontal="right"/>
    </xf>
    <xf numFmtId="39" fontId="265" fillId="18" borderId="15" xfId="18" applyNumberFormat="1" applyFont="1" applyFill="1" applyBorder="1" applyAlignment="1">
      <alignment horizontal="right"/>
    </xf>
    <xf numFmtId="39" fontId="265" fillId="18" borderId="2" xfId="18" applyNumberFormat="1" applyFont="1" applyFill="1" applyBorder="1" applyAlignment="1">
      <alignment horizontal="right"/>
    </xf>
    <xf numFmtId="10" fontId="265" fillId="18" borderId="13" xfId="0" applyNumberFormat="1" applyFont="1" applyFill="1" applyBorder="1" applyAlignment="1">
      <alignment horizontal="left" wrapText="1"/>
    </xf>
    <xf numFmtId="179" fontId="265" fillId="18" borderId="13" xfId="0" applyNumberFormat="1" applyFont="1" applyFill="1" applyBorder="1" applyAlignment="1">
      <alignment horizontal="left" wrapText="1"/>
    </xf>
    <xf numFmtId="43" fontId="265" fillId="18" borderId="58" xfId="0" applyNumberFormat="1" applyFont="1" applyFill="1" applyBorder="1" applyAlignment="1">
      <alignment horizontal="left" wrapText="1"/>
    </xf>
    <xf numFmtId="37" fontId="265" fillId="18" borderId="58" xfId="18" applyFont="1" applyFill="1" applyBorder="1" applyAlignment="1">
      <alignment horizontal="left"/>
    </xf>
    <xf numFmtId="37" fontId="265" fillId="18" borderId="0" xfId="18" applyFont="1" applyFill="1" applyAlignment="1">
      <alignment horizontal="left"/>
    </xf>
    <xf numFmtId="10" fontId="265" fillId="17" borderId="46" xfId="0" applyNumberFormat="1" applyFont="1" applyFill="1" applyBorder="1" applyAlignment="1">
      <alignment horizontal="left" wrapText="1"/>
    </xf>
    <xf numFmtId="37" fontId="265" fillId="17" borderId="5" xfId="18" applyFont="1" applyFill="1" applyBorder="1" applyAlignment="1">
      <alignment horizontal="left"/>
    </xf>
    <xf numFmtId="10" fontId="265" fillId="17" borderId="58" xfId="18" applyNumberFormat="1" applyFont="1" applyFill="1" applyBorder="1" applyAlignment="1">
      <alignment horizontal="left"/>
    </xf>
    <xf numFmtId="10" fontId="265" fillId="17" borderId="4" xfId="18" applyNumberFormat="1" applyFont="1" applyFill="1" applyBorder="1" applyAlignment="1">
      <alignment horizontal="left"/>
    </xf>
    <xf numFmtId="39" fontId="265" fillId="18" borderId="1" xfId="18" applyNumberFormat="1" applyFont="1" applyFill="1" applyBorder="1" applyAlignment="1">
      <alignment horizontal="left"/>
    </xf>
    <xf numFmtId="37" fontId="265" fillId="18" borderId="1" xfId="18" applyFont="1" applyFill="1" applyBorder="1" applyAlignment="1">
      <alignment horizontal="left" wrapText="1"/>
    </xf>
    <xf numFmtId="37" fontId="265" fillId="18" borderId="13" xfId="18" applyFont="1" applyFill="1" applyBorder="1" applyAlignment="1">
      <alignment horizontal="left" wrapText="1"/>
    </xf>
    <xf numFmtId="37" fontId="265" fillId="18" borderId="15" xfId="18" applyFont="1" applyFill="1" applyBorder="1" applyAlignment="1">
      <alignment horizontal="left" wrapText="1"/>
    </xf>
    <xf numFmtId="10" fontId="265" fillId="18" borderId="15" xfId="18" applyNumberFormat="1" applyFont="1" applyFill="1" applyBorder="1" applyAlignment="1">
      <alignment horizontal="left" wrapText="1"/>
    </xf>
    <xf numFmtId="179" fontId="265" fillId="18" borderId="15" xfId="18" applyNumberFormat="1" applyFont="1" applyFill="1" applyBorder="1" applyAlignment="1">
      <alignment horizontal="left" wrapText="1"/>
    </xf>
    <xf numFmtId="37" fontId="265" fillId="18" borderId="2" xfId="18" applyFont="1" applyFill="1" applyBorder="1" applyAlignment="1">
      <alignment horizontal="left" wrapText="1"/>
    </xf>
    <xf numFmtId="10" fontId="265" fillId="17" borderId="2" xfId="18" applyNumberFormat="1" applyFont="1" applyFill="1" applyBorder="1" applyAlignment="1">
      <alignment horizontal="left" wrapText="1"/>
    </xf>
    <xf numFmtId="179" fontId="265" fillId="17" borderId="2" xfId="18" applyNumberFormat="1" applyFont="1" applyFill="1" applyBorder="1" applyAlignment="1">
      <alignment horizontal="left" wrapText="1"/>
    </xf>
    <xf numFmtId="37" fontId="265" fillId="18" borderId="13" xfId="18" applyFont="1" applyFill="1" applyBorder="1" applyAlignment="1">
      <alignment horizontal="center" wrapText="1"/>
    </xf>
    <xf numFmtId="0" fontId="265" fillId="18" borderId="13" xfId="0" applyFont="1" applyFill="1" applyBorder="1" applyAlignment="1">
      <alignment wrapText="1"/>
    </xf>
    <xf numFmtId="37" fontId="265" fillId="18" borderId="15" xfId="18" applyFont="1" applyFill="1" applyBorder="1" applyAlignment="1">
      <alignment horizontal="center" wrapText="1"/>
    </xf>
    <xf numFmtId="0" fontId="265" fillId="18" borderId="15" xfId="0" applyFont="1" applyFill="1" applyBorder="1" applyAlignment="1">
      <alignment wrapText="1"/>
    </xf>
    <xf numFmtId="10" fontId="265" fillId="18" borderId="15" xfId="0" applyNumberFormat="1" applyFont="1" applyFill="1" applyBorder="1" applyAlignment="1">
      <alignment wrapText="1"/>
    </xf>
    <xf numFmtId="179" fontId="265" fillId="18" borderId="15" xfId="0" applyNumberFormat="1" applyFont="1" applyFill="1" applyBorder="1" applyAlignment="1">
      <alignment wrapText="1"/>
    </xf>
    <xf numFmtId="0" fontId="265" fillId="18" borderId="2" xfId="0" applyFont="1" applyFill="1" applyBorder="1" applyAlignment="1">
      <alignment wrapText="1"/>
    </xf>
    <xf numFmtId="10" fontId="265" fillId="18" borderId="2" xfId="0" applyNumberFormat="1" applyFont="1" applyFill="1" applyBorder="1" applyAlignment="1">
      <alignment wrapText="1"/>
    </xf>
    <xf numFmtId="179" fontId="265" fillId="18" borderId="2" xfId="0" applyNumberFormat="1" applyFont="1" applyFill="1" applyBorder="1" applyAlignment="1">
      <alignment wrapText="1"/>
    </xf>
    <xf numFmtId="0" fontId="265" fillId="17" borderId="22" xfId="0" applyFont="1" applyFill="1" applyBorder="1" applyAlignment="1">
      <alignment wrapText="1"/>
    </xf>
    <xf numFmtId="10" fontId="265" fillId="17" borderId="35" xfId="0" applyNumberFormat="1" applyFont="1" applyFill="1" applyBorder="1" applyAlignment="1">
      <alignment horizontal="left" wrapText="1"/>
    </xf>
    <xf numFmtId="179" fontId="265" fillId="17" borderId="35" xfId="0" applyNumberFormat="1" applyFont="1" applyFill="1" applyBorder="1" applyAlignment="1">
      <alignment horizontal="left" wrapText="1"/>
    </xf>
    <xf numFmtId="0" fontId="265" fillId="17" borderId="35" xfId="0" applyFont="1" applyFill="1" applyBorder="1" applyAlignment="1">
      <alignment wrapText="1"/>
    </xf>
    <xf numFmtId="10" fontId="265" fillId="17" borderId="35" xfId="0" applyNumberFormat="1" applyFont="1" applyFill="1" applyBorder="1" applyAlignment="1">
      <alignment wrapText="1"/>
    </xf>
    <xf numFmtId="179" fontId="265" fillId="17" borderId="35" xfId="0" applyNumberFormat="1" applyFont="1" applyFill="1" applyBorder="1" applyAlignment="1">
      <alignment wrapText="1"/>
    </xf>
    <xf numFmtId="0" fontId="265" fillId="17" borderId="7" xfId="0" applyFont="1" applyFill="1" applyBorder="1" applyAlignment="1">
      <alignment wrapText="1"/>
    </xf>
    <xf numFmtId="10" fontId="265" fillId="17" borderId="7" xfId="0" applyNumberFormat="1" applyFont="1" applyFill="1" applyBorder="1" applyAlignment="1">
      <alignment wrapText="1"/>
    </xf>
    <xf numFmtId="179" fontId="265" fillId="17" borderId="7" xfId="0" applyNumberFormat="1" applyFont="1" applyFill="1" applyBorder="1" applyAlignment="1">
      <alignment wrapText="1"/>
    </xf>
    <xf numFmtId="40" fontId="265" fillId="18" borderId="1" xfId="18" applyNumberFormat="1" applyFont="1" applyFill="1" applyBorder="1" applyAlignment="1"/>
    <xf numFmtId="0" fontId="265" fillId="18" borderId="15" xfId="0" applyFont="1" applyFill="1" applyBorder="1" applyAlignment="1">
      <alignment horizontal="left" wrapText="1"/>
    </xf>
    <xf numFmtId="37" fontId="265" fillId="18" borderId="2" xfId="18" applyFont="1" applyFill="1" applyBorder="1" applyAlignment="1">
      <alignment horizontal="center" wrapText="1"/>
    </xf>
    <xf numFmtId="179" fontId="265" fillId="17" borderId="22" xfId="0" applyNumberFormat="1" applyFont="1" applyFill="1" applyBorder="1" applyAlignment="1">
      <alignment horizontal="left" wrapText="1"/>
    </xf>
    <xf numFmtId="179" fontId="265" fillId="17" borderId="35" xfId="18" applyNumberFormat="1" applyFont="1" applyFill="1" applyBorder="1" applyAlignment="1">
      <alignment horizontal="left"/>
    </xf>
    <xf numFmtId="179" fontId="265" fillId="17" borderId="7" xfId="18" applyNumberFormat="1" applyFont="1" applyFill="1" applyBorder="1" applyAlignment="1">
      <alignment horizontal="left"/>
    </xf>
    <xf numFmtId="0" fontId="19" fillId="0" borderId="1" xfId="0" applyFont="1" applyBorder="1" applyAlignment="1"/>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80" fillId="7" borderId="0" xfId="0" applyFont="1" applyFill="1" applyProtection="1">
      <alignment vertical="center"/>
      <protection locked="0"/>
    </xf>
    <xf numFmtId="177" fontId="50" fillId="7" borderId="0" xfId="0" applyNumberFormat="1" applyFont="1" applyFill="1" applyProtection="1">
      <alignment vertical="center"/>
      <protection locked="0"/>
    </xf>
    <xf numFmtId="183" fontId="56" fillId="3" borderId="0" xfId="0" applyNumberFormat="1" applyFont="1" applyFill="1" applyAlignment="1" applyProtection="1">
      <alignment horizontal="center" vertical="center"/>
      <protection locked="0"/>
    </xf>
    <xf numFmtId="10" fontId="170" fillId="0" borderId="0" xfId="12" applyNumberFormat="1" applyBorder="1"/>
    <xf numFmtId="177" fontId="170" fillId="0" borderId="0" xfId="12" applyNumberFormat="1" applyBorder="1" applyAlignment="1">
      <alignment horizontal="right"/>
    </xf>
    <xf numFmtId="0" fontId="170" fillId="0" borderId="0" xfId="12" applyAlignment="1">
      <alignment horizontal="right"/>
    </xf>
    <xf numFmtId="0" fontId="170" fillId="0" borderId="0" xfId="12" applyBorder="1" applyAlignment="1">
      <alignment horizontal="right"/>
    </xf>
    <xf numFmtId="177" fontId="170" fillId="0" borderId="0" xfId="12" applyNumberFormat="1" applyAlignment="1">
      <alignment horizontal="right"/>
    </xf>
    <xf numFmtId="181" fontId="105" fillId="19" borderId="1" xfId="0" applyNumberFormat="1" applyFont="1" applyFill="1" applyBorder="1" applyAlignment="1" applyProtection="1">
      <alignment horizontal="center" vertical="center"/>
      <protection locked="0"/>
    </xf>
    <xf numFmtId="10" fontId="47" fillId="19" borderId="1" xfId="0" applyNumberFormat="1" applyFont="1" applyFill="1" applyBorder="1" applyAlignment="1" applyProtection="1">
      <alignment horizontal="center" vertical="center"/>
      <protection locked="0"/>
    </xf>
    <xf numFmtId="181" fontId="47" fillId="19" borderId="24" xfId="0" applyNumberFormat="1" applyFont="1" applyFill="1" applyBorder="1" applyAlignment="1" applyProtection="1">
      <alignment horizontal="center" vertical="center"/>
      <protection locked="0"/>
    </xf>
    <xf numFmtId="10" fontId="170" fillId="0" borderId="0" xfId="12" applyNumberFormat="1"/>
    <xf numFmtId="181" fontId="56" fillId="6" borderId="5" xfId="1" applyNumberFormat="1" applyFont="1" applyFill="1" applyBorder="1" applyAlignment="1" applyProtection="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37" fontId="262" fillId="0" borderId="13" xfId="18" applyFont="1" applyBorder="1" applyAlignment="1">
      <alignment horizontal="center" wrapText="1"/>
    </xf>
    <xf numFmtId="37" fontId="262" fillId="0" borderId="2" xfId="18" applyFont="1" applyBorder="1" applyAlignment="1">
      <alignment horizontal="center" wrapText="1"/>
    </xf>
    <xf numFmtId="37" fontId="265" fillId="0" borderId="13" xfId="18" applyFont="1" applyBorder="1" applyAlignment="1">
      <alignment horizontal="center"/>
    </xf>
    <xf numFmtId="37" fontId="265" fillId="0" borderId="2" xfId="18" applyFont="1" applyBorder="1" applyAlignment="1">
      <alignment horizontal="center"/>
    </xf>
    <xf numFmtId="37" fontId="265" fillId="18" borderId="13" xfId="18" applyFont="1" applyFill="1" applyBorder="1" applyAlignment="1">
      <alignment horizontal="left"/>
    </xf>
    <xf numFmtId="37" fontId="265" fillId="18" borderId="15" xfId="18" applyFont="1" applyFill="1" applyBorder="1" applyAlignment="1">
      <alignment horizontal="left"/>
    </xf>
    <xf numFmtId="37" fontId="265" fillId="18" borderId="2" xfId="18" applyFont="1" applyFill="1" applyBorder="1" applyAlignment="1">
      <alignment horizontal="left"/>
    </xf>
    <xf numFmtId="37" fontId="265" fillId="17" borderId="13" xfId="18" applyFont="1" applyFill="1" applyBorder="1" applyAlignment="1">
      <alignment horizontal="center"/>
    </xf>
    <xf numFmtId="37" fontId="265" fillId="17" borderId="15" xfId="18" applyFont="1" applyFill="1" applyBorder="1" applyAlignment="1">
      <alignment horizontal="center"/>
    </xf>
    <xf numFmtId="37" fontId="265" fillId="17" borderId="2" xfId="18" applyFont="1" applyFill="1" applyBorder="1" applyAlignment="1">
      <alignment horizontal="center"/>
    </xf>
    <xf numFmtId="37" fontId="267" fillId="17" borderId="13" xfId="18" applyFont="1" applyFill="1" applyBorder="1" applyAlignment="1"/>
    <xf numFmtId="37" fontId="265" fillId="17" borderId="15" xfId="18" applyFont="1" applyFill="1" applyBorder="1" applyAlignment="1"/>
    <xf numFmtId="37" fontId="265" fillId="17" borderId="2" xfId="18" applyFont="1" applyFill="1" applyBorder="1" applyAlignment="1"/>
    <xf numFmtId="15" fontId="265" fillId="17" borderId="13" xfId="18" applyNumberFormat="1" applyFont="1" applyFill="1" applyBorder="1" applyAlignment="1">
      <alignment horizontal="center"/>
    </xf>
    <xf numFmtId="15" fontId="265" fillId="17" borderId="15" xfId="18" applyNumberFormat="1" applyFont="1" applyFill="1" applyBorder="1" applyAlignment="1">
      <alignment horizontal="center"/>
    </xf>
    <xf numFmtId="15" fontId="265" fillId="17" borderId="2" xfId="18" applyNumberFormat="1" applyFont="1" applyFill="1" applyBorder="1" applyAlignment="1">
      <alignment horizontal="center"/>
    </xf>
    <xf numFmtId="15" fontId="265" fillId="17" borderId="46" xfId="18" applyNumberFormat="1" applyFont="1" applyFill="1" applyBorder="1" applyAlignment="1">
      <alignment horizontal="center"/>
    </xf>
    <xf numFmtId="15" fontId="265" fillId="17" borderId="58" xfId="18" applyNumberFormat="1" applyFont="1" applyFill="1" applyBorder="1" applyAlignment="1">
      <alignment horizontal="center"/>
    </xf>
    <xf numFmtId="15" fontId="265" fillId="17" borderId="4" xfId="18" applyNumberFormat="1" applyFont="1" applyFill="1" applyBorder="1" applyAlignment="1">
      <alignment horizontal="center"/>
    </xf>
    <xf numFmtId="39" fontId="265" fillId="17" borderId="13" xfId="18" applyNumberFormat="1" applyFont="1" applyFill="1" applyBorder="1" applyAlignment="1">
      <alignment horizontal="right" wrapText="1"/>
    </xf>
    <xf numFmtId="39" fontId="265" fillId="17" borderId="15" xfId="18" applyNumberFormat="1" applyFont="1" applyFill="1" applyBorder="1" applyAlignment="1">
      <alignment horizontal="right" wrapText="1"/>
    </xf>
    <xf numFmtId="39" fontId="265" fillId="17" borderId="2" xfId="18" applyNumberFormat="1" applyFont="1" applyFill="1" applyBorder="1" applyAlignment="1">
      <alignment horizontal="right" wrapText="1"/>
    </xf>
    <xf numFmtId="43" fontId="265" fillId="17" borderId="13" xfId="17" applyFont="1" applyFill="1" applyBorder="1" applyAlignment="1">
      <alignment horizontal="center"/>
    </xf>
    <xf numFmtId="43" fontId="265" fillId="17" borderId="15" xfId="17" applyFont="1" applyFill="1" applyBorder="1" applyAlignment="1">
      <alignment horizontal="center"/>
    </xf>
    <xf numFmtId="43" fontId="265" fillId="17" borderId="2" xfId="17" applyFont="1" applyFill="1" applyBorder="1" applyAlignment="1">
      <alignment horizontal="center"/>
    </xf>
    <xf numFmtId="40" fontId="265" fillId="17" borderId="13" xfId="18" applyNumberFormat="1" applyFont="1" applyFill="1" applyBorder="1" applyAlignment="1">
      <alignment horizontal="center"/>
    </xf>
    <xf numFmtId="40" fontId="265" fillId="17" borderId="15" xfId="18" applyNumberFormat="1" applyFont="1" applyFill="1" applyBorder="1" applyAlignment="1">
      <alignment horizontal="center"/>
    </xf>
    <xf numFmtId="40" fontId="265" fillId="17" borderId="2" xfId="18" applyNumberFormat="1" applyFont="1" applyFill="1" applyBorder="1" applyAlignment="1">
      <alignment horizontal="center"/>
    </xf>
    <xf numFmtId="37" fontId="265" fillId="17" borderId="13" xfId="18" applyFont="1" applyFill="1" applyBorder="1" applyAlignment="1">
      <alignment horizontal="left"/>
    </xf>
    <xf numFmtId="37" fontId="265" fillId="17" borderId="15" xfId="18" applyFont="1" applyFill="1" applyBorder="1" applyAlignment="1">
      <alignment horizontal="left"/>
    </xf>
    <xf numFmtId="37" fontId="265" fillId="17" borderId="2" xfId="18" applyFont="1" applyFill="1" applyBorder="1" applyAlignment="1">
      <alignment horizontal="left"/>
    </xf>
    <xf numFmtId="197" fontId="265" fillId="18" borderId="13" xfId="18" applyNumberFormat="1" applyFont="1" applyFill="1" applyBorder="1" applyAlignment="1">
      <alignment horizontal="center" vertical="center"/>
    </xf>
    <xf numFmtId="197" fontId="265" fillId="18" borderId="15" xfId="18" applyNumberFormat="1" applyFont="1" applyFill="1" applyBorder="1" applyAlignment="1">
      <alignment horizontal="center" vertical="center"/>
    </xf>
    <xf numFmtId="197" fontId="265" fillId="18" borderId="2" xfId="18" applyNumberFormat="1" applyFont="1" applyFill="1" applyBorder="1" applyAlignment="1">
      <alignment horizontal="center" vertical="center"/>
    </xf>
    <xf numFmtId="0" fontId="267" fillId="18" borderId="13" xfId="0" applyFont="1" applyFill="1" applyBorder="1" applyAlignment="1">
      <alignment vertical="center"/>
    </xf>
    <xf numFmtId="0" fontId="267" fillId="18" borderId="15" xfId="0" applyFont="1" applyFill="1" applyBorder="1" applyAlignment="1">
      <alignment vertical="center"/>
    </xf>
    <xf numFmtId="0" fontId="267" fillId="18" borderId="2" xfId="0" applyFont="1" applyFill="1" applyBorder="1" applyAlignment="1">
      <alignment vertical="center"/>
    </xf>
    <xf numFmtId="15" fontId="265" fillId="18" borderId="13" xfId="18" applyNumberFormat="1" applyFont="1" applyFill="1" applyBorder="1" applyAlignment="1">
      <alignment horizontal="center"/>
    </xf>
    <xf numFmtId="15" fontId="265" fillId="18" borderId="15" xfId="18" applyNumberFormat="1" applyFont="1" applyFill="1" applyBorder="1" applyAlignment="1">
      <alignment horizontal="center"/>
    </xf>
    <xf numFmtId="15" fontId="265" fillId="18" borderId="2" xfId="18" applyNumberFormat="1" applyFont="1" applyFill="1" applyBorder="1" applyAlignment="1">
      <alignment horizontal="center"/>
    </xf>
    <xf numFmtId="15" fontId="265" fillId="18" borderId="46" xfId="18" applyNumberFormat="1" applyFont="1" applyFill="1" applyBorder="1" applyAlignment="1">
      <alignment horizontal="center"/>
    </xf>
    <xf numFmtId="15" fontId="265" fillId="18" borderId="58" xfId="18" applyNumberFormat="1" applyFont="1" applyFill="1" applyBorder="1" applyAlignment="1">
      <alignment horizontal="center"/>
    </xf>
    <xf numFmtId="15" fontId="265" fillId="18" borderId="4" xfId="18" applyNumberFormat="1" applyFont="1" applyFill="1" applyBorder="1" applyAlignment="1">
      <alignment horizontal="center"/>
    </xf>
    <xf numFmtId="39" fontId="265" fillId="18" borderId="13" xfId="18" applyNumberFormat="1" applyFont="1" applyFill="1" applyBorder="1" applyAlignment="1">
      <alignment horizontal="right"/>
    </xf>
    <xf numFmtId="39" fontId="265" fillId="18" borderId="15" xfId="18" applyNumberFormat="1" applyFont="1" applyFill="1" applyBorder="1" applyAlignment="1">
      <alignment horizontal="right"/>
    </xf>
    <xf numFmtId="39" fontId="265" fillId="18" borderId="2" xfId="18" applyNumberFormat="1" applyFont="1" applyFill="1" applyBorder="1" applyAlignment="1">
      <alignment horizontal="right"/>
    </xf>
    <xf numFmtId="43" fontId="265" fillId="18" borderId="13" xfId="17" applyFont="1" applyFill="1" applyBorder="1" applyAlignment="1">
      <alignment horizontal="center"/>
    </xf>
    <xf numFmtId="43" fontId="265" fillId="18" borderId="15" xfId="17" applyFont="1" applyFill="1" applyBorder="1" applyAlignment="1">
      <alignment horizontal="center"/>
    </xf>
    <xf numFmtId="43" fontId="265" fillId="18" borderId="2" xfId="17" applyFont="1" applyFill="1" applyBorder="1" applyAlignment="1">
      <alignment horizontal="center"/>
    </xf>
    <xf numFmtId="40" fontId="265" fillId="18" borderId="13" xfId="18" applyNumberFormat="1" applyFont="1" applyFill="1" applyBorder="1" applyAlignment="1">
      <alignment horizontal="center"/>
    </xf>
    <xf numFmtId="40" fontId="265" fillId="18" borderId="15" xfId="18" applyNumberFormat="1" applyFont="1" applyFill="1" applyBorder="1" applyAlignment="1">
      <alignment horizontal="center"/>
    </xf>
    <xf numFmtId="40" fontId="265" fillId="18" borderId="2" xfId="18" applyNumberFormat="1" applyFont="1" applyFill="1" applyBorder="1" applyAlignment="1">
      <alignment horizontal="center"/>
    </xf>
    <xf numFmtId="40" fontId="265" fillId="18" borderId="46" xfId="18" applyNumberFormat="1" applyFont="1" applyFill="1" applyBorder="1" applyAlignment="1">
      <alignment horizontal="center" wrapText="1"/>
    </xf>
    <xf numFmtId="40" fontId="265" fillId="18" borderId="58" xfId="18" applyNumberFormat="1" applyFont="1" applyFill="1" applyBorder="1" applyAlignment="1">
      <alignment horizontal="center" wrapText="1"/>
    </xf>
    <xf numFmtId="40" fontId="265" fillId="18" borderId="4" xfId="18" applyNumberFormat="1" applyFont="1" applyFill="1" applyBorder="1" applyAlignment="1">
      <alignment horizontal="center" wrapText="1"/>
    </xf>
    <xf numFmtId="37" fontId="265" fillId="18" borderId="13" xfId="18" applyFont="1" applyFill="1" applyBorder="1" applyAlignment="1">
      <alignment horizontal="center"/>
    </xf>
    <xf numFmtId="37" fontId="265" fillId="18" borderId="15" xfId="18" applyFont="1" applyFill="1" applyBorder="1" applyAlignment="1">
      <alignment horizontal="center"/>
    </xf>
    <xf numFmtId="37" fontId="265" fillId="18" borderId="2" xfId="18" applyFont="1" applyFill="1" applyBorder="1" applyAlignment="1">
      <alignment horizontal="center"/>
    </xf>
    <xf numFmtId="37" fontId="267" fillId="18" borderId="13" xfId="18" applyFont="1" applyFill="1" applyBorder="1" applyAlignment="1"/>
    <xf numFmtId="37" fontId="267" fillId="18" borderId="15" xfId="18" applyFont="1" applyFill="1" applyBorder="1" applyAlignment="1"/>
    <xf numFmtId="37" fontId="267" fillId="18" borderId="2" xfId="18" applyFont="1" applyFill="1" applyBorder="1" applyAlignment="1"/>
    <xf numFmtId="39" fontId="265" fillId="18" borderId="13" xfId="18" applyNumberFormat="1" applyFont="1" applyFill="1" applyBorder="1" applyAlignment="1">
      <alignment horizontal="right" wrapText="1"/>
    </xf>
    <xf numFmtId="39" fontId="265" fillId="18" borderId="15" xfId="18" applyNumberFormat="1" applyFont="1" applyFill="1" applyBorder="1" applyAlignment="1">
      <alignment horizontal="right" wrapText="1"/>
    </xf>
    <xf numFmtId="39" fontId="265" fillId="18" borderId="2" xfId="18" applyNumberFormat="1" applyFont="1" applyFill="1" applyBorder="1" applyAlignment="1">
      <alignment horizontal="right" wrapText="1"/>
    </xf>
    <xf numFmtId="49" fontId="265" fillId="18" borderId="1" xfId="18" applyNumberFormat="1" applyFont="1" applyFill="1" applyBorder="1" applyAlignment="1">
      <alignment horizontal="center" wrapText="1"/>
    </xf>
    <xf numFmtId="37" fontId="267" fillId="18" borderId="1" xfId="18" applyFont="1" applyFill="1" applyBorder="1" applyAlignment="1">
      <alignment wrapText="1"/>
    </xf>
    <xf numFmtId="15" fontId="265" fillId="18" borderId="1" xfId="18" applyNumberFormat="1" applyFont="1" applyFill="1" applyBorder="1" applyAlignment="1">
      <alignment horizontal="center"/>
    </xf>
    <xf numFmtId="37" fontId="265" fillId="18" borderId="1" xfId="18" applyFont="1" applyFill="1" applyBorder="1" applyAlignment="1">
      <alignment horizontal="center" wrapText="1"/>
    </xf>
    <xf numFmtId="43" fontId="265" fillId="18" borderId="1" xfId="17" applyFont="1" applyFill="1" applyBorder="1" applyAlignment="1">
      <alignment horizontal="center" wrapText="1"/>
    </xf>
    <xf numFmtId="43" fontId="265" fillId="18" borderId="1" xfId="17" applyFont="1" applyFill="1" applyBorder="1" applyAlignment="1">
      <alignment horizontal="center"/>
    </xf>
    <xf numFmtId="40" fontId="265" fillId="18" borderId="1" xfId="18" applyNumberFormat="1" applyFont="1" applyFill="1" applyBorder="1" applyAlignment="1">
      <alignment horizontal="center" wrapText="1"/>
    </xf>
    <xf numFmtId="49" fontId="265" fillId="17" borderId="1" xfId="18" applyNumberFormat="1" applyFont="1" applyFill="1" applyBorder="1" applyAlignment="1">
      <alignment horizontal="center" wrapText="1"/>
    </xf>
    <xf numFmtId="37" fontId="267" fillId="17" borderId="1" xfId="18" applyFont="1" applyFill="1" applyBorder="1" applyAlignment="1">
      <alignment wrapText="1"/>
    </xf>
    <xf numFmtId="15" fontId="265" fillId="17" borderId="1" xfId="18" applyNumberFormat="1" applyFont="1" applyFill="1" applyBorder="1" applyAlignment="1">
      <alignment horizontal="center"/>
    </xf>
    <xf numFmtId="37" fontId="265" fillId="17" borderId="1" xfId="18" applyFont="1" applyFill="1" applyBorder="1" applyAlignment="1">
      <alignment horizontal="center" wrapText="1"/>
    </xf>
    <xf numFmtId="43" fontId="265" fillId="17" borderId="1" xfId="17" applyFont="1" applyFill="1" applyBorder="1" applyAlignment="1">
      <alignment horizontal="center" wrapText="1"/>
    </xf>
    <xf numFmtId="39" fontId="265" fillId="17" borderId="13" xfId="18" applyNumberFormat="1" applyFont="1" applyFill="1" applyBorder="1" applyAlignment="1">
      <alignment horizontal="right"/>
    </xf>
    <xf numFmtId="39" fontId="265" fillId="17" borderId="15" xfId="18" applyNumberFormat="1" applyFont="1" applyFill="1" applyBorder="1" applyAlignment="1">
      <alignment horizontal="right"/>
    </xf>
    <xf numFmtId="39" fontId="265" fillId="17" borderId="2" xfId="18" applyNumberFormat="1" applyFont="1" applyFill="1" applyBorder="1" applyAlignment="1">
      <alignment horizontal="right"/>
    </xf>
    <xf numFmtId="43" fontId="265" fillId="17" borderId="1" xfId="17" applyFont="1" applyFill="1" applyBorder="1" applyAlignment="1">
      <alignment horizontal="center"/>
    </xf>
    <xf numFmtId="40" fontId="265" fillId="17" borderId="1" xfId="18" applyNumberFormat="1" applyFont="1" applyFill="1" applyBorder="1" applyAlignment="1">
      <alignment horizontal="center" wrapText="1"/>
    </xf>
    <xf numFmtId="37" fontId="265" fillId="18" borderId="1" xfId="18" applyFont="1" applyFill="1" applyBorder="1" applyAlignment="1">
      <alignment horizontal="left"/>
    </xf>
    <xf numFmtId="37" fontId="265" fillId="17" borderId="3" xfId="18" applyFont="1" applyFill="1" applyBorder="1" applyAlignment="1">
      <alignment horizontal="left"/>
    </xf>
    <xf numFmtId="39" fontId="265" fillId="17" borderId="13" xfId="18" applyNumberFormat="1" applyFont="1" applyFill="1" applyBorder="1" applyAlignment="1"/>
    <xf numFmtId="39" fontId="265" fillId="17" borderId="15" xfId="18" applyNumberFormat="1" applyFont="1" applyFill="1" applyBorder="1" applyAlignment="1"/>
    <xf numFmtId="39" fontId="265" fillId="17" borderId="2" xfId="18" applyNumberFormat="1" applyFont="1" applyFill="1" applyBorder="1" applyAlignment="1"/>
    <xf numFmtId="37" fontId="265" fillId="17" borderId="1" xfId="18" applyFont="1" applyFill="1" applyBorder="1" applyAlignment="1">
      <alignment horizontal="left"/>
    </xf>
    <xf numFmtId="37" fontId="267" fillId="17" borderId="1" xfId="18" applyFont="1" applyFill="1" applyBorder="1" applyAlignment="1">
      <alignment horizontal="left" wrapText="1"/>
    </xf>
    <xf numFmtId="37" fontId="267" fillId="18" borderId="13" xfId="18" applyFont="1" applyFill="1" applyBorder="1" applyAlignment="1">
      <alignment horizontal="left" wrapText="1"/>
    </xf>
    <xf numFmtId="37" fontId="267" fillId="18" borderId="15" xfId="18" applyFont="1" applyFill="1" applyBorder="1" applyAlignment="1">
      <alignment horizontal="left" wrapText="1"/>
    </xf>
    <xf numFmtId="37" fontId="267" fillId="18" borderId="2" xfId="18" applyFont="1" applyFill="1" applyBorder="1" applyAlignment="1">
      <alignment horizontal="left" wrapText="1"/>
    </xf>
    <xf numFmtId="37" fontId="267" fillId="18" borderId="1" xfId="18" applyFont="1" applyFill="1" applyBorder="1" applyAlignment="1">
      <alignment horizontal="left" wrapText="1"/>
    </xf>
    <xf numFmtId="43" fontId="265" fillId="18" borderId="13" xfId="17" applyFont="1" applyFill="1" applyBorder="1" applyAlignment="1">
      <alignment horizontal="right"/>
    </xf>
    <xf numFmtId="43" fontId="265" fillId="18" borderId="15" xfId="17" applyFont="1" applyFill="1" applyBorder="1" applyAlignment="1">
      <alignment horizontal="right"/>
    </xf>
    <xf numFmtId="43" fontId="265" fillId="18" borderId="2" xfId="17" applyFont="1" applyFill="1" applyBorder="1" applyAlignment="1">
      <alignment horizontal="right"/>
    </xf>
    <xf numFmtId="49" fontId="265" fillId="17" borderId="1" xfId="18" applyNumberFormat="1" applyFont="1" applyFill="1" applyBorder="1" applyAlignment="1">
      <alignment horizontal="center"/>
    </xf>
    <xf numFmtId="37" fontId="267" fillId="17" borderId="1" xfId="18" applyFont="1" applyFill="1" applyBorder="1" applyAlignment="1"/>
    <xf numFmtId="37" fontId="265" fillId="17" borderId="1" xfId="18" applyFont="1" applyFill="1" applyBorder="1" applyAlignment="1">
      <alignment horizontal="center"/>
    </xf>
    <xf numFmtId="49" fontId="265" fillId="18" borderId="1" xfId="18" applyNumberFormat="1" applyFont="1" applyFill="1" applyBorder="1" applyAlignment="1">
      <alignment horizontal="center"/>
    </xf>
    <xf numFmtId="37" fontId="267" fillId="18" borderId="1" xfId="18" applyFont="1" applyFill="1" applyBorder="1" applyAlignment="1"/>
    <xf numFmtId="37" fontId="265" fillId="18" borderId="1" xfId="18" applyFont="1" applyFill="1" applyBorder="1" applyAlignment="1">
      <alignment horizontal="center"/>
    </xf>
    <xf numFmtId="43" fontId="265" fillId="17" borderId="13" xfId="17" applyFont="1" applyFill="1" applyBorder="1" applyAlignment="1">
      <alignment horizontal="right"/>
    </xf>
    <xf numFmtId="43" fontId="265" fillId="17" borderId="15" xfId="17" applyFont="1" applyFill="1" applyBorder="1" applyAlignment="1">
      <alignment horizontal="right"/>
    </xf>
    <xf numFmtId="43" fontId="265" fillId="17" borderId="2" xfId="17" applyFont="1" applyFill="1" applyBorder="1" applyAlignment="1">
      <alignment horizontal="right"/>
    </xf>
    <xf numFmtId="37" fontId="267" fillId="17" borderId="1" xfId="18" applyFont="1" applyFill="1" applyBorder="1" applyAlignment="1">
      <alignment horizontal="center"/>
    </xf>
    <xf numFmtId="40" fontId="265" fillId="17" borderId="1" xfId="18" applyNumberFormat="1" applyFont="1" applyFill="1" applyBorder="1" applyAlignment="1">
      <alignment horizontal="center"/>
    </xf>
    <xf numFmtId="40" fontId="265" fillId="18" borderId="1" xfId="18" applyNumberFormat="1" applyFont="1" applyFill="1" applyBorder="1" applyAlignment="1">
      <alignment horizontal="center"/>
    </xf>
    <xf numFmtId="37" fontId="265" fillId="7" borderId="1" xfId="18" applyFont="1" applyFill="1" applyBorder="1" applyAlignment="1">
      <alignment horizontal="left"/>
    </xf>
    <xf numFmtId="49" fontId="265" fillId="7" borderId="1" xfId="18" applyNumberFormat="1" applyFont="1" applyFill="1" applyBorder="1" applyAlignment="1">
      <alignment horizontal="center"/>
    </xf>
    <xf numFmtId="37" fontId="267" fillId="7" borderId="1" xfId="18" applyFont="1" applyFill="1" applyBorder="1" applyAlignment="1">
      <alignment horizontal="center"/>
    </xf>
    <xf numFmtId="15" fontId="265" fillId="7" borderId="1" xfId="18" applyNumberFormat="1" applyFont="1" applyFill="1" applyBorder="1" applyAlignment="1">
      <alignment horizontal="center"/>
    </xf>
    <xf numFmtId="37" fontId="265" fillId="7" borderId="1" xfId="18" applyFont="1" applyFill="1" applyBorder="1" applyAlignment="1">
      <alignment horizontal="center"/>
    </xf>
    <xf numFmtId="43" fontId="265" fillId="7" borderId="1" xfId="17" applyFont="1" applyFill="1" applyBorder="1" applyAlignment="1">
      <alignment horizontal="center"/>
    </xf>
    <xf numFmtId="40" fontId="265" fillId="7" borderId="1" xfId="18" applyNumberFormat="1" applyFont="1" applyFill="1" applyBorder="1" applyAlignment="1">
      <alignment horizontal="center"/>
    </xf>
    <xf numFmtId="43" fontId="265" fillId="0" borderId="1" xfId="17" applyFont="1" applyFill="1" applyBorder="1" applyAlignment="1">
      <alignment horizontal="center"/>
    </xf>
    <xf numFmtId="40" fontId="265" fillId="0" borderId="1" xfId="18" applyNumberFormat="1" applyFont="1" applyFill="1" applyBorder="1" applyAlignment="1">
      <alignment horizontal="center"/>
    </xf>
    <xf numFmtId="37" fontId="265" fillId="0" borderId="1" xfId="18" applyFont="1" applyFill="1" applyBorder="1" applyAlignment="1">
      <alignment horizontal="left"/>
    </xf>
    <xf numFmtId="0" fontId="267" fillId="17" borderId="13" xfId="18" applyNumberFormat="1" applyFont="1" applyFill="1" applyBorder="1" applyAlignment="1">
      <alignment horizontal="center"/>
    </xf>
    <xf numFmtId="0" fontId="267" fillId="17" borderId="15" xfId="18" applyNumberFormat="1" applyFont="1" applyFill="1" applyBorder="1" applyAlignment="1">
      <alignment horizontal="center"/>
    </xf>
    <xf numFmtId="0" fontId="267" fillId="17" borderId="2" xfId="18" applyNumberFormat="1" applyFont="1" applyFill="1" applyBorder="1" applyAlignment="1">
      <alignment horizontal="center"/>
    </xf>
    <xf numFmtId="14" fontId="267" fillId="17" borderId="13" xfId="18" applyNumberFormat="1" applyFont="1" applyFill="1" applyBorder="1" applyAlignment="1">
      <alignment horizontal="center"/>
    </xf>
    <xf numFmtId="14" fontId="267" fillId="17" borderId="15" xfId="18" applyNumberFormat="1" applyFont="1" applyFill="1" applyBorder="1" applyAlignment="1">
      <alignment horizontal="center"/>
    </xf>
    <xf numFmtId="14" fontId="267" fillId="17" borderId="2" xfId="18" applyNumberFormat="1" applyFont="1" applyFill="1" applyBorder="1" applyAlignment="1">
      <alignment horizontal="center"/>
    </xf>
    <xf numFmtId="0" fontId="267" fillId="0" borderId="1" xfId="18" applyNumberFormat="1" applyFont="1" applyFill="1" applyBorder="1" applyAlignment="1">
      <alignment horizontal="center"/>
    </xf>
    <xf numFmtId="14" fontId="267" fillId="0" borderId="1" xfId="18" applyNumberFormat="1" applyFont="1" applyFill="1" applyBorder="1" applyAlignment="1">
      <alignment horizontal="center"/>
    </xf>
    <xf numFmtId="15" fontId="265" fillId="0" borderId="1" xfId="18" applyNumberFormat="1" applyFont="1" applyFill="1" applyBorder="1" applyAlignment="1">
      <alignment horizontal="center"/>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一般_EVElist" xfId="18"/>
  </cellStyles>
  <dxfs count="215">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299357</xdr:colOff>
      <xdr:row>110</xdr:row>
      <xdr:rowOff>190500</xdr:rowOff>
    </xdr:from>
    <xdr:to>
      <xdr:col>14</xdr:col>
      <xdr:colOff>15311</xdr:colOff>
      <xdr:row>133</xdr:row>
      <xdr:rowOff>4929</xdr:rowOff>
    </xdr:to>
    <xdr:pic>
      <xdr:nvPicPr>
        <xdr:cNvPr id="3" name="图片 2"/>
        <xdr:cNvPicPr>
          <a:picLocks noChangeAspect="1"/>
        </xdr:cNvPicPr>
      </xdr:nvPicPr>
      <xdr:blipFill>
        <a:blip xmlns:r="http://schemas.openxmlformats.org/officeDocument/2006/relationships" r:embed="rId1"/>
        <a:stretch>
          <a:fillRect/>
        </a:stretch>
      </xdr:blipFill>
      <xdr:spPr>
        <a:xfrm>
          <a:off x="843643" y="26874107"/>
          <a:ext cx="8152382" cy="4114286"/>
        </a:xfrm>
        <a:prstGeom prst="rect">
          <a:avLst/>
        </a:prstGeom>
      </xdr:spPr>
    </xdr:pic>
    <xdr:clientData/>
  </xdr:twoCellAnchor>
  <xdr:twoCellAnchor editAs="oneCell">
    <xdr:from>
      <xdr:col>1</xdr:col>
      <xdr:colOff>952499</xdr:colOff>
      <xdr:row>130</xdr:row>
      <xdr:rowOff>68035</xdr:rowOff>
    </xdr:from>
    <xdr:to>
      <xdr:col>14</xdr:col>
      <xdr:colOff>1043882</xdr:colOff>
      <xdr:row>152</xdr:row>
      <xdr:rowOff>70345</xdr:rowOff>
    </xdr:to>
    <xdr:pic>
      <xdr:nvPicPr>
        <xdr:cNvPr id="4" name="图片 3"/>
        <xdr:cNvPicPr>
          <a:picLocks noChangeAspect="1"/>
        </xdr:cNvPicPr>
      </xdr:nvPicPr>
      <xdr:blipFill>
        <a:blip xmlns:r="http://schemas.openxmlformats.org/officeDocument/2006/relationships" r:embed="rId2"/>
        <a:stretch>
          <a:fillRect/>
        </a:stretch>
      </xdr:blipFill>
      <xdr:spPr>
        <a:xfrm>
          <a:off x="1496785" y="30602464"/>
          <a:ext cx="9180953" cy="3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22269;&#22478;&#37202;&#2421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25;/&#21442;&#32771;&#20449;&#24687;/KZ/&#21442;&#32771;&#25991;&#20214;/&#20854;&#20182;/&#22303;&#22320;&#20449;&#24687;/&#21271;&#20140;&#21830;&#19994;&#21150;&#20844;&#29992;&#223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租约"/>
      <sheetName val="面积"/>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汇总）"/>
      <sheetName val="收益法-办公未出租"/>
      <sheetName val="收益法-办公出租"/>
      <sheetName val="收益法-车库"/>
      <sheetName val="收益法 (元)"/>
      <sheetName val="收益法-酒店"/>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成本法 (3)"/>
      <sheetName val="成本法 (2)"/>
      <sheetName val="基准地价修正办公"/>
      <sheetName val="基准地价修正商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9">
          <cell r="G19">
            <v>130670</v>
          </cell>
        </row>
        <row r="118">
          <cell r="D118">
            <v>112246</v>
          </cell>
          <cell r="F118">
            <v>18424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1">
          <cell r="C31">
            <v>91046</v>
          </cell>
        </row>
        <row r="51">
          <cell r="C51">
            <v>14890</v>
          </cell>
        </row>
        <row r="52">
          <cell r="C52">
            <v>105936</v>
          </cell>
        </row>
      </sheetData>
      <sheetData sheetId="38"/>
      <sheetData sheetId="39"/>
      <sheetData sheetId="40">
        <row r="39">
          <cell r="E39">
            <v>4645</v>
          </cell>
        </row>
      </sheetData>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ow r="22">
          <cell r="D22">
            <v>39744.120000000003</v>
          </cell>
          <cell r="K22">
            <v>24490.06</v>
          </cell>
        </row>
        <row r="26">
          <cell r="D26">
            <v>46165.91</v>
          </cell>
          <cell r="K26">
            <v>24368.58</v>
          </cell>
        </row>
        <row r="27">
          <cell r="D27">
            <v>38100</v>
          </cell>
          <cell r="K27">
            <v>26771.65</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6" sqref="F36"/>
    </sheetView>
  </sheetViews>
  <sheetFormatPr defaultColWidth="9" defaultRowHeight="15.6"/>
  <cols>
    <col min="1" max="1" width="35.6640625" style="1585" customWidth="1"/>
    <col min="2" max="2" width="81" style="1602" customWidth="1"/>
    <col min="3" max="16384" width="9" style="1600"/>
  </cols>
  <sheetData>
    <row r="1" spans="1:2" s="1588" customFormat="1" ht="16.2" thickBot="1">
      <c r="A1" s="1587" t="s">
        <v>1219</v>
      </c>
      <c r="B1" s="1586" t="s">
        <v>1298</v>
      </c>
    </row>
    <row r="2" spans="1:2" s="1591" customFormat="1" ht="16.2" thickTop="1">
      <c r="A2" s="1589" t="s">
        <v>1220</v>
      </c>
      <c r="B2" s="1590" t="str">
        <f>'预评函-封皮'!B37:I37</f>
        <v>北京市东城区香河园街1号11号楼房地产抵押价值预评估</v>
      </c>
    </row>
    <row r="3" spans="1:2" s="1594" customFormat="1">
      <c r="A3" s="1592" t="s">
        <v>1221</v>
      </c>
      <c r="B3" s="1593" t="str">
        <f>'预评函-封皮'!B40</f>
        <v>北京万国城酒店运营管理有限公司</v>
      </c>
    </row>
    <row r="4" spans="1:2" s="1594" customFormat="1">
      <c r="A4" s="1592" t="s">
        <v>1222</v>
      </c>
      <c r="B4" s="1593" t="str">
        <f ca="1">'预评函-封皮'!B46</f>
        <v>欧红伟（注册号：1120000080)、崔锴（注册号：1120100036)</v>
      </c>
    </row>
    <row r="5" spans="1:2" s="1588" customFormat="1" ht="16.2" thickBot="1">
      <c r="A5" s="1595" t="s">
        <v>1223</v>
      </c>
      <c r="B5" s="1596" t="str">
        <f>'预评函-封皮'!B49</f>
        <v>康正预评字2018-1-0895-P01DYGJ1号</v>
      </c>
    </row>
    <row r="6" spans="1:2" s="1591" customFormat="1" ht="16.2" thickTop="1">
      <c r="A6" s="1589" t="s">
        <v>1224</v>
      </c>
      <c r="B6" s="1590" t="str">
        <f>'预评函-1'!A4</f>
        <v>受贵公司委托，我公司对北京市东城区香河园街1号11号楼房地产抵押价值进行了预评估。</v>
      </c>
    </row>
    <row r="7" spans="1:2" s="1594" customFormat="1">
      <c r="A7" s="1592" t="s">
        <v>1264</v>
      </c>
      <c r="B7" s="1593" t="str">
        <f>'预评函-1'!A7</f>
        <v>估价对象为北京市东城区香河园街1号11号楼房地产，为所有。根据《国有土地使用证》[京东国用（2015出）第00294号]，估价对象（分摊）出让国有建设用地使用权面积为5235.2平方米。根据《房屋所有权证》[X京房权证东字第103218号]，估价对象建筑面积为50120.32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东城区香河园街1号11号楼房地产,属开发建设的，该项目尚在开发建设中。根据《国有土地使用证》[京东国用（2015出）第00294号]，估价对象（分摊）出让国有建设用地使用权面积为5235.2平方米。根据《房屋所有权证》[X京房权证东字第103218号]，估价对象规划建筑面积为50120.32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为估价委托人在向工商银行总行北京分行东城支行办理贷款手续过程中，确定房地产抵押贷款额度提供参考依据而评估房地产抵押价值。</v>
      </c>
    </row>
    <row r="12" spans="1:2" s="1594" customFormat="1">
      <c r="A12" s="1592" t="s">
        <v>1226</v>
      </c>
      <c r="B12" s="1593" t="str">
        <f>'预评函-1'!A15</f>
        <v>2018年12月24日（评估专业人员实地查勘之日）</v>
      </c>
    </row>
    <row r="13" spans="1:2" s="1594" customFormat="1">
      <c r="A13" s="1592" t="s">
        <v>1227</v>
      </c>
      <c r="B13" s="1593" t="str">
        <f>'预评函-1'!A18</f>
        <v>本次估价的“房地产价值”是指在正常市场情况下，在价值时点2018年12月24日，估价对象规划用途为办公、车库、酒店，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办公、车库、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6.2" thickBot="1">
      <c r="A18" s="1595" t="s">
        <v>1232</v>
      </c>
      <c r="B18" s="1596" t="str">
        <f>'预评函-1'!A24</f>
        <v>本次评估采用的主估价方法为成本法和收益法。</v>
      </c>
    </row>
    <row r="19" spans="1:2" s="1591" customFormat="1" ht="16.2"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188648</v>
      </c>
    </row>
    <row r="21" spans="1:2" s="1594" customFormat="1">
      <c r="A21" s="1592" t="s">
        <v>1235</v>
      </c>
      <c r="B21" s="1593">
        <f ca="1">'预评函-2'!D7</f>
        <v>37639</v>
      </c>
    </row>
    <row r="22" spans="1:2" s="1594" customFormat="1">
      <c r="A22" s="1592" t="s">
        <v>1236</v>
      </c>
      <c r="B22" s="1593" t="str">
        <f ca="1">'预评函-2'!D6</f>
        <v>壹拾捌亿捌仟陆佰肆拾捌万元整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188648</v>
      </c>
    </row>
    <row r="31" spans="1:2" s="1594" customFormat="1">
      <c r="A31" s="1592" t="s">
        <v>1274</v>
      </c>
      <c r="B31" s="1593">
        <f ca="1">'预评函-2'!D15</f>
        <v>37639</v>
      </c>
    </row>
    <row r="32" spans="1:2" s="1594" customFormat="1">
      <c r="A32" s="1592" t="s">
        <v>1241</v>
      </c>
      <c r="B32" s="1593" t="str">
        <f ca="1">'预评函-2'!D14</f>
        <v>壹拾捌亿捌仟陆佰肆拾捌万元整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北京市东城区香河园街1号11号楼房地产</v>
      </c>
    </row>
    <row r="42" spans="1:2" s="1594" customFormat="1" ht="31.2">
      <c r="A42" s="1592" t="s">
        <v>1288</v>
      </c>
      <c r="B42" s="1593" t="str">
        <f>'预评函-3'!B2</f>
        <v>建筑面积</v>
      </c>
    </row>
    <row r="43" spans="1:2" s="1594" customFormat="1">
      <c r="A43" s="1592" t="s">
        <v>1289</v>
      </c>
      <c r="B43" s="1593">
        <f>'预评函-3'!B4</f>
        <v>50120.32</v>
      </c>
    </row>
    <row r="44" spans="1:2" s="1594" customFormat="1" ht="31.2">
      <c r="A44" s="1592" t="s">
        <v>1273</v>
      </c>
      <c r="B44" s="1593" t="str">
        <f>'预评函-3'!C2</f>
        <v>(分摊)土地面积</v>
      </c>
    </row>
    <row r="45" spans="1:2" s="1594" customFormat="1">
      <c r="A45" s="1592" t="s">
        <v>1245</v>
      </c>
      <c r="B45" s="1593">
        <f>'预评函-3'!C4</f>
        <v>5235.2</v>
      </c>
    </row>
    <row r="46" spans="1:2" s="1594" customFormat="1">
      <c r="A46" s="1592" t="s">
        <v>1271</v>
      </c>
      <c r="B46" s="1593" t="str">
        <f>'预评函-3'!D2</f>
        <v>出让国有建设用地使用权价值</v>
      </c>
    </row>
    <row r="47" spans="1:2" s="1594" customFormat="1">
      <c r="A47" s="1592" t="s">
        <v>1246</v>
      </c>
      <c r="B47" s="1593">
        <f ca="1">'预评函-3'!D4</f>
        <v>156201</v>
      </c>
    </row>
    <row r="48" spans="1:2" s="1594" customFormat="1">
      <c r="A48" s="1592" t="s">
        <v>1247</v>
      </c>
      <c r="B48" s="1593">
        <f ca="1">'预评函-3'!E4</f>
        <v>31165</v>
      </c>
    </row>
    <row r="49" spans="1:2" s="1594" customFormat="1">
      <c r="A49" s="1592" t="s">
        <v>1248</v>
      </c>
      <c r="B49" s="1593" t="str">
        <f ca="1">'预评函-3'!D5</f>
        <v>壹拾伍亿陆仟贰佰零壹万元整</v>
      </c>
    </row>
    <row r="50" spans="1:2" s="1594" customFormat="1">
      <c r="A50" s="1592" t="s">
        <v>1272</v>
      </c>
      <c r="B50" s="1593" t="str">
        <f>'预评函-3'!F2</f>
        <v>在建建筑物价值</v>
      </c>
    </row>
    <row r="51" spans="1:2" s="1594" customFormat="1">
      <c r="A51" s="1592" t="s">
        <v>1249</v>
      </c>
      <c r="B51" s="1593">
        <f ca="1">'预评函-3'!F4</f>
        <v>32447</v>
      </c>
    </row>
    <row r="52" spans="1:2" s="1594" customFormat="1">
      <c r="A52" s="1592" t="s">
        <v>1250</v>
      </c>
      <c r="B52" s="1593">
        <f ca="1">'预评函-3'!G4</f>
        <v>6474</v>
      </c>
    </row>
    <row r="53" spans="1:2" s="1594" customFormat="1">
      <c r="A53" s="1592" t="s">
        <v>1278</v>
      </c>
      <c r="B53" s="1593" t="str">
        <f ca="1">'预评函-3'!F5</f>
        <v>叁亿贰仟肆佰肆拾柒万元整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6.2" thickBot="1">
      <c r="A57" s="1595" t="s">
        <v>1297</v>
      </c>
      <c r="B57" s="1596" t="str">
        <f>'预评函-3'!A6</f>
        <v>估价师知悉的法定优先受偿款</v>
      </c>
    </row>
    <row r="58" spans="1:2" s="1591" customFormat="1" ht="16.2"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6.2" thickBot="1">
      <c r="A69" s="1595" t="s">
        <v>1259</v>
      </c>
      <c r="B69" s="1597">
        <f>'预评函-4'!C31</f>
        <v>43460</v>
      </c>
    </row>
    <row r="70" spans="1:2" ht="16.2" thickTop="1">
      <c r="A70" s="1598" t="s">
        <v>1260</v>
      </c>
      <c r="B70" s="1599" t="str">
        <f>'预评函-4'!A4</f>
        <v>欧红伟</v>
      </c>
    </row>
    <row r="71" spans="1:2">
      <c r="A71" s="1592" t="s">
        <v>1261</v>
      </c>
      <c r="B71" s="1593">
        <f ca="1">'预评函-4'!B4</f>
        <v>1120000080</v>
      </c>
    </row>
    <row r="72" spans="1:2">
      <c r="A72" s="1592" t="s">
        <v>1262</v>
      </c>
      <c r="B72" s="1601" t="str">
        <f>'预评函-4'!A5</f>
        <v>崔锴</v>
      </c>
    </row>
    <row r="73" spans="1:2" s="1588" customFormat="1" ht="16.2" thickBot="1">
      <c r="A73" s="1595" t="s">
        <v>1263</v>
      </c>
      <c r="B73" s="1596">
        <f ca="1">'预评函-4'!B5</f>
        <v>1120100036</v>
      </c>
    </row>
    <row r="74" spans="1:2" ht="16.2"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ColWidth="9" defaultRowHeight="14.4"/>
  <cols>
    <col min="1" max="1" width="13.44140625" style="2025" customWidth="1"/>
    <col min="2" max="2" width="23.21875" style="1976" customWidth="1"/>
    <col min="3" max="3" width="13" style="2020" hidden="1" customWidth="1"/>
    <col min="4" max="4" width="5.77734375" style="2017" hidden="1" customWidth="1"/>
    <col min="5" max="5" width="7.109375" style="2017" hidden="1" customWidth="1"/>
    <col min="6" max="6" width="10.6640625" style="2017" hidden="1" customWidth="1"/>
    <col min="7" max="7" width="7.44140625" style="2017" hidden="1" customWidth="1"/>
    <col min="8" max="8" width="9" style="2020" hidden="1" customWidth="1"/>
    <col min="9" max="9" width="11.6640625" style="2020" hidden="1" customWidth="1"/>
    <col min="10" max="10" width="9" style="2020" hidden="1" customWidth="1"/>
    <col min="11" max="19" width="9" style="2017" hidden="1" customWidth="1"/>
    <col min="20" max="22" width="9" style="2020" hidden="1" customWidth="1"/>
    <col min="23" max="23" width="9" style="2020" customWidth="1"/>
    <col min="24" max="24" width="21.109375" style="1976" customWidth="1"/>
    <col min="25" max="16384" width="9" style="1976"/>
  </cols>
  <sheetData>
    <row r="1" spans="1:23" s="2014" customFormat="1" ht="28.8">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3075</v>
      </c>
      <c r="C17" s="2016"/>
    </row>
    <row r="18" spans="1:3">
      <c r="A18" s="2015" t="s">
        <v>1767</v>
      </c>
      <c r="B18" s="2015" t="s">
        <v>3299</v>
      </c>
      <c r="C18" s="2016"/>
    </row>
    <row r="19" spans="1:3">
      <c r="A19" s="2015" t="s">
        <v>1768</v>
      </c>
      <c r="B19" s="2015" t="s">
        <v>3077</v>
      </c>
      <c r="C19" s="2016"/>
    </row>
    <row r="20" spans="1:3">
      <c r="A20" s="2015" t="s">
        <v>1769</v>
      </c>
      <c r="B20" s="2015" t="s">
        <v>3301</v>
      </c>
      <c r="C20" s="2016"/>
    </row>
    <row r="21" spans="1:3">
      <c r="A21" s="2015" t="s">
        <v>1770</v>
      </c>
      <c r="B21" s="2015" t="s">
        <v>3325</v>
      </c>
      <c r="C21" s="2016"/>
    </row>
    <row r="22" spans="1:3">
      <c r="A22" s="2015" t="s">
        <v>1771</v>
      </c>
      <c r="B22" s="2015" t="s">
        <v>3327</v>
      </c>
      <c r="C22" s="2016"/>
    </row>
    <row r="23" spans="1:3">
      <c r="A23" s="2015" t="s">
        <v>1772</v>
      </c>
      <c r="B23" s="2015" t="s">
        <v>3340</v>
      </c>
      <c r="C23" s="2016"/>
    </row>
    <row r="24" spans="1:3">
      <c r="A24" s="2015" t="s">
        <v>1773</v>
      </c>
      <c r="B24" s="2015" t="s">
        <v>3341</v>
      </c>
      <c r="C24" s="2016"/>
    </row>
    <row r="25" spans="1:3">
      <c r="A25" s="2015" t="s">
        <v>1774</v>
      </c>
      <c r="B25" s="2015" t="s">
        <v>3342</v>
      </c>
      <c r="C25" s="2016"/>
    </row>
    <row r="26" spans="1:3">
      <c r="A26" s="2015" t="s">
        <v>1775</v>
      </c>
      <c r="B26" s="2015" t="s">
        <v>3344</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为估价委托人在向工商银行总行北京分行东城支行办理贷款手续过程中，确定房地产抵押贷款额度提供参考依据而评估房地产抵押价值。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国城酒店运营管理有限公司拟使用北京市东城区香河园街1号11号楼房地产作为抵押担保物，向工商银行总行北京分行东城支行办理贷款手续。工商银行总行北京分行东城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290"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24日，估价对象规划用途为办公、车库、酒店土地取得方式为出让，出让国有建设用地使用权剩余土地使用年限为XX年(多用途剩余年限尾数不同时，可只体现小数点后一位)，假定未设立法定优先受偿款下的房地产市场价值。</v>
      </c>
    </row>
    <row r="54" spans="1:4">
      <c r="A54" s="3290"/>
      <c r="B54" s="2023" t="s">
        <v>864</v>
      </c>
      <c r="C54" s="2020" t="s">
        <v>1281</v>
      </c>
    </row>
    <row r="55" spans="1:4">
      <c r="A55" s="3290"/>
      <c r="B55" s="2023" t="s">
        <v>865</v>
      </c>
      <c r="C55" s="2020" t="s">
        <v>1282</v>
      </c>
    </row>
    <row r="56" spans="1:4">
      <c r="A56" s="3290"/>
      <c r="B56" s="2023" t="s">
        <v>866</v>
      </c>
      <c r="C56" s="2020" t="s">
        <v>1286</v>
      </c>
    </row>
    <row r="57" spans="1:4">
      <c r="A57" s="3290"/>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D119"/>
  <sheetViews>
    <sheetView topLeftCell="A70" zoomScale="70" zoomScaleNormal="70" workbookViewId="0">
      <selection activeCell="Q104" sqref="Q104"/>
    </sheetView>
  </sheetViews>
  <sheetFormatPr defaultColWidth="10.88671875" defaultRowHeight="12"/>
  <cols>
    <col min="1" max="1" width="7.109375" style="3078" customWidth="1"/>
    <col min="2" max="2" width="14.109375" style="3085" hidden="1" customWidth="1"/>
    <col min="3" max="3" width="13.21875" style="3055" hidden="1" customWidth="1"/>
    <col min="4" max="4" width="13.21875" style="3055" customWidth="1"/>
    <col min="5" max="5" width="23.21875" style="3055" hidden="1" customWidth="1"/>
    <col min="6" max="6" width="11.88671875" style="3079" hidden="1" customWidth="1"/>
    <col min="7" max="7" width="14.77734375" style="3086" customWidth="1"/>
    <col min="8" max="8" width="14" style="3079" hidden="1" customWidth="1"/>
    <col min="9" max="9" width="2.77734375" style="3079" hidden="1" customWidth="1"/>
    <col min="10" max="10" width="11.88671875" style="3080" customWidth="1"/>
    <col min="11" max="11" width="18.109375" style="3081" customWidth="1"/>
    <col min="12" max="12" width="48.44140625" style="3079" customWidth="1"/>
    <col min="13" max="13" width="12.21875" style="3079" hidden="1" customWidth="1"/>
    <col min="14" max="14" width="15.21875" style="3079" hidden="1" customWidth="1"/>
    <col min="15" max="15" width="19.77734375" style="3082" customWidth="1"/>
    <col min="16" max="17" width="19.77734375" style="3106" customWidth="1"/>
    <col min="18" max="18" width="31.21875" style="3083" customWidth="1"/>
    <col min="19" max="19" width="12.109375" style="3078" customWidth="1"/>
    <col min="20" max="20" width="9.44140625" style="3084" customWidth="1"/>
    <col min="21" max="256" width="7" style="3078" customWidth="1"/>
    <col min="257" max="257" width="14.6640625" style="3078" customWidth="1"/>
    <col min="258" max="258" width="27.21875" style="3078" customWidth="1"/>
    <col min="259" max="259" width="0.6640625" style="3078" customWidth="1"/>
    <col min="260" max="260" width="12.77734375" style="3078" customWidth="1"/>
    <col min="261" max="16384" width="10.88671875" style="3078"/>
  </cols>
  <sheetData>
    <row r="1" spans="1:20" s="2977" customFormat="1" ht="21.75" customHeight="1">
      <c r="A1" s="2968" t="s">
        <v>3090</v>
      </c>
      <c r="B1" s="2969"/>
      <c r="C1" s="2968"/>
      <c r="D1" s="2970"/>
      <c r="E1" s="2970"/>
      <c r="F1" s="2971"/>
      <c r="G1" s="2972"/>
      <c r="H1" s="2971"/>
      <c r="I1" s="2971"/>
      <c r="J1" s="2973"/>
      <c r="K1" s="2974"/>
      <c r="L1" s="2971"/>
      <c r="M1" s="2971"/>
      <c r="N1" s="2971"/>
      <c r="O1" s="2975"/>
      <c r="P1" s="3094"/>
      <c r="Q1" s="3094"/>
      <c r="R1" s="2976"/>
      <c r="T1" s="2978"/>
    </row>
    <row r="2" spans="1:20" s="2977" customFormat="1" ht="21.75" customHeight="1">
      <c r="A2" s="2968" t="s">
        <v>3091</v>
      </c>
      <c r="B2" s="2969"/>
      <c r="C2" s="2968"/>
      <c r="D2" s="2970"/>
      <c r="E2" s="2979"/>
      <c r="F2" s="2980"/>
      <c r="G2" s="2981"/>
      <c r="H2" s="2980"/>
      <c r="I2" s="2980"/>
      <c r="J2" s="2982"/>
      <c r="K2" s="2983"/>
      <c r="L2" s="2980"/>
      <c r="M2" s="2980"/>
      <c r="N2" s="2980"/>
      <c r="O2" s="2984"/>
      <c r="P2" s="3095"/>
      <c r="Q2" s="3095"/>
      <c r="R2" s="2976"/>
      <c r="T2" s="2978"/>
    </row>
    <row r="3" spans="1:20" s="2985" customFormat="1" ht="12.9" customHeight="1">
      <c r="B3" s="2986"/>
      <c r="C3" s="2987"/>
      <c r="D3" s="2987"/>
      <c r="E3" s="2988"/>
      <c r="F3" s="2989"/>
      <c r="G3" s="2990"/>
      <c r="H3" s="2991"/>
      <c r="I3" s="2991"/>
      <c r="J3" s="2992"/>
      <c r="K3" s="2993"/>
      <c r="L3" s="2994"/>
      <c r="M3" s="2994"/>
      <c r="N3" s="2994"/>
      <c r="O3" s="2995"/>
      <c r="P3" s="3096"/>
      <c r="Q3" s="3096"/>
      <c r="R3" s="2996"/>
      <c r="T3" s="2997"/>
    </row>
    <row r="4" spans="1:20" s="2985" customFormat="1" ht="12.9" customHeight="1">
      <c r="B4" s="2986"/>
      <c r="C4" s="2987"/>
      <c r="D4" s="2987"/>
      <c r="E4" s="2987"/>
      <c r="F4" s="2998"/>
      <c r="G4" s="2999"/>
      <c r="H4" s="2998"/>
      <c r="I4" s="2998"/>
      <c r="J4" s="3000"/>
      <c r="K4" s="3001"/>
      <c r="L4" s="3002"/>
      <c r="M4" s="3002"/>
      <c r="N4" s="3002"/>
      <c r="O4" s="3003"/>
      <c r="P4" s="3097"/>
      <c r="Q4" s="3097"/>
      <c r="R4" s="3004"/>
      <c r="T4" s="2997"/>
    </row>
    <row r="5" spans="1:20" s="3013" customFormat="1" ht="18" customHeight="1">
      <c r="A5" s="3005"/>
      <c r="B5" s="3006"/>
      <c r="C5" s="3007" t="s">
        <v>3092</v>
      </c>
      <c r="D5" s="3008"/>
      <c r="E5" s="3291" t="s">
        <v>3093</v>
      </c>
      <c r="F5" s="3005" t="s">
        <v>3094</v>
      </c>
      <c r="G5" s="3009" t="s">
        <v>3095</v>
      </c>
      <c r="H5" s="3005" t="s">
        <v>3096</v>
      </c>
      <c r="I5" s="3005" t="s">
        <v>3097</v>
      </c>
      <c r="J5" s="3010" t="s">
        <v>3098</v>
      </c>
      <c r="K5" s="3011" t="s">
        <v>3099</v>
      </c>
      <c r="L5" s="3005"/>
      <c r="M5" s="3005"/>
      <c r="N5" s="3005"/>
      <c r="O5" s="3012"/>
      <c r="P5" s="3098"/>
      <c r="Q5" s="3098"/>
      <c r="R5" s="3293" t="s">
        <v>3100</v>
      </c>
      <c r="T5" s="3014"/>
    </row>
    <row r="6" spans="1:20" s="3013" customFormat="1" ht="18" customHeight="1">
      <c r="A6" s="3015" t="s">
        <v>3101</v>
      </c>
      <c r="B6" s="3016" t="s">
        <v>3102</v>
      </c>
      <c r="C6" s="3017" t="s">
        <v>3103</v>
      </c>
      <c r="D6" s="3017" t="s">
        <v>3104</v>
      </c>
      <c r="E6" s="3292"/>
      <c r="F6" s="3015" t="s">
        <v>3105</v>
      </c>
      <c r="G6" s="3018" t="s">
        <v>3106</v>
      </c>
      <c r="H6" s="3015" t="s">
        <v>3107</v>
      </c>
      <c r="I6" s="3015" t="s">
        <v>3108</v>
      </c>
      <c r="J6" s="3019" t="s">
        <v>3109</v>
      </c>
      <c r="K6" s="3020" t="s">
        <v>3110</v>
      </c>
      <c r="L6" s="3015" t="s">
        <v>3111</v>
      </c>
      <c r="M6" s="3015"/>
      <c r="N6" s="3015"/>
      <c r="O6" s="3021"/>
      <c r="P6" s="3099"/>
      <c r="Q6" s="3099"/>
      <c r="R6" s="3294"/>
      <c r="T6" s="3014"/>
    </row>
    <row r="7" spans="1:20" s="3022" customFormat="1" ht="18" customHeight="1">
      <c r="B7" s="3023"/>
      <c r="C7" s="3024"/>
      <c r="D7" s="3024"/>
      <c r="E7" s="3024"/>
      <c r="F7" s="3025"/>
      <c r="G7" s="3026"/>
      <c r="H7" s="3025"/>
      <c r="I7" s="3025"/>
      <c r="J7" s="3027"/>
      <c r="K7" s="3028"/>
      <c r="L7" s="3029"/>
      <c r="M7" s="3029"/>
      <c r="N7" s="3029"/>
      <c r="O7" s="3030"/>
      <c r="P7" s="3100"/>
      <c r="Q7" s="3100"/>
      <c r="R7" s="3031"/>
      <c r="T7" s="3032"/>
    </row>
    <row r="8" spans="1:20" s="3022" customFormat="1" ht="18" customHeight="1">
      <c r="B8" s="3023"/>
      <c r="C8" s="3024"/>
      <c r="D8" s="3024"/>
      <c r="E8" s="3024"/>
      <c r="F8" s="3025"/>
      <c r="G8" s="3026"/>
      <c r="H8" s="3025"/>
      <c r="I8" s="3025"/>
      <c r="J8" s="3027"/>
      <c r="K8" s="3028"/>
      <c r="L8" s="3029"/>
      <c r="M8" s="3029"/>
      <c r="N8" s="3029"/>
      <c r="O8" s="3030"/>
      <c r="P8" s="3100"/>
      <c r="Q8" s="3100"/>
      <c r="R8" s="3029"/>
      <c r="T8" s="3032"/>
    </row>
    <row r="9" spans="1:20" s="3164" customFormat="1" ht="20.100000000000001" customHeight="1">
      <c r="A9" s="3322" t="s">
        <v>3112</v>
      </c>
      <c r="B9" s="3325" t="s">
        <v>3113</v>
      </c>
      <c r="C9" s="3328">
        <v>42465</v>
      </c>
      <c r="D9" s="3328">
        <v>44290</v>
      </c>
      <c r="E9" s="3331" t="s">
        <v>3114</v>
      </c>
      <c r="F9" s="3194" t="s">
        <v>3115</v>
      </c>
      <c r="G9" s="3334">
        <v>55440</v>
      </c>
      <c r="H9" s="3212"/>
      <c r="I9" s="3212"/>
      <c r="J9" s="3337">
        <v>252</v>
      </c>
      <c r="K9" s="3340">
        <f>G9/J9</f>
        <v>220</v>
      </c>
      <c r="L9" s="3213" t="s">
        <v>3116</v>
      </c>
      <c r="M9" s="3213">
        <v>55440</v>
      </c>
      <c r="N9" s="3161">
        <f>J9</f>
        <v>252</v>
      </c>
      <c r="O9" s="3162">
        <f>ROUND((61236-M9)/M9/5,2)</f>
        <v>0.02</v>
      </c>
      <c r="P9" s="3163">
        <v>61236</v>
      </c>
      <c r="Q9" s="3163">
        <f>55440*5+58212*12+61236*44</f>
        <v>3670128</v>
      </c>
      <c r="R9" s="3295">
        <f>O9*J9</f>
        <v>5.04</v>
      </c>
      <c r="T9" s="3165"/>
    </row>
    <row r="10" spans="1:20" s="3164" customFormat="1" ht="20.100000000000001" customHeight="1">
      <c r="A10" s="3323"/>
      <c r="B10" s="3326"/>
      <c r="C10" s="3329"/>
      <c r="D10" s="3329"/>
      <c r="E10" s="3332"/>
      <c r="F10" s="3196" t="s">
        <v>3117</v>
      </c>
      <c r="G10" s="3335"/>
      <c r="H10" s="3212"/>
      <c r="I10" s="3212"/>
      <c r="J10" s="3338"/>
      <c r="K10" s="3341"/>
      <c r="L10" s="3213" t="s">
        <v>3118</v>
      </c>
      <c r="M10" s="3213"/>
      <c r="N10" s="3213"/>
      <c r="O10" s="3162"/>
      <c r="P10" s="3163"/>
      <c r="Q10" s="3163"/>
      <c r="R10" s="3296"/>
      <c r="T10" s="3165"/>
    </row>
    <row r="11" spans="1:20" s="3164" customFormat="1" ht="20.100000000000001" customHeight="1">
      <c r="A11" s="3323"/>
      <c r="B11" s="3326"/>
      <c r="C11" s="3329"/>
      <c r="D11" s="3329"/>
      <c r="E11" s="3332"/>
      <c r="F11" s="3196" t="s">
        <v>3119</v>
      </c>
      <c r="G11" s="3335"/>
      <c r="H11" s="3212"/>
      <c r="I11" s="3212"/>
      <c r="J11" s="3338"/>
      <c r="K11" s="3341"/>
      <c r="L11" s="3213" t="s">
        <v>3120</v>
      </c>
      <c r="M11" s="3213"/>
      <c r="N11" s="3213"/>
      <c r="O11" s="3162"/>
      <c r="P11" s="3163"/>
      <c r="Q11" s="3163"/>
      <c r="R11" s="3296"/>
      <c r="T11" s="3165"/>
    </row>
    <row r="12" spans="1:20" s="3164" customFormat="1" ht="20.100000000000001" customHeight="1">
      <c r="A12" s="3323"/>
      <c r="B12" s="3326"/>
      <c r="C12" s="3329"/>
      <c r="D12" s="3329"/>
      <c r="E12" s="3332"/>
      <c r="F12" s="3196" t="s">
        <v>3121</v>
      </c>
      <c r="G12" s="3335"/>
      <c r="H12" s="3212"/>
      <c r="I12" s="3212"/>
      <c r="J12" s="3338"/>
      <c r="K12" s="3341"/>
      <c r="L12" s="3213"/>
      <c r="M12" s="3213"/>
      <c r="N12" s="3213"/>
      <c r="O12" s="3162"/>
      <c r="P12" s="3163"/>
      <c r="Q12" s="3163"/>
      <c r="R12" s="3296"/>
      <c r="T12" s="3165"/>
    </row>
    <row r="13" spans="1:20" s="3164" customFormat="1" ht="20.100000000000001" customHeight="1">
      <c r="A13" s="3324"/>
      <c r="B13" s="3327"/>
      <c r="C13" s="3330"/>
      <c r="D13" s="3330"/>
      <c r="E13" s="3333"/>
      <c r="F13" s="3214" t="s">
        <v>3122</v>
      </c>
      <c r="G13" s="3336"/>
      <c r="H13" s="3212"/>
      <c r="I13" s="3212"/>
      <c r="J13" s="3339"/>
      <c r="K13" s="3342"/>
      <c r="L13" s="3213"/>
      <c r="M13" s="3213"/>
      <c r="N13" s="3213"/>
      <c r="O13" s="3162"/>
      <c r="P13" s="3163"/>
      <c r="Q13" s="3163"/>
      <c r="R13" s="3297"/>
      <c r="T13" s="3165"/>
    </row>
    <row r="14" spans="1:20" s="3115" customFormat="1" ht="20.100000000000001" customHeight="1">
      <c r="A14" s="3298" t="s">
        <v>3123</v>
      </c>
      <c r="B14" s="3301" t="s">
        <v>3124</v>
      </c>
      <c r="C14" s="3304">
        <v>42465</v>
      </c>
      <c r="D14" s="3304">
        <v>44290</v>
      </c>
      <c r="E14" s="3307" t="s">
        <v>3114</v>
      </c>
      <c r="F14" s="3141" t="s">
        <v>3125</v>
      </c>
      <c r="G14" s="3310">
        <v>55061.599999999999</v>
      </c>
      <c r="H14" s="3128"/>
      <c r="I14" s="3128"/>
      <c r="J14" s="3313">
        <v>250.28</v>
      </c>
      <c r="K14" s="3316">
        <f>G14/J14</f>
        <v>220</v>
      </c>
      <c r="L14" s="3142" t="s">
        <v>3126</v>
      </c>
      <c r="M14" s="3203">
        <v>55061.599999999999</v>
      </c>
      <c r="N14" s="3112">
        <f>J14</f>
        <v>250.28</v>
      </c>
      <c r="O14" s="3204">
        <f>ROUND((60818.04-55061.6)/G14/5,2)</f>
        <v>0.02</v>
      </c>
      <c r="P14" s="3205">
        <v>60818.04</v>
      </c>
      <c r="Q14" s="3205">
        <f>55061.6*5+57814.68*12+60818.04*44</f>
        <v>3645077.9200000004</v>
      </c>
      <c r="R14" s="3319">
        <f>O14*J14</f>
        <v>5.0056000000000003</v>
      </c>
      <c r="T14" s="3129"/>
    </row>
    <row r="15" spans="1:20" s="3115" customFormat="1" ht="20.100000000000001" customHeight="1">
      <c r="A15" s="3299"/>
      <c r="B15" s="3302"/>
      <c r="C15" s="3305"/>
      <c r="D15" s="3305"/>
      <c r="E15" s="3308"/>
      <c r="F15" s="3143" t="s">
        <v>3128</v>
      </c>
      <c r="G15" s="3311"/>
      <c r="H15" s="3128"/>
      <c r="I15" s="3128"/>
      <c r="J15" s="3314"/>
      <c r="K15" s="3317"/>
      <c r="L15" s="3144" t="s">
        <v>3129</v>
      </c>
      <c r="M15" s="3206"/>
      <c r="N15" s="3206"/>
      <c r="O15" s="3207"/>
      <c r="P15" s="3208"/>
      <c r="Q15" s="3208"/>
      <c r="R15" s="3320"/>
      <c r="T15" s="3129"/>
    </row>
    <row r="16" spans="1:20" s="3115" customFormat="1" ht="20.100000000000001" customHeight="1">
      <c r="A16" s="3299"/>
      <c r="B16" s="3302"/>
      <c r="C16" s="3305"/>
      <c r="D16" s="3305"/>
      <c r="E16" s="3308"/>
      <c r="F16" s="3143" t="s">
        <v>3130</v>
      </c>
      <c r="G16" s="3311"/>
      <c r="H16" s="3128"/>
      <c r="I16" s="3128"/>
      <c r="J16" s="3314"/>
      <c r="K16" s="3317"/>
      <c r="L16" s="3144" t="s">
        <v>3131</v>
      </c>
      <c r="M16" s="3206"/>
      <c r="N16" s="3206"/>
      <c r="O16" s="3207"/>
      <c r="P16" s="3208"/>
      <c r="Q16" s="3208"/>
      <c r="R16" s="3320"/>
      <c r="T16" s="3129"/>
    </row>
    <row r="17" spans="1:20" s="3115" customFormat="1" ht="20.100000000000001" customHeight="1">
      <c r="A17" s="3299"/>
      <c r="B17" s="3302"/>
      <c r="C17" s="3305"/>
      <c r="D17" s="3305"/>
      <c r="E17" s="3308"/>
      <c r="F17" s="3143" t="s">
        <v>3132</v>
      </c>
      <c r="G17" s="3311"/>
      <c r="H17" s="3128"/>
      <c r="I17" s="3128"/>
      <c r="J17" s="3314"/>
      <c r="K17" s="3317"/>
      <c r="L17" s="3144"/>
      <c r="M17" s="3206"/>
      <c r="N17" s="3206"/>
      <c r="O17" s="3207"/>
      <c r="P17" s="3208"/>
      <c r="Q17" s="3208"/>
      <c r="R17" s="3320"/>
      <c r="T17" s="3129"/>
    </row>
    <row r="18" spans="1:20" s="3115" customFormat="1" ht="20.100000000000001" customHeight="1">
      <c r="A18" s="3300"/>
      <c r="B18" s="3303"/>
      <c r="C18" s="3306"/>
      <c r="D18" s="3306"/>
      <c r="E18" s="3309"/>
      <c r="F18" s="3143" t="s">
        <v>3133</v>
      </c>
      <c r="G18" s="3312"/>
      <c r="H18" s="3128"/>
      <c r="I18" s="3128"/>
      <c r="J18" s="3315"/>
      <c r="K18" s="3318"/>
      <c r="L18" s="3145"/>
      <c r="M18" s="3209"/>
      <c r="N18" s="3209"/>
      <c r="O18" s="3210"/>
      <c r="P18" s="3211"/>
      <c r="Q18" s="3211"/>
      <c r="R18" s="3321"/>
      <c r="T18" s="3129"/>
    </row>
    <row r="19" spans="1:20" s="3164" customFormat="1" ht="20.100000000000001" customHeight="1">
      <c r="A19" s="3346" t="s">
        <v>3134</v>
      </c>
      <c r="B19" s="3349" t="s">
        <v>3135</v>
      </c>
      <c r="C19" s="3328">
        <v>42485</v>
      </c>
      <c r="D19" s="3328">
        <v>44310</v>
      </c>
      <c r="E19" s="3331" t="s">
        <v>3136</v>
      </c>
      <c r="F19" s="3194" t="s">
        <v>3137</v>
      </c>
      <c r="G19" s="3352">
        <v>220189.2</v>
      </c>
      <c r="H19" s="3158"/>
      <c r="I19" s="3158"/>
      <c r="J19" s="3337">
        <v>1000.86</v>
      </c>
      <c r="K19" s="3343">
        <f>G19/J19</f>
        <v>220</v>
      </c>
      <c r="L19" s="3195" t="s">
        <v>3138</v>
      </c>
      <c r="M19" s="3195">
        <v>220189.2</v>
      </c>
      <c r="N19" s="3161">
        <f>J19</f>
        <v>1000.86</v>
      </c>
      <c r="O19" s="3162">
        <f>ROUND((243208.98-G19)/G19/5,2)</f>
        <v>0.02</v>
      </c>
      <c r="P19" s="3163">
        <v>243208.98</v>
      </c>
      <c r="Q19" s="3163">
        <f>220189.2*5+231198.66*12+243208.98*44</f>
        <v>14576525.040000001</v>
      </c>
      <c r="R19" s="3295">
        <f>O19*J19</f>
        <v>20.017199999999999</v>
      </c>
      <c r="T19" s="3165"/>
    </row>
    <row r="20" spans="1:20" s="3164" customFormat="1" ht="20.100000000000001" customHeight="1">
      <c r="A20" s="3347"/>
      <c r="B20" s="3350"/>
      <c r="C20" s="3329"/>
      <c r="D20" s="3329"/>
      <c r="E20" s="3332"/>
      <c r="F20" s="3196" t="s">
        <v>3139</v>
      </c>
      <c r="G20" s="3353"/>
      <c r="H20" s="3158"/>
      <c r="I20" s="3158"/>
      <c r="J20" s="3338"/>
      <c r="K20" s="3344"/>
      <c r="L20" s="3197" t="s">
        <v>3140</v>
      </c>
      <c r="M20" s="3197"/>
      <c r="N20" s="3197"/>
      <c r="O20" s="3198"/>
      <c r="P20" s="3199"/>
      <c r="Q20" s="3199"/>
      <c r="R20" s="3296"/>
      <c r="T20" s="3165"/>
    </row>
    <row r="21" spans="1:20" s="3164" customFormat="1" ht="20.100000000000001" customHeight="1">
      <c r="A21" s="3347"/>
      <c r="B21" s="3350"/>
      <c r="C21" s="3329"/>
      <c r="D21" s="3329"/>
      <c r="E21" s="3332"/>
      <c r="F21" s="3196" t="s">
        <v>3141</v>
      </c>
      <c r="G21" s="3353"/>
      <c r="H21" s="3158"/>
      <c r="I21" s="3158"/>
      <c r="J21" s="3338"/>
      <c r="K21" s="3344"/>
      <c r="L21" s="3197" t="s">
        <v>3142</v>
      </c>
      <c r="M21" s="3197"/>
      <c r="N21" s="3197"/>
      <c r="O21" s="3198"/>
      <c r="P21" s="3199"/>
      <c r="Q21" s="3199"/>
      <c r="R21" s="3296"/>
      <c r="T21" s="3165"/>
    </row>
    <row r="22" spans="1:20" s="3164" customFormat="1" ht="20.100000000000001" customHeight="1">
      <c r="A22" s="3347"/>
      <c r="B22" s="3350"/>
      <c r="C22" s="3329"/>
      <c r="D22" s="3329"/>
      <c r="E22" s="3332"/>
      <c r="F22" s="3196" t="s">
        <v>3143</v>
      </c>
      <c r="G22" s="3353"/>
      <c r="H22" s="3158"/>
      <c r="I22" s="3158"/>
      <c r="J22" s="3338"/>
      <c r="K22" s="3344"/>
      <c r="L22" s="3197"/>
      <c r="M22" s="3197"/>
      <c r="N22" s="3197"/>
      <c r="O22" s="3198"/>
      <c r="P22" s="3199"/>
      <c r="Q22" s="3199"/>
      <c r="R22" s="3296"/>
      <c r="T22" s="3165"/>
    </row>
    <row r="23" spans="1:20" s="3164" customFormat="1" ht="20.100000000000001" customHeight="1">
      <c r="A23" s="3348"/>
      <c r="B23" s="3351"/>
      <c r="C23" s="3330"/>
      <c r="D23" s="3330"/>
      <c r="E23" s="3333"/>
      <c r="F23" s="3196" t="s">
        <v>3144</v>
      </c>
      <c r="G23" s="3354"/>
      <c r="H23" s="3158"/>
      <c r="I23" s="3158"/>
      <c r="J23" s="3339"/>
      <c r="K23" s="3345"/>
      <c r="L23" s="3200"/>
      <c r="M23" s="3200"/>
      <c r="N23" s="3200"/>
      <c r="O23" s="3201"/>
      <c r="P23" s="3202"/>
      <c r="Q23" s="3202"/>
      <c r="R23" s="3297"/>
      <c r="T23" s="3165"/>
    </row>
    <row r="24" spans="1:20" s="3115" customFormat="1" ht="20.100000000000001" customHeight="1">
      <c r="A24" s="3362" t="s">
        <v>3145</v>
      </c>
      <c r="B24" s="3363" t="s">
        <v>3146</v>
      </c>
      <c r="C24" s="3364">
        <v>42573</v>
      </c>
      <c r="D24" s="3364">
        <v>44398</v>
      </c>
      <c r="E24" s="3365" t="s">
        <v>3127</v>
      </c>
      <c r="F24" s="3366" t="s">
        <v>3127</v>
      </c>
      <c r="G24" s="3367">
        <v>220189.2</v>
      </c>
      <c r="H24" s="3134"/>
      <c r="I24" s="3128"/>
      <c r="J24" s="3370">
        <v>1000.86</v>
      </c>
      <c r="K24" s="3371">
        <f>G24/J24</f>
        <v>220</v>
      </c>
      <c r="L24" s="3135" t="s">
        <v>3147</v>
      </c>
      <c r="M24" s="3136"/>
      <c r="N24" s="3112">
        <f>J24</f>
        <v>1000.86</v>
      </c>
      <c r="O24" s="3113">
        <f>ROUND((243208.98-G24)/G24/5,2)</f>
        <v>0.02</v>
      </c>
      <c r="P24" s="3114">
        <v>243208.98</v>
      </c>
      <c r="Q24" s="3114">
        <f>220189.2*8+231198.66*12+243208.98*41</f>
        <v>14507465.699999999</v>
      </c>
      <c r="R24" s="3298">
        <f>O24*J24</f>
        <v>20.017199999999999</v>
      </c>
      <c r="T24" s="3129"/>
    </row>
    <row r="25" spans="1:20" s="3115" customFormat="1" ht="20.100000000000001" customHeight="1">
      <c r="A25" s="3362"/>
      <c r="B25" s="3363"/>
      <c r="C25" s="3364"/>
      <c r="D25" s="3364"/>
      <c r="E25" s="3365"/>
      <c r="F25" s="3366"/>
      <c r="G25" s="3368"/>
      <c r="H25" s="3134"/>
      <c r="I25" s="3128"/>
      <c r="J25" s="3370"/>
      <c r="K25" s="3371"/>
      <c r="L25" s="3135" t="s">
        <v>3148</v>
      </c>
      <c r="M25" s="3137">
        <v>220189.2</v>
      </c>
      <c r="N25" s="3112">
        <f>J25</f>
        <v>0</v>
      </c>
      <c r="O25" s="3113"/>
      <c r="P25" s="3114"/>
      <c r="Q25" s="3114"/>
      <c r="R25" s="3299"/>
      <c r="T25" s="3129"/>
    </row>
    <row r="26" spans="1:20" s="3115" customFormat="1" ht="20.100000000000001" customHeight="1">
      <c r="A26" s="3362"/>
      <c r="B26" s="3363"/>
      <c r="C26" s="3364"/>
      <c r="D26" s="3364"/>
      <c r="E26" s="3365"/>
      <c r="F26" s="3366"/>
      <c r="G26" s="3368"/>
      <c r="H26" s="3134"/>
      <c r="I26" s="3128"/>
      <c r="J26" s="3370"/>
      <c r="K26" s="3371"/>
      <c r="L26" s="3135" t="s">
        <v>3149</v>
      </c>
      <c r="M26" s="3137"/>
      <c r="N26" s="3137"/>
      <c r="O26" s="3138"/>
      <c r="P26" s="3139"/>
      <c r="Q26" s="3139"/>
      <c r="R26" s="3299"/>
      <c r="T26" s="3129"/>
    </row>
    <row r="27" spans="1:20" s="3115" customFormat="1" ht="20.100000000000001" customHeight="1">
      <c r="A27" s="3362"/>
      <c r="B27" s="3363"/>
      <c r="C27" s="3364"/>
      <c r="D27" s="3364"/>
      <c r="E27" s="3365"/>
      <c r="F27" s="3366"/>
      <c r="G27" s="3369"/>
      <c r="H27" s="3134"/>
      <c r="I27" s="3128"/>
      <c r="J27" s="3370"/>
      <c r="K27" s="3371"/>
      <c r="L27" s="3135" t="s">
        <v>3150</v>
      </c>
      <c r="M27" s="3140"/>
      <c r="N27" s="3140"/>
      <c r="O27" s="3192"/>
      <c r="P27" s="3193"/>
      <c r="Q27" s="3193"/>
      <c r="R27" s="3300"/>
      <c r="T27" s="3129"/>
    </row>
    <row r="28" spans="1:20" s="3164" customFormat="1" ht="20.100000000000001" customHeight="1">
      <c r="A28" s="3355" t="s">
        <v>3151</v>
      </c>
      <c r="B28" s="3356" t="s">
        <v>3152</v>
      </c>
      <c r="C28" s="3357">
        <v>42601</v>
      </c>
      <c r="D28" s="3357">
        <v>44426</v>
      </c>
      <c r="E28" s="3358" t="s">
        <v>3153</v>
      </c>
      <c r="F28" s="3359" t="s">
        <v>3127</v>
      </c>
      <c r="G28" s="3334">
        <v>486297.59999999998</v>
      </c>
      <c r="H28" s="3185"/>
      <c r="I28" s="3158"/>
      <c r="J28" s="3360">
        <v>2026.24</v>
      </c>
      <c r="K28" s="3361">
        <f>G28/J28</f>
        <v>240</v>
      </c>
      <c r="L28" s="3186" t="s">
        <v>3154</v>
      </c>
      <c r="M28" s="3187"/>
      <c r="N28" s="3161">
        <f>J28</f>
        <v>2026.24</v>
      </c>
      <c r="O28" s="3162"/>
      <c r="P28" s="3163">
        <v>536143.1</v>
      </c>
      <c r="Q28" s="3163">
        <f>486297.6*9+510612.48*12+536143.1*40</f>
        <v>31949752.16</v>
      </c>
      <c r="R28" s="3295">
        <f>O29*J28</f>
        <v>40.524799999999999</v>
      </c>
      <c r="T28" s="3165"/>
    </row>
    <row r="29" spans="1:20" s="3164" customFormat="1" ht="20.100000000000001" customHeight="1">
      <c r="A29" s="3355"/>
      <c r="B29" s="3356"/>
      <c r="C29" s="3357"/>
      <c r="D29" s="3357"/>
      <c r="E29" s="3358"/>
      <c r="F29" s="3359"/>
      <c r="G29" s="3335"/>
      <c r="H29" s="3185"/>
      <c r="I29" s="3158"/>
      <c r="J29" s="3360"/>
      <c r="K29" s="3361"/>
      <c r="L29" s="3186" t="s">
        <v>3155</v>
      </c>
      <c r="M29" s="3188">
        <v>486297.59999999998</v>
      </c>
      <c r="N29" s="3161">
        <f>J29</f>
        <v>0</v>
      </c>
      <c r="O29" s="3162">
        <f>ROUND((536143.1-G28)/G28/5,2)</f>
        <v>0.02</v>
      </c>
      <c r="P29" s="3163"/>
      <c r="Q29" s="3163"/>
      <c r="R29" s="3296"/>
      <c r="T29" s="3165"/>
    </row>
    <row r="30" spans="1:20" s="3164" customFormat="1" ht="20.100000000000001" customHeight="1">
      <c r="A30" s="3355"/>
      <c r="B30" s="3356"/>
      <c r="C30" s="3357"/>
      <c r="D30" s="3357"/>
      <c r="E30" s="3358"/>
      <c r="F30" s="3359"/>
      <c r="G30" s="3335"/>
      <c r="H30" s="3185"/>
      <c r="I30" s="3158"/>
      <c r="J30" s="3360"/>
      <c r="K30" s="3361"/>
      <c r="L30" s="3186" t="s">
        <v>3156</v>
      </c>
      <c r="M30" s="3188"/>
      <c r="N30" s="3188"/>
      <c r="O30" s="3189"/>
      <c r="P30" s="3190"/>
      <c r="Q30" s="3190"/>
      <c r="R30" s="3296"/>
      <c r="T30" s="3165"/>
    </row>
    <row r="31" spans="1:20" s="3164" customFormat="1" ht="20.100000000000001" customHeight="1">
      <c r="A31" s="3355"/>
      <c r="B31" s="3356"/>
      <c r="C31" s="3357"/>
      <c r="D31" s="3357"/>
      <c r="E31" s="3358"/>
      <c r="F31" s="3359"/>
      <c r="G31" s="3336"/>
      <c r="H31" s="3185"/>
      <c r="I31" s="3158"/>
      <c r="J31" s="3360"/>
      <c r="K31" s="3361"/>
      <c r="L31" s="3186" t="s">
        <v>3157</v>
      </c>
      <c r="M31" s="3191"/>
      <c r="N31" s="3191"/>
      <c r="O31" s="3189"/>
      <c r="P31" s="3190"/>
      <c r="Q31" s="3190"/>
      <c r="R31" s="3297"/>
      <c r="T31" s="3165"/>
    </row>
    <row r="32" spans="1:20" s="3115" customFormat="1" ht="20.100000000000001" customHeight="1">
      <c r="A32" s="3362" t="s">
        <v>3159</v>
      </c>
      <c r="B32" s="3363" t="s">
        <v>3160</v>
      </c>
      <c r="C32" s="3364">
        <v>42699</v>
      </c>
      <c r="D32" s="3364">
        <v>44524</v>
      </c>
      <c r="E32" s="3365" t="s">
        <v>3161</v>
      </c>
      <c r="F32" s="3366" t="s">
        <v>3158</v>
      </c>
      <c r="G32" s="3374">
        <v>72586.080000000002</v>
      </c>
      <c r="H32" s="3128"/>
      <c r="I32" s="3128"/>
      <c r="J32" s="3370">
        <v>318.36</v>
      </c>
      <c r="K32" s="3371">
        <f>G32/J32</f>
        <v>228</v>
      </c>
      <c r="L32" s="3110" t="s">
        <v>3162</v>
      </c>
      <c r="M32" s="3110"/>
      <c r="N32" s="3133">
        <f>J32</f>
        <v>318.36</v>
      </c>
      <c r="O32" s="3181"/>
      <c r="P32" s="3125">
        <v>80026.149999999994</v>
      </c>
      <c r="Q32" s="3215">
        <f>72586.08*12+76215.38*12+80026.15*37</f>
        <v>4746585.07</v>
      </c>
      <c r="R32" s="3373">
        <f>O33*J32</f>
        <v>6.3672000000000004</v>
      </c>
      <c r="T32" s="3129"/>
    </row>
    <row r="33" spans="1:20" s="3115" customFormat="1" ht="20.100000000000001" customHeight="1">
      <c r="A33" s="3362"/>
      <c r="B33" s="3363"/>
      <c r="C33" s="3364"/>
      <c r="D33" s="3364"/>
      <c r="E33" s="3365"/>
      <c r="F33" s="3366"/>
      <c r="G33" s="3375"/>
      <c r="H33" s="3128"/>
      <c r="I33" s="3128"/>
      <c r="J33" s="3370"/>
      <c r="K33" s="3371"/>
      <c r="L33" s="3110" t="s">
        <v>3163</v>
      </c>
      <c r="M33" s="3110">
        <v>72586</v>
      </c>
      <c r="N33" s="3182"/>
      <c r="O33" s="3183">
        <f>ROUND((80026.15-G32)/G32/5,2)</f>
        <v>0.02</v>
      </c>
      <c r="P33" s="3119"/>
      <c r="Q33" s="3216"/>
      <c r="R33" s="3373"/>
      <c r="T33" s="3129"/>
    </row>
    <row r="34" spans="1:20" s="3115" customFormat="1" ht="20.100000000000001" customHeight="1">
      <c r="A34" s="3362"/>
      <c r="B34" s="3363"/>
      <c r="C34" s="3364"/>
      <c r="D34" s="3364"/>
      <c r="E34" s="3365"/>
      <c r="F34" s="3366"/>
      <c r="G34" s="3375"/>
      <c r="H34" s="3128"/>
      <c r="I34" s="3128"/>
      <c r="J34" s="3370"/>
      <c r="K34" s="3371"/>
      <c r="L34" s="3110" t="s">
        <v>3164</v>
      </c>
      <c r="M34" s="3110" t="s">
        <v>3165</v>
      </c>
      <c r="N34" s="3182"/>
      <c r="O34" s="3183"/>
      <c r="P34" s="3119"/>
      <c r="Q34" s="3216"/>
      <c r="R34" s="3373"/>
      <c r="T34" s="3129"/>
    </row>
    <row r="35" spans="1:20" s="3115" customFormat="1" ht="20.100000000000001" customHeight="1">
      <c r="A35" s="3362"/>
      <c r="B35" s="3363"/>
      <c r="C35" s="3364"/>
      <c r="D35" s="3364"/>
      <c r="E35" s="3365"/>
      <c r="F35" s="3366"/>
      <c r="G35" s="3376"/>
      <c r="H35" s="3128"/>
      <c r="I35" s="3128"/>
      <c r="J35" s="3370"/>
      <c r="K35" s="3371"/>
      <c r="L35" s="3110" t="s">
        <v>3166</v>
      </c>
      <c r="M35" s="3110"/>
      <c r="N35" s="3182"/>
      <c r="O35" s="3184"/>
      <c r="P35" s="3122"/>
      <c r="Q35" s="3217"/>
      <c r="R35" s="3373"/>
      <c r="T35" s="3129"/>
    </row>
    <row r="36" spans="1:20" s="3164" customFormat="1" ht="20.100000000000001" customHeight="1">
      <c r="A36" s="3355" t="s">
        <v>3167</v>
      </c>
      <c r="B36" s="3356" t="s">
        <v>3168</v>
      </c>
      <c r="C36" s="3357">
        <v>42699</v>
      </c>
      <c r="D36" s="3357">
        <v>44524</v>
      </c>
      <c r="E36" s="3358" t="s">
        <v>3169</v>
      </c>
      <c r="F36" s="3359" t="s">
        <v>3127</v>
      </c>
      <c r="G36" s="3334">
        <v>52522.080000000002</v>
      </c>
      <c r="H36" s="3158"/>
      <c r="I36" s="3158"/>
      <c r="J36" s="3360">
        <v>230.36</v>
      </c>
      <c r="K36" s="3361">
        <f>G36/J36</f>
        <v>228</v>
      </c>
      <c r="L36" s="3159" t="s">
        <v>3170</v>
      </c>
      <c r="M36" s="3159"/>
      <c r="N36" s="3161">
        <f>J36</f>
        <v>230.36</v>
      </c>
      <c r="O36" s="3176"/>
      <c r="P36" s="3177">
        <v>57905.59</v>
      </c>
      <c r="Q36" s="3177">
        <f>52522.08*12+55148.18*12+57905.59*37</f>
        <v>3434549.95</v>
      </c>
      <c r="R36" s="3372">
        <f>O37*J36</f>
        <v>4.6072000000000006</v>
      </c>
      <c r="T36" s="3165"/>
    </row>
    <row r="37" spans="1:20" s="3164" customFormat="1" ht="20.100000000000001" customHeight="1">
      <c r="A37" s="3355"/>
      <c r="B37" s="3356"/>
      <c r="C37" s="3357"/>
      <c r="D37" s="3357"/>
      <c r="E37" s="3358"/>
      <c r="F37" s="3359"/>
      <c r="G37" s="3335"/>
      <c r="H37" s="3158"/>
      <c r="I37" s="3158"/>
      <c r="J37" s="3360"/>
      <c r="K37" s="3361"/>
      <c r="L37" s="3159" t="s">
        <v>3171</v>
      </c>
      <c r="M37" s="3159">
        <v>52522.080000000002</v>
      </c>
      <c r="N37" s="3159"/>
      <c r="O37" s="3167">
        <f>ROUND((57905.59-G36)/G36/5,2)</f>
        <v>0.02</v>
      </c>
      <c r="P37" s="3168"/>
      <c r="Q37" s="3168"/>
      <c r="R37" s="3372"/>
      <c r="T37" s="3165"/>
    </row>
    <row r="38" spans="1:20" s="3164" customFormat="1" ht="20.100000000000001" customHeight="1">
      <c r="A38" s="3355"/>
      <c r="B38" s="3356"/>
      <c r="C38" s="3357"/>
      <c r="D38" s="3357"/>
      <c r="E38" s="3358"/>
      <c r="F38" s="3359"/>
      <c r="G38" s="3335"/>
      <c r="H38" s="3158"/>
      <c r="I38" s="3158"/>
      <c r="J38" s="3360"/>
      <c r="K38" s="3361"/>
      <c r="L38" s="3159" t="s">
        <v>3172</v>
      </c>
      <c r="M38" s="3159"/>
      <c r="N38" s="3159"/>
      <c r="O38" s="3167"/>
      <c r="P38" s="3168"/>
      <c r="Q38" s="3168"/>
      <c r="R38" s="3372"/>
      <c r="T38" s="3165"/>
    </row>
    <row r="39" spans="1:20" s="3164" customFormat="1" ht="20.100000000000001" customHeight="1">
      <c r="A39" s="3355"/>
      <c r="B39" s="3356"/>
      <c r="C39" s="3357"/>
      <c r="D39" s="3357"/>
      <c r="E39" s="3358"/>
      <c r="F39" s="3359"/>
      <c r="G39" s="3336"/>
      <c r="H39" s="3158"/>
      <c r="I39" s="3158"/>
      <c r="J39" s="3360"/>
      <c r="K39" s="3361"/>
      <c r="L39" s="3159" t="s">
        <v>3173</v>
      </c>
      <c r="M39" s="3159"/>
      <c r="N39" s="3159"/>
      <c r="O39" s="3171"/>
      <c r="P39" s="3172"/>
      <c r="Q39" s="3172"/>
      <c r="R39" s="3372"/>
      <c r="T39" s="3165"/>
    </row>
    <row r="40" spans="1:20" s="3115" customFormat="1" ht="20.100000000000001" customHeight="1">
      <c r="A40" s="3362" t="s">
        <v>3174</v>
      </c>
      <c r="B40" s="3363" t="s">
        <v>3175</v>
      </c>
      <c r="C40" s="3364">
        <v>42824</v>
      </c>
      <c r="D40" s="3364">
        <v>43919</v>
      </c>
      <c r="E40" s="3365" t="s">
        <v>3176</v>
      </c>
      <c r="F40" s="3366" t="s">
        <v>3127</v>
      </c>
      <c r="G40" s="3367">
        <f>71100+47447.4</f>
        <v>118547.4</v>
      </c>
      <c r="H40" s="3128"/>
      <c r="I40" s="3128"/>
      <c r="J40" s="3370">
        <f>300+200.2</f>
        <v>500.2</v>
      </c>
      <c r="K40" s="3371">
        <f>G40/J40</f>
        <v>237</v>
      </c>
      <c r="L40" s="3110" t="s">
        <v>3177</v>
      </c>
      <c r="M40" s="3110"/>
      <c r="N40" s="3112">
        <f>J40</f>
        <v>500.2</v>
      </c>
      <c r="O40" s="3124"/>
      <c r="P40" s="3125">
        <v>118547.4</v>
      </c>
      <c r="Q40" s="3125">
        <f>118547.4*4+118547.4*57</f>
        <v>7231391.3999999994</v>
      </c>
      <c r="R40" s="3377">
        <f>O41*J40</f>
        <v>0</v>
      </c>
      <c r="T40" s="3129"/>
    </row>
    <row r="41" spans="1:20" s="3115" customFormat="1" ht="20.100000000000001" customHeight="1">
      <c r="A41" s="3362"/>
      <c r="B41" s="3363"/>
      <c r="C41" s="3364"/>
      <c r="D41" s="3364"/>
      <c r="E41" s="3365"/>
      <c r="F41" s="3366"/>
      <c r="G41" s="3368"/>
      <c r="H41" s="3128"/>
      <c r="I41" s="3128"/>
      <c r="J41" s="3370"/>
      <c r="K41" s="3371"/>
      <c r="L41" s="3110" t="s">
        <v>3178</v>
      </c>
      <c r="M41" s="3110">
        <v>118547.4</v>
      </c>
      <c r="N41" s="3110"/>
      <c r="O41" s="3118">
        <v>0</v>
      </c>
      <c r="P41" s="3119"/>
      <c r="Q41" s="3119"/>
      <c r="R41" s="3377"/>
      <c r="T41" s="3129"/>
    </row>
    <row r="42" spans="1:20" s="3115" customFormat="1" ht="20.100000000000001" customHeight="1">
      <c r="A42" s="3362"/>
      <c r="B42" s="3363"/>
      <c r="C42" s="3364"/>
      <c r="D42" s="3364"/>
      <c r="E42" s="3365"/>
      <c r="F42" s="3366"/>
      <c r="G42" s="3369"/>
      <c r="H42" s="3128"/>
      <c r="I42" s="3128"/>
      <c r="J42" s="3370"/>
      <c r="K42" s="3371"/>
      <c r="L42" s="3110" t="s">
        <v>3179</v>
      </c>
      <c r="M42" s="3110"/>
      <c r="N42" s="3110"/>
      <c r="O42" s="3121"/>
      <c r="P42" s="3122"/>
      <c r="Q42" s="3122"/>
      <c r="R42" s="3377"/>
      <c r="T42" s="3129"/>
    </row>
    <row r="43" spans="1:20" s="3164" customFormat="1" ht="19.5" customHeight="1">
      <c r="A43" s="3355" t="s">
        <v>3180</v>
      </c>
      <c r="B43" s="3356" t="s">
        <v>3184</v>
      </c>
      <c r="C43" s="3357">
        <v>42814</v>
      </c>
      <c r="D43" s="3357">
        <v>43909</v>
      </c>
      <c r="E43" s="3358" t="s">
        <v>3181</v>
      </c>
      <c r="F43" s="3359" t="s">
        <v>3182</v>
      </c>
      <c r="G43" s="3334">
        <v>52896</v>
      </c>
      <c r="H43" s="3158"/>
      <c r="I43" s="3158"/>
      <c r="J43" s="3360">
        <v>228</v>
      </c>
      <c r="K43" s="3361">
        <f>G43/J43</f>
        <v>232</v>
      </c>
      <c r="L43" s="3159" t="s">
        <v>3183</v>
      </c>
      <c r="M43" s="3159"/>
      <c r="N43" s="3161">
        <f>J43</f>
        <v>228</v>
      </c>
      <c r="O43" s="3176"/>
      <c r="P43" s="3177">
        <v>52896</v>
      </c>
      <c r="Q43" s="3177">
        <f>52896*4+52896*57</f>
        <v>3226656</v>
      </c>
      <c r="R43" s="3372">
        <f>O44*J43</f>
        <v>0</v>
      </c>
      <c r="T43" s="3165"/>
    </row>
    <row r="44" spans="1:20" s="3164" customFormat="1" ht="20.100000000000001" customHeight="1">
      <c r="A44" s="3355"/>
      <c r="B44" s="3356"/>
      <c r="C44" s="3357"/>
      <c r="D44" s="3357"/>
      <c r="E44" s="3358"/>
      <c r="F44" s="3359"/>
      <c r="G44" s="3335"/>
      <c r="H44" s="3158"/>
      <c r="I44" s="3158"/>
      <c r="J44" s="3360"/>
      <c r="K44" s="3361"/>
      <c r="L44" s="3159" t="s">
        <v>3185</v>
      </c>
      <c r="M44" s="3159">
        <v>52896</v>
      </c>
      <c r="N44" s="3159"/>
      <c r="O44" s="3167">
        <v>0</v>
      </c>
      <c r="P44" s="3168"/>
      <c r="Q44" s="3168"/>
      <c r="R44" s="3372"/>
      <c r="T44" s="3165"/>
    </row>
    <row r="45" spans="1:20" s="3164" customFormat="1" ht="20.100000000000001" customHeight="1">
      <c r="A45" s="3355"/>
      <c r="B45" s="3356"/>
      <c r="C45" s="3357"/>
      <c r="D45" s="3357"/>
      <c r="E45" s="3358"/>
      <c r="F45" s="3359"/>
      <c r="G45" s="3336"/>
      <c r="H45" s="3158"/>
      <c r="I45" s="3158"/>
      <c r="J45" s="3360"/>
      <c r="K45" s="3361"/>
      <c r="L45" s="3159" t="s">
        <v>3186</v>
      </c>
      <c r="M45" s="3159"/>
      <c r="N45" s="3159"/>
      <c r="O45" s="3171"/>
      <c r="P45" s="3172"/>
      <c r="Q45" s="3172"/>
      <c r="R45" s="3372"/>
      <c r="T45" s="3165"/>
    </row>
    <row r="46" spans="1:20" s="3115" customFormat="1" ht="20.100000000000001" customHeight="1">
      <c r="A46" s="3362" t="s">
        <v>3187</v>
      </c>
      <c r="B46" s="3363" t="s">
        <v>3188</v>
      </c>
      <c r="C46" s="3364">
        <v>42814</v>
      </c>
      <c r="D46" s="3364">
        <v>43909</v>
      </c>
      <c r="E46" s="3365" t="s">
        <v>3189</v>
      </c>
      <c r="F46" s="3366" t="s">
        <v>3182</v>
      </c>
      <c r="G46" s="3367">
        <v>52896</v>
      </c>
      <c r="H46" s="3128"/>
      <c r="I46" s="3128"/>
      <c r="J46" s="3370">
        <v>228</v>
      </c>
      <c r="K46" s="3371">
        <f>G46/J46</f>
        <v>232</v>
      </c>
      <c r="L46" s="3110" t="s">
        <v>3183</v>
      </c>
      <c r="M46" s="3110"/>
      <c r="N46" s="3112">
        <f>J46</f>
        <v>228</v>
      </c>
      <c r="O46" s="3124"/>
      <c r="P46" s="3125">
        <v>52896</v>
      </c>
      <c r="Q46" s="3125">
        <f>52896*4+52896*57</f>
        <v>3226656</v>
      </c>
      <c r="R46" s="3377">
        <f>O47*J46</f>
        <v>0</v>
      </c>
      <c r="T46" s="3129"/>
    </row>
    <row r="47" spans="1:20" s="3115" customFormat="1" ht="20.100000000000001" customHeight="1">
      <c r="A47" s="3362"/>
      <c r="B47" s="3363"/>
      <c r="C47" s="3364"/>
      <c r="D47" s="3364"/>
      <c r="E47" s="3365"/>
      <c r="F47" s="3366"/>
      <c r="G47" s="3368"/>
      <c r="H47" s="3128"/>
      <c r="I47" s="3128"/>
      <c r="J47" s="3370"/>
      <c r="K47" s="3371"/>
      <c r="L47" s="3110" t="s">
        <v>3185</v>
      </c>
      <c r="M47" s="3110">
        <v>52896</v>
      </c>
      <c r="N47" s="3110"/>
      <c r="O47" s="3118">
        <v>0</v>
      </c>
      <c r="P47" s="3119"/>
      <c r="Q47" s="3119"/>
      <c r="R47" s="3377"/>
      <c r="T47" s="3129"/>
    </row>
    <row r="48" spans="1:20" s="3115" customFormat="1" ht="20.100000000000001" customHeight="1">
      <c r="A48" s="3362"/>
      <c r="B48" s="3363"/>
      <c r="C48" s="3364"/>
      <c r="D48" s="3364"/>
      <c r="E48" s="3365"/>
      <c r="F48" s="3366"/>
      <c r="G48" s="3369"/>
      <c r="H48" s="3128"/>
      <c r="I48" s="3128"/>
      <c r="J48" s="3370"/>
      <c r="K48" s="3371"/>
      <c r="L48" s="3110" t="s">
        <v>3186</v>
      </c>
      <c r="M48" s="3110"/>
      <c r="N48" s="3110"/>
      <c r="O48" s="3121"/>
      <c r="P48" s="3122"/>
      <c r="Q48" s="3122"/>
      <c r="R48" s="3377"/>
      <c r="T48" s="3129"/>
    </row>
    <row r="49" spans="1:20" s="3164" customFormat="1" ht="20.100000000000001" customHeight="1">
      <c r="A49" s="3355" t="s">
        <v>3190</v>
      </c>
      <c r="B49" s="3356" t="s">
        <v>3195</v>
      </c>
      <c r="C49" s="3357">
        <v>42814</v>
      </c>
      <c r="D49" s="3357">
        <v>43909</v>
      </c>
      <c r="E49" s="3358" t="s">
        <v>3191</v>
      </c>
      <c r="F49" s="3359" t="s">
        <v>3127</v>
      </c>
      <c r="G49" s="3334">
        <v>53039.839999999997</v>
      </c>
      <c r="H49" s="3158"/>
      <c r="I49" s="3158"/>
      <c r="J49" s="3360">
        <v>228.62</v>
      </c>
      <c r="K49" s="3361">
        <f>G49/J49</f>
        <v>231.99999999999997</v>
      </c>
      <c r="L49" s="3159" t="s">
        <v>3192</v>
      </c>
      <c r="M49" s="3159"/>
      <c r="N49" s="3161">
        <f>J49</f>
        <v>228.62</v>
      </c>
      <c r="O49" s="3176"/>
      <c r="P49" s="3177">
        <v>53039.839999999997</v>
      </c>
      <c r="Q49" s="3177">
        <f>53039.84*4+53039.84*57</f>
        <v>3235430.2399999998</v>
      </c>
      <c r="R49" s="3372">
        <f>O50*J49</f>
        <v>0</v>
      </c>
      <c r="T49" s="3165"/>
    </row>
    <row r="50" spans="1:20" s="3164" customFormat="1" ht="20.100000000000001" customHeight="1">
      <c r="A50" s="3355"/>
      <c r="B50" s="3356"/>
      <c r="C50" s="3357"/>
      <c r="D50" s="3357"/>
      <c r="E50" s="3358"/>
      <c r="F50" s="3359"/>
      <c r="G50" s="3335"/>
      <c r="H50" s="3158"/>
      <c r="I50" s="3158"/>
      <c r="J50" s="3360"/>
      <c r="K50" s="3361"/>
      <c r="L50" s="3159" t="s">
        <v>3193</v>
      </c>
      <c r="M50" s="3159">
        <v>53039.839999999997</v>
      </c>
      <c r="N50" s="3159"/>
      <c r="O50" s="3167">
        <v>0</v>
      </c>
      <c r="P50" s="3168"/>
      <c r="Q50" s="3168"/>
      <c r="R50" s="3372"/>
      <c r="T50" s="3165"/>
    </row>
    <row r="51" spans="1:20" s="3164" customFormat="1" ht="20.100000000000001" customHeight="1">
      <c r="A51" s="3355"/>
      <c r="B51" s="3356"/>
      <c r="C51" s="3357"/>
      <c r="D51" s="3357"/>
      <c r="E51" s="3358"/>
      <c r="F51" s="3359"/>
      <c r="G51" s="3336"/>
      <c r="H51" s="3158"/>
      <c r="I51" s="3158"/>
      <c r="J51" s="3360"/>
      <c r="K51" s="3361"/>
      <c r="L51" s="3159" t="s">
        <v>3194</v>
      </c>
      <c r="M51" s="3159"/>
      <c r="N51" s="3159"/>
      <c r="O51" s="3171"/>
      <c r="P51" s="3172"/>
      <c r="Q51" s="3172"/>
      <c r="R51" s="3372"/>
      <c r="T51" s="3165"/>
    </row>
    <row r="52" spans="1:20" s="3115" customFormat="1" ht="20.100000000000001" customHeight="1">
      <c r="A52" s="3362" t="s">
        <v>3196</v>
      </c>
      <c r="B52" s="3363" t="s">
        <v>3197</v>
      </c>
      <c r="C52" s="3364">
        <v>42814</v>
      </c>
      <c r="D52" s="3364">
        <v>43909</v>
      </c>
      <c r="E52" s="3365" t="s">
        <v>3191</v>
      </c>
      <c r="F52" s="3366" t="s">
        <v>3127</v>
      </c>
      <c r="G52" s="3367">
        <v>78211.839999999997</v>
      </c>
      <c r="H52" s="3128"/>
      <c r="I52" s="3128"/>
      <c r="J52" s="3370">
        <v>337.12</v>
      </c>
      <c r="K52" s="3371">
        <f>G52/J52</f>
        <v>232</v>
      </c>
      <c r="L52" s="3110" t="s">
        <v>3198</v>
      </c>
      <c r="M52" s="3110"/>
      <c r="N52" s="3112">
        <f>J52</f>
        <v>337.12</v>
      </c>
      <c r="O52" s="3124"/>
      <c r="P52" s="3125">
        <v>78211.839999999997</v>
      </c>
      <c r="Q52" s="3125">
        <f>78211.84*4+78211.84*57</f>
        <v>4770922.24</v>
      </c>
      <c r="R52" s="3377">
        <f>O53*J52</f>
        <v>0</v>
      </c>
      <c r="T52" s="3129"/>
    </row>
    <row r="53" spans="1:20" s="3115" customFormat="1" ht="20.100000000000001" customHeight="1">
      <c r="A53" s="3362"/>
      <c r="B53" s="3363"/>
      <c r="C53" s="3364"/>
      <c r="D53" s="3364"/>
      <c r="E53" s="3365"/>
      <c r="F53" s="3366"/>
      <c r="G53" s="3368"/>
      <c r="H53" s="3128"/>
      <c r="I53" s="3128"/>
      <c r="J53" s="3370"/>
      <c r="K53" s="3371"/>
      <c r="L53" s="3110" t="s">
        <v>3199</v>
      </c>
      <c r="M53" s="3110">
        <v>78211.839999999997</v>
      </c>
      <c r="N53" s="3110"/>
      <c r="O53" s="3118">
        <v>0</v>
      </c>
      <c r="P53" s="3119"/>
      <c r="Q53" s="3119"/>
      <c r="R53" s="3377"/>
      <c r="T53" s="3129"/>
    </row>
    <row r="54" spans="1:20" s="3115" customFormat="1" ht="20.100000000000001" customHeight="1">
      <c r="A54" s="3362"/>
      <c r="B54" s="3363"/>
      <c r="C54" s="3364"/>
      <c r="D54" s="3364"/>
      <c r="E54" s="3365"/>
      <c r="F54" s="3366"/>
      <c r="G54" s="3369"/>
      <c r="H54" s="3128"/>
      <c r="I54" s="3128"/>
      <c r="J54" s="3370"/>
      <c r="K54" s="3371"/>
      <c r="L54" s="3110" t="s">
        <v>3200</v>
      </c>
      <c r="M54" s="3110"/>
      <c r="N54" s="3110"/>
      <c r="O54" s="3121"/>
      <c r="P54" s="3122"/>
      <c r="Q54" s="3122"/>
      <c r="R54" s="3377"/>
      <c r="T54" s="3129"/>
    </row>
    <row r="55" spans="1:20" s="3164" customFormat="1" ht="19.5" customHeight="1">
      <c r="A55" s="3355" t="s">
        <v>3201</v>
      </c>
      <c r="B55" s="3379" t="s">
        <v>3135</v>
      </c>
      <c r="C55" s="3357">
        <v>42917</v>
      </c>
      <c r="D55" s="3357">
        <v>44012</v>
      </c>
      <c r="E55" s="3358" t="s">
        <v>3202</v>
      </c>
      <c r="F55" s="3359" t="s">
        <v>3127</v>
      </c>
      <c r="G55" s="3334">
        <v>164308.79999999999</v>
      </c>
      <c r="H55" s="3158"/>
      <c r="I55" s="3158"/>
      <c r="J55" s="3360">
        <v>684.62</v>
      </c>
      <c r="K55" s="3361">
        <f>G55/J55</f>
        <v>239.99999999999997</v>
      </c>
      <c r="L55" s="3159" t="s">
        <v>3203</v>
      </c>
      <c r="M55" s="3160"/>
      <c r="N55" s="3178">
        <f>J55</f>
        <v>684.62</v>
      </c>
      <c r="O55" s="3176"/>
      <c r="P55" s="3177">
        <v>164308.79999999999</v>
      </c>
      <c r="Q55" s="3177">
        <f>164308.8*7+164308.8*54</f>
        <v>10022836.799999999</v>
      </c>
      <c r="R55" s="3295">
        <f>O56*J55</f>
        <v>0</v>
      </c>
      <c r="T55" s="3165"/>
    </row>
    <row r="56" spans="1:20" s="3164" customFormat="1" ht="20.100000000000001" customHeight="1">
      <c r="A56" s="3355"/>
      <c r="B56" s="3380"/>
      <c r="C56" s="3357"/>
      <c r="D56" s="3357"/>
      <c r="E56" s="3358"/>
      <c r="F56" s="3359"/>
      <c r="G56" s="3335"/>
      <c r="H56" s="3158"/>
      <c r="I56" s="3158"/>
      <c r="J56" s="3360"/>
      <c r="K56" s="3361"/>
      <c r="L56" s="3159" t="s">
        <v>3205</v>
      </c>
      <c r="M56" s="3166">
        <v>164308.79999999999</v>
      </c>
      <c r="N56" s="3179"/>
      <c r="O56" s="3167">
        <v>0</v>
      </c>
      <c r="P56" s="3168"/>
      <c r="Q56" s="3168"/>
      <c r="R56" s="3296"/>
      <c r="T56" s="3165"/>
    </row>
    <row r="57" spans="1:20" s="3164" customFormat="1" ht="20.100000000000001" customHeight="1">
      <c r="A57" s="3355"/>
      <c r="B57" s="3381"/>
      <c r="C57" s="3357"/>
      <c r="D57" s="3357"/>
      <c r="E57" s="3358"/>
      <c r="F57" s="3359"/>
      <c r="G57" s="3336"/>
      <c r="H57" s="3158"/>
      <c r="I57" s="3158"/>
      <c r="J57" s="3360"/>
      <c r="K57" s="3361"/>
      <c r="L57" s="3180" t="s">
        <v>3206</v>
      </c>
      <c r="M57" s="3180"/>
      <c r="N57" s="3180"/>
      <c r="O57" s="3171"/>
      <c r="P57" s="3172"/>
      <c r="Q57" s="3172"/>
      <c r="R57" s="3297"/>
      <c r="T57" s="3165"/>
    </row>
    <row r="58" spans="1:20" s="3115" customFormat="1" ht="20.100000000000001" customHeight="1">
      <c r="A58" s="3362" t="s">
        <v>3207</v>
      </c>
      <c r="B58" s="3378" t="s">
        <v>3208</v>
      </c>
      <c r="C58" s="3364">
        <v>42915</v>
      </c>
      <c r="D58" s="3364">
        <v>44740</v>
      </c>
      <c r="E58" s="3365" t="s">
        <v>3209</v>
      </c>
      <c r="F58" s="3366" t="s">
        <v>3204</v>
      </c>
      <c r="G58" s="3130"/>
      <c r="H58" s="3128"/>
      <c r="I58" s="3128"/>
      <c r="J58" s="3370">
        <v>2026.24</v>
      </c>
      <c r="K58" s="3371">
        <f>G61/J58</f>
        <v>280</v>
      </c>
      <c r="L58" s="3110" t="s">
        <v>3210</v>
      </c>
      <c r="M58" s="3110"/>
      <c r="N58" s="3112">
        <f>J58</f>
        <v>2026.24</v>
      </c>
      <c r="O58" s="3124"/>
      <c r="P58" s="3125">
        <v>625500.29</v>
      </c>
      <c r="Q58" s="3125">
        <f>567347.2*19+595714.56*12+625500.29*30</f>
        <v>36693180.219999999</v>
      </c>
      <c r="R58" s="3377">
        <f>O59*J58</f>
        <v>0</v>
      </c>
      <c r="T58" s="3129"/>
    </row>
    <row r="59" spans="1:20" s="3115" customFormat="1" ht="20.100000000000001" customHeight="1">
      <c r="A59" s="3362"/>
      <c r="B59" s="3378"/>
      <c r="C59" s="3364"/>
      <c r="D59" s="3364"/>
      <c r="E59" s="3365"/>
      <c r="F59" s="3366"/>
      <c r="G59" s="3131"/>
      <c r="H59" s="3128"/>
      <c r="I59" s="3128"/>
      <c r="J59" s="3370"/>
      <c r="K59" s="3371"/>
      <c r="L59" s="3110" t="s">
        <v>3212</v>
      </c>
      <c r="M59" s="3110">
        <v>567347.19999999995</v>
      </c>
      <c r="N59" s="3110"/>
      <c r="O59" s="3118">
        <v>0</v>
      </c>
      <c r="P59" s="3119"/>
      <c r="Q59" s="3119"/>
      <c r="R59" s="3377"/>
      <c r="T59" s="3129"/>
    </row>
    <row r="60" spans="1:20" s="3115" customFormat="1" ht="20.100000000000001" customHeight="1">
      <c r="A60" s="3362"/>
      <c r="B60" s="3378"/>
      <c r="C60" s="3364"/>
      <c r="D60" s="3364"/>
      <c r="E60" s="3365"/>
      <c r="F60" s="3366"/>
      <c r="G60" s="3131"/>
      <c r="H60" s="3128"/>
      <c r="I60" s="3128"/>
      <c r="J60" s="3370"/>
      <c r="K60" s="3371"/>
      <c r="L60" s="3110" t="s">
        <v>3213</v>
      </c>
      <c r="M60" s="3110"/>
      <c r="N60" s="3110"/>
      <c r="O60" s="3118"/>
      <c r="P60" s="3119"/>
      <c r="Q60" s="3119"/>
      <c r="R60" s="3377"/>
      <c r="T60" s="3129"/>
    </row>
    <row r="61" spans="1:20" s="3115" customFormat="1" ht="20.100000000000001" customHeight="1">
      <c r="A61" s="3362"/>
      <c r="B61" s="3378"/>
      <c r="C61" s="3364"/>
      <c r="D61" s="3364"/>
      <c r="E61" s="3365"/>
      <c r="F61" s="3366"/>
      <c r="G61" s="3132">
        <v>567347.19999999995</v>
      </c>
      <c r="H61" s="3128"/>
      <c r="I61" s="3128"/>
      <c r="J61" s="3370"/>
      <c r="K61" s="3371"/>
      <c r="L61" s="3110" t="s">
        <v>3214</v>
      </c>
      <c r="M61" s="3110"/>
      <c r="N61" s="3110"/>
      <c r="O61" s="3121"/>
      <c r="P61" s="3122"/>
      <c r="Q61" s="3122"/>
      <c r="R61" s="3377"/>
      <c r="T61" s="3129"/>
    </row>
    <row r="62" spans="1:20" s="3164" customFormat="1" ht="20.100000000000001" customHeight="1">
      <c r="A62" s="3355" t="s">
        <v>3215</v>
      </c>
      <c r="B62" s="3382" t="s">
        <v>3208</v>
      </c>
      <c r="C62" s="3357">
        <v>42915</v>
      </c>
      <c r="D62" s="3357">
        <v>44740</v>
      </c>
      <c r="E62" s="3358" t="s">
        <v>3209</v>
      </c>
      <c r="F62" s="3359" t="s">
        <v>3204</v>
      </c>
      <c r="G62" s="3173"/>
      <c r="H62" s="3158"/>
      <c r="I62" s="3158"/>
      <c r="J62" s="3360">
        <v>2026.24</v>
      </c>
      <c r="K62" s="3361">
        <f>G65/J62</f>
        <v>300</v>
      </c>
      <c r="L62" s="3159" t="s">
        <v>3216</v>
      </c>
      <c r="M62" s="3160"/>
      <c r="N62" s="3161">
        <f>J62</f>
        <v>2026.24</v>
      </c>
      <c r="O62" s="3176"/>
      <c r="P62" s="3177">
        <v>670178.88</v>
      </c>
      <c r="Q62" s="3177">
        <f>607872*19+638265.6*12+670178.88*30</f>
        <v>39314121.599999994</v>
      </c>
      <c r="R62" s="3295">
        <f>O63*J62</f>
        <v>40.524799999999999</v>
      </c>
      <c r="T62" s="3165"/>
    </row>
    <row r="63" spans="1:20" s="3164" customFormat="1" ht="20.100000000000001" customHeight="1">
      <c r="A63" s="3355"/>
      <c r="B63" s="3382"/>
      <c r="C63" s="3357"/>
      <c r="D63" s="3357"/>
      <c r="E63" s="3358"/>
      <c r="F63" s="3359"/>
      <c r="G63" s="3174"/>
      <c r="H63" s="3158"/>
      <c r="I63" s="3158"/>
      <c r="J63" s="3360"/>
      <c r="K63" s="3361"/>
      <c r="L63" s="3159" t="s">
        <v>3217</v>
      </c>
      <c r="M63" s="3166">
        <v>607872</v>
      </c>
      <c r="N63" s="3166"/>
      <c r="O63" s="3167">
        <f>ROUND((670178.88-G65)/G65/5,2)</f>
        <v>0.02</v>
      </c>
      <c r="P63" s="3168"/>
      <c r="Q63" s="3168"/>
      <c r="R63" s="3296"/>
      <c r="T63" s="3165"/>
    </row>
    <row r="64" spans="1:20" s="3164" customFormat="1" ht="20.100000000000001" customHeight="1">
      <c r="A64" s="3355"/>
      <c r="B64" s="3382"/>
      <c r="C64" s="3357"/>
      <c r="D64" s="3357"/>
      <c r="E64" s="3358"/>
      <c r="F64" s="3359"/>
      <c r="G64" s="3174"/>
      <c r="H64" s="3158"/>
      <c r="I64" s="3158"/>
      <c r="J64" s="3360"/>
      <c r="K64" s="3361"/>
      <c r="L64" s="3159" t="s">
        <v>3218</v>
      </c>
      <c r="M64" s="3166"/>
      <c r="N64" s="3166"/>
      <c r="O64" s="3167"/>
      <c r="P64" s="3168"/>
      <c r="Q64" s="3168"/>
      <c r="R64" s="3296"/>
      <c r="T64" s="3165"/>
    </row>
    <row r="65" spans="1:20" s="3164" customFormat="1" ht="20.100000000000001" customHeight="1">
      <c r="A65" s="3355"/>
      <c r="B65" s="3382"/>
      <c r="C65" s="3357"/>
      <c r="D65" s="3357"/>
      <c r="E65" s="3358"/>
      <c r="F65" s="3359"/>
      <c r="G65" s="3175">
        <v>607872</v>
      </c>
      <c r="H65" s="3158"/>
      <c r="I65" s="3158"/>
      <c r="J65" s="3360"/>
      <c r="K65" s="3361"/>
      <c r="L65" s="3159" t="s">
        <v>3219</v>
      </c>
      <c r="M65" s="3170"/>
      <c r="N65" s="3170"/>
      <c r="O65" s="3171"/>
      <c r="P65" s="3172"/>
      <c r="Q65" s="3172"/>
      <c r="R65" s="3297"/>
      <c r="T65" s="3165"/>
    </row>
    <row r="66" spans="1:20" s="3115" customFormat="1" ht="20.100000000000001" customHeight="1">
      <c r="A66" s="3362" t="s">
        <v>3220</v>
      </c>
      <c r="B66" s="3378" t="s">
        <v>3221</v>
      </c>
      <c r="C66" s="3364">
        <v>42944</v>
      </c>
      <c r="D66" s="3364">
        <v>44039</v>
      </c>
      <c r="E66" s="3365" t="s">
        <v>3222</v>
      </c>
      <c r="F66" s="3366" t="s">
        <v>3204</v>
      </c>
      <c r="G66" s="3130"/>
      <c r="H66" s="3128"/>
      <c r="I66" s="3128"/>
      <c r="J66" s="3370">
        <v>337.41</v>
      </c>
      <c r="K66" s="3371">
        <f>G68/J66</f>
        <v>234.99970362467027</v>
      </c>
      <c r="L66" s="3110" t="s">
        <v>3223</v>
      </c>
      <c r="M66" s="3111"/>
      <c r="N66" s="3112">
        <f>J66</f>
        <v>337.41</v>
      </c>
      <c r="O66" s="3113"/>
      <c r="P66" s="3114">
        <v>79291.350000000006</v>
      </c>
      <c r="Q66" s="3114">
        <f>79291.35*8+79291.35*41</f>
        <v>3885276.1500000004</v>
      </c>
      <c r="R66" s="3319">
        <f>O67*J66</f>
        <v>0</v>
      </c>
      <c r="T66" s="3129"/>
    </row>
    <row r="67" spans="1:20" s="3115" customFormat="1" ht="20.100000000000001" customHeight="1">
      <c r="A67" s="3362"/>
      <c r="B67" s="3378"/>
      <c r="C67" s="3364"/>
      <c r="D67" s="3364"/>
      <c r="E67" s="3365"/>
      <c r="F67" s="3366"/>
      <c r="G67" s="3131"/>
      <c r="H67" s="3128"/>
      <c r="I67" s="3128"/>
      <c r="J67" s="3370"/>
      <c r="K67" s="3371"/>
      <c r="L67" s="3110" t="s">
        <v>3224</v>
      </c>
      <c r="M67" s="3117">
        <v>79291.350000000006</v>
      </c>
      <c r="N67" s="3117"/>
      <c r="O67" s="3118">
        <v>0</v>
      </c>
      <c r="P67" s="3119"/>
      <c r="Q67" s="3119"/>
      <c r="R67" s="3320"/>
      <c r="T67" s="3129"/>
    </row>
    <row r="68" spans="1:20" s="3115" customFormat="1" ht="20.100000000000001" customHeight="1">
      <c r="A68" s="3362"/>
      <c r="B68" s="3378"/>
      <c r="C68" s="3364"/>
      <c r="D68" s="3364"/>
      <c r="E68" s="3365"/>
      <c r="F68" s="3366"/>
      <c r="G68" s="3132">
        <v>79291.25</v>
      </c>
      <c r="H68" s="3128"/>
      <c r="I68" s="3128"/>
      <c r="J68" s="3370"/>
      <c r="K68" s="3371"/>
      <c r="L68" s="3110" t="s">
        <v>3225</v>
      </c>
      <c r="M68" s="3120"/>
      <c r="N68" s="3120"/>
      <c r="O68" s="3121"/>
      <c r="P68" s="3122"/>
      <c r="Q68" s="3122"/>
      <c r="R68" s="3321"/>
      <c r="T68" s="3129"/>
    </row>
    <row r="69" spans="1:20" s="3164" customFormat="1" ht="20.100000000000001" customHeight="1">
      <c r="A69" s="3355" t="s">
        <v>3226</v>
      </c>
      <c r="B69" s="3382" t="s">
        <v>3227</v>
      </c>
      <c r="C69" s="3357">
        <v>42944</v>
      </c>
      <c r="D69" s="3357">
        <v>44039</v>
      </c>
      <c r="E69" s="3358" t="s">
        <v>3228</v>
      </c>
      <c r="F69" s="3359" t="s">
        <v>3211</v>
      </c>
      <c r="G69" s="3173"/>
      <c r="H69" s="3158"/>
      <c r="I69" s="3158"/>
      <c r="J69" s="3360">
        <v>686.35</v>
      </c>
      <c r="K69" s="3361">
        <f>G71/J69</f>
        <v>235</v>
      </c>
      <c r="L69" s="3159" t="s">
        <v>3229</v>
      </c>
      <c r="M69" s="3160"/>
      <c r="N69" s="3161">
        <f>J69</f>
        <v>686.35</v>
      </c>
      <c r="O69" s="3162"/>
      <c r="P69" s="3163">
        <v>161292.25</v>
      </c>
      <c r="Q69" s="3163">
        <f>161292.25*8+161292.25*41</f>
        <v>7903320.25</v>
      </c>
      <c r="R69" s="3295">
        <f>O70*J69</f>
        <v>0</v>
      </c>
      <c r="T69" s="3165"/>
    </row>
    <row r="70" spans="1:20" s="3164" customFormat="1" ht="20.100000000000001" customHeight="1">
      <c r="A70" s="3355"/>
      <c r="B70" s="3382"/>
      <c r="C70" s="3357"/>
      <c r="D70" s="3357"/>
      <c r="E70" s="3358"/>
      <c r="F70" s="3359"/>
      <c r="G70" s="3174"/>
      <c r="H70" s="3158"/>
      <c r="I70" s="3158"/>
      <c r="J70" s="3360"/>
      <c r="K70" s="3361"/>
      <c r="L70" s="3159" t="s">
        <v>3231</v>
      </c>
      <c r="M70" s="3166">
        <v>161292.25</v>
      </c>
      <c r="N70" s="3166"/>
      <c r="O70" s="3167">
        <v>0</v>
      </c>
      <c r="P70" s="3168"/>
      <c r="Q70" s="3168"/>
      <c r="R70" s="3296"/>
      <c r="T70" s="3165"/>
    </row>
    <row r="71" spans="1:20" s="3164" customFormat="1" ht="20.100000000000001" customHeight="1">
      <c r="A71" s="3355"/>
      <c r="B71" s="3382"/>
      <c r="C71" s="3357"/>
      <c r="D71" s="3357"/>
      <c r="E71" s="3358"/>
      <c r="F71" s="3359"/>
      <c r="G71" s="3175">
        <v>161292.25</v>
      </c>
      <c r="H71" s="3158"/>
      <c r="I71" s="3158"/>
      <c r="J71" s="3360"/>
      <c r="K71" s="3361"/>
      <c r="L71" s="3159" t="s">
        <v>3232</v>
      </c>
      <c r="M71" s="3170"/>
      <c r="N71" s="3170"/>
      <c r="O71" s="3171"/>
      <c r="P71" s="3172"/>
      <c r="Q71" s="3172"/>
      <c r="R71" s="3297"/>
      <c r="T71" s="3165"/>
    </row>
    <row r="72" spans="1:20" s="3115" customFormat="1" ht="20.100000000000001" customHeight="1">
      <c r="A72" s="3362" t="s">
        <v>3233</v>
      </c>
      <c r="B72" s="3378" t="s">
        <v>3234</v>
      </c>
      <c r="C72" s="3364">
        <v>42948</v>
      </c>
      <c r="D72" s="3364">
        <v>44043</v>
      </c>
      <c r="E72" s="3365" t="s">
        <v>3235</v>
      </c>
      <c r="F72" s="3366" t="s">
        <v>3230</v>
      </c>
      <c r="G72" s="3130"/>
      <c r="H72" s="3128"/>
      <c r="I72" s="3128"/>
      <c r="J72" s="3370">
        <v>684.62</v>
      </c>
      <c r="K72" s="3371">
        <f>G74/J72</f>
        <v>235.00000000000003</v>
      </c>
      <c r="L72" s="3110" t="s">
        <v>3236</v>
      </c>
      <c r="M72" s="3111"/>
      <c r="N72" s="3112">
        <f>J72</f>
        <v>684.62</v>
      </c>
      <c r="O72" s="3113"/>
      <c r="P72" s="3114">
        <v>160885.70000000001</v>
      </c>
      <c r="Q72" s="3114">
        <f>160885.7*8+160885.7*41</f>
        <v>7883399.3000000007</v>
      </c>
      <c r="R72" s="3319">
        <f>O73*J72</f>
        <v>0</v>
      </c>
      <c r="T72" s="3129"/>
    </row>
    <row r="73" spans="1:20" s="3115" customFormat="1" ht="20.100000000000001" customHeight="1">
      <c r="A73" s="3362"/>
      <c r="B73" s="3378"/>
      <c r="C73" s="3364"/>
      <c r="D73" s="3364"/>
      <c r="E73" s="3365"/>
      <c r="F73" s="3366"/>
      <c r="G73" s="3131"/>
      <c r="H73" s="3128"/>
      <c r="I73" s="3128"/>
      <c r="J73" s="3370"/>
      <c r="K73" s="3371"/>
      <c r="L73" s="3110" t="s">
        <v>3237</v>
      </c>
      <c r="M73" s="3117">
        <v>160885.70000000001</v>
      </c>
      <c r="N73" s="3117"/>
      <c r="O73" s="3118">
        <v>0</v>
      </c>
      <c r="P73" s="3119"/>
      <c r="Q73" s="3119"/>
      <c r="R73" s="3320"/>
      <c r="T73" s="3129"/>
    </row>
    <row r="74" spans="1:20" s="3115" customFormat="1" ht="20.100000000000001" customHeight="1">
      <c r="A74" s="3362"/>
      <c r="B74" s="3378"/>
      <c r="C74" s="3364"/>
      <c r="D74" s="3364"/>
      <c r="E74" s="3365"/>
      <c r="F74" s="3366"/>
      <c r="G74" s="3132">
        <v>160885.70000000001</v>
      </c>
      <c r="H74" s="3128"/>
      <c r="I74" s="3128"/>
      <c r="J74" s="3370"/>
      <c r="K74" s="3371"/>
      <c r="L74" s="3110" t="s">
        <v>3238</v>
      </c>
      <c r="M74" s="3120"/>
      <c r="N74" s="3120"/>
      <c r="O74" s="3121"/>
      <c r="P74" s="3122"/>
      <c r="Q74" s="3122"/>
      <c r="R74" s="3321"/>
      <c r="T74" s="3129"/>
    </row>
    <row r="75" spans="1:20" s="3164" customFormat="1" ht="20.100000000000001" customHeight="1">
      <c r="A75" s="3389" t="s">
        <v>3239</v>
      </c>
      <c r="B75" s="3390" t="s">
        <v>3240</v>
      </c>
      <c r="C75" s="3357">
        <v>43069</v>
      </c>
      <c r="D75" s="3357">
        <v>44164</v>
      </c>
      <c r="E75" s="3357" t="s">
        <v>3241</v>
      </c>
      <c r="F75" s="3391" t="s">
        <v>3127</v>
      </c>
      <c r="G75" s="3383">
        <v>130410.8</v>
      </c>
      <c r="H75" s="3158"/>
      <c r="I75" s="3158"/>
      <c r="J75" s="3360">
        <v>501.58</v>
      </c>
      <c r="K75" s="3361">
        <f>G75/J75</f>
        <v>260</v>
      </c>
      <c r="L75" s="3159" t="s">
        <v>3242</v>
      </c>
      <c r="M75" s="3160"/>
      <c r="N75" s="3161">
        <f>J75</f>
        <v>501.58</v>
      </c>
      <c r="O75" s="3162"/>
      <c r="P75" s="3163">
        <v>130410.8</v>
      </c>
      <c r="Q75" s="3163">
        <f>130410.8*12+130410.8*49</f>
        <v>7955058.8000000007</v>
      </c>
      <c r="R75" s="3295">
        <f>O76*J75</f>
        <v>0</v>
      </c>
      <c r="T75" s="3165"/>
    </row>
    <row r="76" spans="1:20" s="3164" customFormat="1" ht="20.100000000000001" customHeight="1">
      <c r="A76" s="3389"/>
      <c r="B76" s="3390"/>
      <c r="C76" s="3357"/>
      <c r="D76" s="3357"/>
      <c r="E76" s="3357"/>
      <c r="F76" s="3391"/>
      <c r="G76" s="3384"/>
      <c r="H76" s="3158"/>
      <c r="I76" s="3158"/>
      <c r="J76" s="3360"/>
      <c r="K76" s="3361"/>
      <c r="L76" s="3159" t="s">
        <v>3243</v>
      </c>
      <c r="M76" s="3166">
        <v>130410.8</v>
      </c>
      <c r="N76" s="3166"/>
      <c r="O76" s="3167">
        <v>0</v>
      </c>
      <c r="P76" s="3168"/>
      <c r="Q76" s="3168"/>
      <c r="R76" s="3296"/>
      <c r="T76" s="3165"/>
    </row>
    <row r="77" spans="1:20" s="3164" customFormat="1" ht="20.100000000000001" customHeight="1">
      <c r="A77" s="3389"/>
      <c r="B77" s="3390"/>
      <c r="C77" s="3357"/>
      <c r="D77" s="3357"/>
      <c r="E77" s="3357"/>
      <c r="F77" s="3391"/>
      <c r="G77" s="3385"/>
      <c r="H77" s="3169"/>
      <c r="I77" s="3169"/>
      <c r="J77" s="3360"/>
      <c r="K77" s="3361"/>
      <c r="L77" s="3159" t="s">
        <v>3244</v>
      </c>
      <c r="M77" s="3170"/>
      <c r="N77" s="3170"/>
      <c r="O77" s="3171"/>
      <c r="P77" s="3172"/>
      <c r="Q77" s="3172"/>
      <c r="R77" s="3297"/>
      <c r="T77" s="3165"/>
    </row>
    <row r="78" spans="1:20" s="3115" customFormat="1" ht="20.100000000000001" customHeight="1">
      <c r="A78" s="3386" t="s">
        <v>3245</v>
      </c>
      <c r="B78" s="3387" t="s">
        <v>3246</v>
      </c>
      <c r="C78" s="3364">
        <v>43070</v>
      </c>
      <c r="D78" s="3364">
        <v>44165</v>
      </c>
      <c r="E78" s="3364" t="s">
        <v>3247</v>
      </c>
      <c r="F78" s="3388" t="s">
        <v>3127</v>
      </c>
      <c r="G78" s="3392">
        <v>77537.600000000006</v>
      </c>
      <c r="H78" s="3128"/>
      <c r="I78" s="3128"/>
      <c r="J78" s="3370">
        <v>337.12</v>
      </c>
      <c r="K78" s="3371">
        <f>G78/J78</f>
        <v>230</v>
      </c>
      <c r="L78" s="3110" t="s">
        <v>3248</v>
      </c>
      <c r="M78" s="3111"/>
      <c r="N78" s="3112">
        <f>J78</f>
        <v>337.12</v>
      </c>
      <c r="O78" s="3113"/>
      <c r="P78" s="3114">
        <v>77537.600000000006</v>
      </c>
      <c r="Q78" s="3114">
        <f>77537.6*12+77537.6*49</f>
        <v>4729793.6000000006</v>
      </c>
      <c r="R78" s="3319">
        <f>O79*J78</f>
        <v>0</v>
      </c>
      <c r="T78" s="3129"/>
    </row>
    <row r="79" spans="1:20" s="3115" customFormat="1" ht="20.100000000000001" customHeight="1">
      <c r="A79" s="3386"/>
      <c r="B79" s="3387"/>
      <c r="C79" s="3364"/>
      <c r="D79" s="3364"/>
      <c r="E79" s="3364"/>
      <c r="F79" s="3388"/>
      <c r="G79" s="3393"/>
      <c r="H79" s="3128"/>
      <c r="I79" s="3128"/>
      <c r="J79" s="3370"/>
      <c r="K79" s="3371"/>
      <c r="L79" s="3110" t="s">
        <v>3249</v>
      </c>
      <c r="M79" s="3117">
        <v>77537.600000000006</v>
      </c>
      <c r="N79" s="3117"/>
      <c r="O79" s="3118">
        <v>0</v>
      </c>
      <c r="P79" s="3119"/>
      <c r="Q79" s="3119"/>
      <c r="R79" s="3320"/>
      <c r="T79" s="3129"/>
    </row>
    <row r="80" spans="1:20" s="3115" customFormat="1" ht="20.100000000000001" customHeight="1">
      <c r="A80" s="3386"/>
      <c r="B80" s="3387"/>
      <c r="C80" s="3364"/>
      <c r="D80" s="3364"/>
      <c r="E80" s="3364"/>
      <c r="F80" s="3388"/>
      <c r="G80" s="3394"/>
      <c r="H80" s="3123"/>
      <c r="I80" s="3123"/>
      <c r="J80" s="3370"/>
      <c r="K80" s="3371"/>
      <c r="L80" s="3110" t="s">
        <v>3250</v>
      </c>
      <c r="M80" s="3120"/>
      <c r="N80" s="3120"/>
      <c r="O80" s="3121"/>
      <c r="P80" s="3122"/>
      <c r="Q80" s="3122"/>
      <c r="R80" s="3321"/>
      <c r="T80" s="3129"/>
    </row>
    <row r="81" spans="1:82" s="3164" customFormat="1" ht="20.100000000000001" customHeight="1">
      <c r="A81" s="3389" t="s">
        <v>3251</v>
      </c>
      <c r="B81" s="3390" t="s">
        <v>3252</v>
      </c>
      <c r="C81" s="3357">
        <v>43094</v>
      </c>
      <c r="D81" s="3357">
        <v>44189</v>
      </c>
      <c r="E81" s="3357" t="s">
        <v>3253</v>
      </c>
      <c r="F81" s="3391" t="s">
        <v>3127</v>
      </c>
      <c r="G81" s="3383">
        <v>62921.25</v>
      </c>
      <c r="H81" s="3158"/>
      <c r="I81" s="3158"/>
      <c r="J81" s="3360">
        <v>246.75</v>
      </c>
      <c r="K81" s="3397">
        <f>G81/J81</f>
        <v>255</v>
      </c>
      <c r="L81" s="3159" t="s">
        <v>3254</v>
      </c>
      <c r="M81" s="3160"/>
      <c r="N81" s="3161">
        <f>J81</f>
        <v>246.75</v>
      </c>
      <c r="O81" s="3162"/>
      <c r="P81" s="3163">
        <v>62921.25</v>
      </c>
      <c r="Q81" s="3163">
        <f>62921.25*12+62921.25*48</f>
        <v>3775275</v>
      </c>
      <c r="R81" s="3295">
        <f>O82*J81</f>
        <v>0</v>
      </c>
      <c r="T81" s="3165"/>
    </row>
    <row r="82" spans="1:82" s="3164" customFormat="1" ht="20.100000000000001" customHeight="1">
      <c r="A82" s="3389"/>
      <c r="B82" s="3390"/>
      <c r="C82" s="3357"/>
      <c r="D82" s="3357"/>
      <c r="E82" s="3357"/>
      <c r="F82" s="3391"/>
      <c r="G82" s="3384"/>
      <c r="H82" s="3158"/>
      <c r="I82" s="3158"/>
      <c r="J82" s="3360"/>
      <c r="K82" s="3397"/>
      <c r="L82" s="3159" t="s">
        <v>3255</v>
      </c>
      <c r="M82" s="3166">
        <v>62921.25</v>
      </c>
      <c r="N82" s="3166"/>
      <c r="O82" s="3167">
        <v>0</v>
      </c>
      <c r="P82" s="3168"/>
      <c r="Q82" s="3168"/>
      <c r="R82" s="3296"/>
      <c r="T82" s="3165"/>
    </row>
    <row r="83" spans="1:82" s="3164" customFormat="1" ht="20.100000000000001" customHeight="1">
      <c r="A83" s="3389"/>
      <c r="B83" s="3390"/>
      <c r="C83" s="3357"/>
      <c r="D83" s="3357"/>
      <c r="E83" s="3357"/>
      <c r="F83" s="3391"/>
      <c r="G83" s="3385"/>
      <c r="H83" s="3169"/>
      <c r="I83" s="3169"/>
      <c r="J83" s="3360"/>
      <c r="K83" s="3397"/>
      <c r="L83" s="3159" t="s">
        <v>3256</v>
      </c>
      <c r="M83" s="3170"/>
      <c r="N83" s="3170"/>
      <c r="O83" s="3171"/>
      <c r="P83" s="3172"/>
      <c r="Q83" s="3172"/>
      <c r="R83" s="3297"/>
      <c r="T83" s="3165"/>
    </row>
    <row r="84" spans="1:82" s="3115" customFormat="1" ht="20.100000000000001" customHeight="1">
      <c r="A84" s="3386" t="s">
        <v>3257</v>
      </c>
      <c r="B84" s="3395" t="s">
        <v>3258</v>
      </c>
      <c r="C84" s="3364">
        <v>43279</v>
      </c>
      <c r="D84" s="3364">
        <v>44374</v>
      </c>
      <c r="E84" s="3364" t="s">
        <v>3259</v>
      </c>
      <c r="F84" s="3388" t="s">
        <v>3260</v>
      </c>
      <c r="G84" s="3370">
        <v>100792.15</v>
      </c>
      <c r="H84" s="3123"/>
      <c r="I84" s="3123"/>
      <c r="J84" s="3370">
        <v>499.28</v>
      </c>
      <c r="K84" s="3396">
        <f>G84/J84</f>
        <v>201.875</v>
      </c>
      <c r="L84" s="3110" t="s">
        <v>3261</v>
      </c>
      <c r="M84" s="3110">
        <v>100792.15</v>
      </c>
      <c r="N84" s="3112">
        <f>J84</f>
        <v>499.28</v>
      </c>
      <c r="O84" s="3124">
        <f>ROUND((127316.4-G84)/G84/5,2)</f>
        <v>0.05</v>
      </c>
      <c r="P84" s="3125">
        <v>127316.4</v>
      </c>
      <c r="Q84" s="3125">
        <f>100792.15*7+127316.4*12+127316.4*42</f>
        <v>7580630.6499999994</v>
      </c>
      <c r="R84" s="3377">
        <f>O84*J84</f>
        <v>24.963999999999999</v>
      </c>
      <c r="T84" s="3129"/>
    </row>
    <row r="85" spans="1:82" s="3115" customFormat="1" ht="20.100000000000001" customHeight="1">
      <c r="A85" s="3386"/>
      <c r="B85" s="3395"/>
      <c r="C85" s="3364"/>
      <c r="D85" s="3364"/>
      <c r="E85" s="3364"/>
      <c r="F85" s="3388"/>
      <c r="G85" s="3370"/>
      <c r="H85" s="3123"/>
      <c r="I85" s="3123"/>
      <c r="J85" s="3370"/>
      <c r="K85" s="3396"/>
      <c r="L85" s="3110" t="s">
        <v>3262</v>
      </c>
      <c r="M85" s="3110"/>
      <c r="N85" s="3110"/>
      <c r="O85" s="3118"/>
      <c r="P85" s="3119"/>
      <c r="Q85" s="3119"/>
      <c r="R85" s="3377"/>
      <c r="T85" s="3129"/>
    </row>
    <row r="86" spans="1:82" s="3115" customFormat="1" ht="20.100000000000001" customHeight="1">
      <c r="A86" s="3386"/>
      <c r="B86" s="3395"/>
      <c r="C86" s="3364"/>
      <c r="D86" s="3364"/>
      <c r="E86" s="3364"/>
      <c r="F86" s="3388"/>
      <c r="G86" s="3370"/>
      <c r="H86" s="3123"/>
      <c r="I86" s="3123"/>
      <c r="J86" s="3370"/>
      <c r="K86" s="3396"/>
      <c r="L86" s="3110" t="s">
        <v>3263</v>
      </c>
      <c r="M86" s="3110"/>
      <c r="N86" s="3110"/>
      <c r="O86" s="3121"/>
      <c r="P86" s="3122"/>
      <c r="Q86" s="3122"/>
      <c r="R86" s="3377"/>
      <c r="T86" s="3129"/>
    </row>
    <row r="87" spans="1:82" s="3151" customFormat="1" ht="19.5" customHeight="1">
      <c r="A87" s="3399">
        <v>1102</v>
      </c>
      <c r="B87" s="3400" t="s">
        <v>3264</v>
      </c>
      <c r="C87" s="3401">
        <v>43313</v>
      </c>
      <c r="D87" s="3401">
        <v>45138</v>
      </c>
      <c r="E87" s="3401" t="s">
        <v>3265</v>
      </c>
      <c r="F87" s="3402" t="s">
        <v>3127</v>
      </c>
      <c r="G87" s="3403">
        <v>80890.429999999993</v>
      </c>
      <c r="H87" s="3146"/>
      <c r="I87" s="3146"/>
      <c r="J87" s="3403">
        <v>366.85</v>
      </c>
      <c r="K87" s="3404">
        <f>G87/J87</f>
        <v>220.50001362954882</v>
      </c>
      <c r="L87" s="3147" t="s">
        <v>3266</v>
      </c>
      <c r="M87" s="3147">
        <v>80890.429999999993</v>
      </c>
      <c r="N87" s="3148">
        <f>J87</f>
        <v>366.85</v>
      </c>
      <c r="O87" s="3149">
        <f>ROUND((101921.94-G87)/G87/5,2)</f>
        <v>0.05</v>
      </c>
      <c r="P87" s="3150">
        <v>101921.94</v>
      </c>
      <c r="Q87" s="3150">
        <f>8089.43*8+92446.2*12+92446.2*12+97068.51*17</f>
        <v>3933588.9099999997</v>
      </c>
      <c r="R87" s="3398">
        <f>O87*J87</f>
        <v>18.342500000000001</v>
      </c>
      <c r="T87" s="3152"/>
    </row>
    <row r="88" spans="1:82" s="3151" customFormat="1" ht="19.5" customHeight="1">
      <c r="A88" s="3399"/>
      <c r="B88" s="3400"/>
      <c r="C88" s="3401"/>
      <c r="D88" s="3401"/>
      <c r="E88" s="3401"/>
      <c r="F88" s="3402"/>
      <c r="G88" s="3403"/>
      <c r="H88" s="3146"/>
      <c r="I88" s="3146"/>
      <c r="J88" s="3403"/>
      <c r="K88" s="3404"/>
      <c r="L88" s="3147" t="s">
        <v>3267</v>
      </c>
      <c r="M88" s="3147"/>
      <c r="N88" s="3147"/>
      <c r="O88" s="3153"/>
      <c r="P88" s="3154"/>
      <c r="Q88" s="3154"/>
      <c r="R88" s="3398"/>
      <c r="T88" s="3152"/>
    </row>
    <row r="89" spans="1:82" s="3151" customFormat="1" ht="19.5" customHeight="1">
      <c r="A89" s="3399"/>
      <c r="B89" s="3400"/>
      <c r="C89" s="3401"/>
      <c r="D89" s="3401"/>
      <c r="E89" s="3401"/>
      <c r="F89" s="3402"/>
      <c r="G89" s="3403"/>
      <c r="H89" s="3146"/>
      <c r="I89" s="3146"/>
      <c r="J89" s="3403"/>
      <c r="K89" s="3404"/>
      <c r="L89" s="3147" t="s">
        <v>3268</v>
      </c>
      <c r="M89" s="3147"/>
      <c r="N89" s="3147"/>
      <c r="O89" s="3153"/>
      <c r="P89" s="3154"/>
      <c r="Q89" s="3154"/>
      <c r="R89" s="3398"/>
      <c r="T89" s="3152"/>
    </row>
    <row r="90" spans="1:82" s="3151" customFormat="1" ht="19.5" customHeight="1">
      <c r="A90" s="3399"/>
      <c r="B90" s="3400"/>
      <c r="C90" s="3401"/>
      <c r="D90" s="3401"/>
      <c r="E90" s="3401"/>
      <c r="F90" s="3402"/>
      <c r="G90" s="3403"/>
      <c r="H90" s="3155"/>
      <c r="I90" s="3155"/>
      <c r="J90" s="3403"/>
      <c r="K90" s="3404"/>
      <c r="L90" s="3147" t="s">
        <v>3269</v>
      </c>
      <c r="M90" s="3147"/>
      <c r="N90" s="3147"/>
      <c r="O90" s="3153"/>
      <c r="P90" s="3154"/>
      <c r="Q90" s="3154"/>
      <c r="R90" s="3398"/>
      <c r="S90" s="3034"/>
      <c r="T90" s="3034"/>
      <c r="U90" s="3034"/>
      <c r="V90" s="3034"/>
      <c r="W90" s="3034"/>
      <c r="X90" s="3034"/>
      <c r="Y90" s="3034"/>
      <c r="Z90" s="3034"/>
      <c r="AA90" s="3034"/>
      <c r="AB90" s="3034"/>
      <c r="AC90" s="3034"/>
      <c r="AD90" s="3034"/>
      <c r="AE90" s="3034"/>
      <c r="AF90" s="3034"/>
      <c r="AG90" s="3034"/>
      <c r="AH90" s="3034"/>
      <c r="AI90" s="3034"/>
      <c r="AJ90" s="3034"/>
      <c r="AK90" s="3034"/>
      <c r="AL90" s="3034"/>
      <c r="AM90" s="3034"/>
      <c r="AN90" s="3034"/>
      <c r="AO90" s="3034"/>
      <c r="AP90" s="3034"/>
      <c r="AQ90" s="3034"/>
      <c r="AR90" s="3034"/>
      <c r="AS90" s="3034"/>
      <c r="AT90" s="3034"/>
      <c r="AU90" s="3034"/>
      <c r="AV90" s="3034"/>
      <c r="AW90" s="3034"/>
      <c r="AX90" s="3034"/>
      <c r="AY90" s="3034"/>
      <c r="AZ90" s="3034"/>
      <c r="BA90" s="3034"/>
      <c r="BB90" s="3034"/>
      <c r="BC90" s="3034"/>
      <c r="BD90" s="3034"/>
      <c r="BE90" s="3034"/>
      <c r="BF90" s="3034"/>
      <c r="BG90" s="3034"/>
      <c r="BH90" s="3034"/>
      <c r="BI90" s="3034"/>
      <c r="BJ90" s="3034"/>
      <c r="BK90" s="3034"/>
      <c r="BL90" s="3034"/>
      <c r="BM90" s="3034"/>
      <c r="BN90" s="3034"/>
      <c r="BO90" s="3034"/>
      <c r="BP90" s="3034"/>
      <c r="BQ90" s="3034"/>
      <c r="BR90" s="3034"/>
      <c r="BS90" s="3034"/>
      <c r="BT90" s="3034"/>
      <c r="BU90" s="3034"/>
      <c r="BV90" s="3034"/>
      <c r="BW90" s="3034"/>
      <c r="BX90" s="3034"/>
      <c r="BY90" s="3034"/>
      <c r="BZ90" s="3034"/>
      <c r="CA90" s="3034"/>
      <c r="CB90" s="3034"/>
      <c r="CC90" s="3034"/>
      <c r="CD90" s="3034"/>
    </row>
    <row r="91" spans="1:82" s="3151" customFormat="1" ht="19.5" customHeight="1">
      <c r="A91" s="3399"/>
      <c r="B91" s="3400"/>
      <c r="C91" s="3401"/>
      <c r="D91" s="3401"/>
      <c r="E91" s="3401"/>
      <c r="F91" s="3402"/>
      <c r="G91" s="3403"/>
      <c r="H91" s="3155"/>
      <c r="I91" s="3155"/>
      <c r="J91" s="3403"/>
      <c r="K91" s="3404"/>
      <c r="L91" s="3147" t="s">
        <v>3270</v>
      </c>
      <c r="M91" s="3147"/>
      <c r="N91" s="3147"/>
      <c r="O91" s="3156"/>
      <c r="P91" s="3157"/>
      <c r="Q91" s="3157"/>
      <c r="R91" s="3398"/>
      <c r="S91" s="3034"/>
      <c r="T91" s="3034"/>
      <c r="U91" s="3034"/>
      <c r="V91" s="3034"/>
      <c r="W91" s="3034"/>
      <c r="X91" s="3034"/>
      <c r="Y91" s="3034"/>
      <c r="Z91" s="3034"/>
      <c r="AA91" s="3034"/>
      <c r="AB91" s="3034"/>
      <c r="AC91" s="3034"/>
      <c r="AD91" s="3034"/>
      <c r="AE91" s="3034"/>
      <c r="AF91" s="3034"/>
      <c r="AG91" s="3034"/>
      <c r="AH91" s="3034"/>
      <c r="AI91" s="3034"/>
      <c r="AJ91" s="3034"/>
      <c r="AK91" s="3034"/>
      <c r="AL91" s="3034"/>
      <c r="AM91" s="3034"/>
      <c r="AN91" s="3034"/>
      <c r="AO91" s="3034"/>
      <c r="AP91" s="3034"/>
      <c r="AQ91" s="3034"/>
      <c r="AR91" s="3034"/>
      <c r="AS91" s="3034"/>
      <c r="AT91" s="3034"/>
      <c r="AU91" s="3034"/>
      <c r="AV91" s="3034"/>
      <c r="AW91" s="3034"/>
      <c r="AX91" s="3034"/>
      <c r="AY91" s="3034"/>
      <c r="AZ91" s="3034"/>
      <c r="BA91" s="3034"/>
      <c r="BB91" s="3034"/>
      <c r="BC91" s="3034"/>
      <c r="BD91" s="3034"/>
      <c r="BE91" s="3034"/>
      <c r="BF91" s="3034"/>
      <c r="BG91" s="3034"/>
      <c r="BH91" s="3034"/>
      <c r="BI91" s="3034"/>
      <c r="BJ91" s="3034"/>
      <c r="BK91" s="3034"/>
      <c r="BL91" s="3034"/>
      <c r="BM91" s="3034"/>
      <c r="BN91" s="3034"/>
      <c r="BO91" s="3034"/>
      <c r="BP91" s="3034"/>
      <c r="BQ91" s="3034"/>
      <c r="BR91" s="3034"/>
      <c r="BS91" s="3034"/>
      <c r="BT91" s="3034"/>
      <c r="BU91" s="3034"/>
      <c r="BV91" s="3034"/>
      <c r="BW91" s="3034"/>
      <c r="BX91" s="3034"/>
      <c r="BY91" s="3034"/>
      <c r="BZ91" s="3034"/>
      <c r="CA91" s="3034"/>
      <c r="CB91" s="3034"/>
      <c r="CC91" s="3034"/>
      <c r="CD91" s="3034"/>
    </row>
    <row r="92" spans="1:82" s="3126" customFormat="1" ht="19.5" customHeight="1">
      <c r="A92" s="3386" t="s">
        <v>3271</v>
      </c>
      <c r="B92" s="3395" t="s">
        <v>3272</v>
      </c>
      <c r="C92" s="3364">
        <v>43322</v>
      </c>
      <c r="D92" s="3364">
        <v>44417</v>
      </c>
      <c r="E92" s="3364" t="s">
        <v>3273</v>
      </c>
      <c r="F92" s="3388" t="s">
        <v>3127</v>
      </c>
      <c r="G92" s="3370">
        <v>80469.37</v>
      </c>
      <c r="H92" s="3123"/>
      <c r="I92" s="3123"/>
      <c r="J92" s="3370">
        <v>387.96</v>
      </c>
      <c r="K92" s="3396">
        <f>G92/J92</f>
        <v>207.41666666666666</v>
      </c>
      <c r="L92" s="3110" t="s">
        <v>3274</v>
      </c>
      <c r="M92" s="3110">
        <v>80469.37</v>
      </c>
      <c r="N92" s="3112">
        <f>J92</f>
        <v>387.96</v>
      </c>
      <c r="O92" s="3124">
        <f>ROUND((101645.52-G92)/G92/5,2)</f>
        <v>0.05</v>
      </c>
      <c r="P92" s="3125" t="s">
        <v>3333</v>
      </c>
      <c r="Q92" s="3125">
        <f>80469.37*9+101645.52*12+101645.52*40</f>
        <v>6009791.3700000001</v>
      </c>
      <c r="R92" s="3377">
        <f>O92*J92</f>
        <v>19.398</v>
      </c>
      <c r="S92" s="3115"/>
      <c r="T92" s="3115"/>
      <c r="U92" s="3115"/>
      <c r="V92" s="3115"/>
      <c r="W92" s="3115"/>
      <c r="X92" s="3115"/>
      <c r="Y92" s="3115"/>
      <c r="Z92" s="3115"/>
      <c r="AA92" s="3115"/>
      <c r="AB92" s="3115"/>
      <c r="AC92" s="3115"/>
      <c r="AD92" s="3115"/>
      <c r="AE92" s="3115"/>
      <c r="AF92" s="3115"/>
      <c r="AG92" s="3115"/>
      <c r="AH92" s="3115"/>
      <c r="AI92" s="3115"/>
      <c r="AJ92" s="3115"/>
      <c r="AK92" s="3115"/>
      <c r="AL92" s="3115"/>
      <c r="AM92" s="3115"/>
      <c r="AN92" s="3115"/>
      <c r="AO92" s="3115"/>
      <c r="AP92" s="3115"/>
      <c r="AQ92" s="3115"/>
      <c r="AR92" s="3115"/>
      <c r="AS92" s="3115"/>
      <c r="AT92" s="3115"/>
      <c r="AU92" s="3115"/>
      <c r="AV92" s="3115"/>
      <c r="AW92" s="3115"/>
      <c r="AX92" s="3115"/>
      <c r="AY92" s="3115"/>
      <c r="AZ92" s="3115"/>
      <c r="BA92" s="3115"/>
      <c r="BB92" s="3115"/>
      <c r="BC92" s="3115"/>
      <c r="BD92" s="3115"/>
      <c r="BE92" s="3115"/>
      <c r="BF92" s="3115"/>
      <c r="BG92" s="3115"/>
      <c r="BH92" s="3115"/>
      <c r="BI92" s="3115"/>
      <c r="BJ92" s="3115"/>
      <c r="BK92" s="3115"/>
      <c r="BL92" s="3115"/>
      <c r="BM92" s="3115"/>
      <c r="BN92" s="3115"/>
      <c r="BO92" s="3115"/>
      <c r="BP92" s="3115"/>
      <c r="BQ92" s="3115"/>
      <c r="BR92" s="3115"/>
      <c r="BS92" s="3115"/>
      <c r="BT92" s="3115"/>
      <c r="BU92" s="3115"/>
      <c r="BV92" s="3115"/>
      <c r="BW92" s="3115"/>
      <c r="BX92" s="3115"/>
      <c r="BY92" s="3115"/>
      <c r="BZ92" s="3115"/>
      <c r="CA92" s="3115"/>
      <c r="CB92" s="3115"/>
      <c r="CC92" s="3115"/>
      <c r="CD92" s="3115"/>
    </row>
    <row r="93" spans="1:82" s="3126" customFormat="1" ht="19.5" customHeight="1">
      <c r="A93" s="3386"/>
      <c r="B93" s="3395"/>
      <c r="C93" s="3364"/>
      <c r="D93" s="3364"/>
      <c r="E93" s="3364"/>
      <c r="F93" s="3388"/>
      <c r="G93" s="3370"/>
      <c r="H93" s="3123"/>
      <c r="I93" s="3123"/>
      <c r="J93" s="3370"/>
      <c r="K93" s="3396"/>
      <c r="L93" s="3110" t="s">
        <v>3275</v>
      </c>
      <c r="M93" s="3110"/>
      <c r="N93" s="3110"/>
      <c r="O93" s="3118"/>
      <c r="P93" s="3119"/>
      <c r="Q93" s="3119"/>
      <c r="R93" s="3377"/>
      <c r="S93" s="3115"/>
      <c r="T93" s="3115"/>
      <c r="U93" s="3115"/>
      <c r="V93" s="3115"/>
      <c r="W93" s="3115"/>
      <c r="X93" s="3115"/>
      <c r="Y93" s="3115"/>
      <c r="Z93" s="3115"/>
      <c r="AA93" s="3115"/>
      <c r="AB93" s="3115"/>
      <c r="AC93" s="3115"/>
      <c r="AD93" s="3115"/>
      <c r="AE93" s="3115"/>
      <c r="AF93" s="3115"/>
      <c r="AG93" s="3115"/>
      <c r="AH93" s="3115"/>
      <c r="AI93" s="3115"/>
      <c r="AJ93" s="3115"/>
      <c r="AK93" s="3115"/>
      <c r="AL93" s="3115"/>
      <c r="AM93" s="3115"/>
      <c r="AN93" s="3115"/>
      <c r="AO93" s="3115"/>
      <c r="AP93" s="3115"/>
      <c r="AQ93" s="3115"/>
      <c r="AR93" s="3115"/>
      <c r="AS93" s="3115"/>
      <c r="AT93" s="3115"/>
      <c r="AU93" s="3115"/>
      <c r="AV93" s="3115"/>
      <c r="AW93" s="3115"/>
      <c r="AX93" s="3115"/>
      <c r="AY93" s="3115"/>
      <c r="AZ93" s="3115"/>
      <c r="BA93" s="3115"/>
      <c r="BB93" s="3115"/>
      <c r="BC93" s="3115"/>
      <c r="BD93" s="3115"/>
      <c r="BE93" s="3115"/>
      <c r="BF93" s="3115"/>
      <c r="BG93" s="3115"/>
      <c r="BH93" s="3115"/>
      <c r="BI93" s="3115"/>
      <c r="BJ93" s="3115"/>
      <c r="BK93" s="3115"/>
      <c r="BL93" s="3115"/>
      <c r="BM93" s="3115"/>
      <c r="BN93" s="3115"/>
      <c r="BO93" s="3115"/>
      <c r="BP93" s="3115"/>
      <c r="BQ93" s="3115"/>
      <c r="BR93" s="3115"/>
      <c r="BS93" s="3115"/>
      <c r="BT93" s="3115"/>
      <c r="BU93" s="3115"/>
      <c r="BV93" s="3115"/>
      <c r="BW93" s="3115"/>
      <c r="BX93" s="3115"/>
      <c r="BY93" s="3115"/>
      <c r="BZ93" s="3115"/>
      <c r="CA93" s="3115"/>
      <c r="CB93" s="3115"/>
      <c r="CC93" s="3115"/>
      <c r="CD93" s="3115"/>
    </row>
    <row r="94" spans="1:82" s="3126" customFormat="1" ht="19.5" customHeight="1">
      <c r="A94" s="3386"/>
      <c r="B94" s="3395"/>
      <c r="C94" s="3364"/>
      <c r="D94" s="3364"/>
      <c r="E94" s="3364"/>
      <c r="F94" s="3388"/>
      <c r="G94" s="3370"/>
      <c r="H94" s="3127"/>
      <c r="I94" s="3127"/>
      <c r="J94" s="3370"/>
      <c r="K94" s="3396"/>
      <c r="L94" s="3111" t="s">
        <v>3276</v>
      </c>
      <c r="M94" s="3111"/>
      <c r="N94" s="3111"/>
      <c r="O94" s="3121"/>
      <c r="P94" s="3122"/>
      <c r="Q94" s="3122"/>
      <c r="R94" s="3377"/>
      <c r="S94" s="3115"/>
      <c r="T94" s="3115"/>
      <c r="U94" s="3115"/>
      <c r="V94" s="3115"/>
      <c r="W94" s="3115"/>
      <c r="X94" s="3115"/>
      <c r="Y94" s="3115"/>
      <c r="Z94" s="3115"/>
      <c r="AA94" s="3115"/>
      <c r="AB94" s="3115"/>
      <c r="AC94" s="3115"/>
      <c r="AD94" s="3115"/>
      <c r="AE94" s="3115"/>
      <c r="AF94" s="3115"/>
      <c r="AG94" s="3115"/>
      <c r="AH94" s="3115"/>
      <c r="AI94" s="3115"/>
      <c r="AJ94" s="3115"/>
      <c r="AK94" s="3115"/>
      <c r="AL94" s="3115"/>
      <c r="AM94" s="3115"/>
      <c r="AN94" s="3115"/>
      <c r="AO94" s="3115"/>
      <c r="AP94" s="3115"/>
      <c r="AQ94" s="3115"/>
      <c r="AR94" s="3115"/>
      <c r="AS94" s="3115"/>
      <c r="AT94" s="3115"/>
      <c r="AU94" s="3115"/>
      <c r="AV94" s="3115"/>
      <c r="AW94" s="3115"/>
      <c r="AX94" s="3115"/>
      <c r="AY94" s="3115"/>
      <c r="AZ94" s="3115"/>
      <c r="BA94" s="3115"/>
      <c r="BB94" s="3115"/>
      <c r="BC94" s="3115"/>
      <c r="BD94" s="3115"/>
      <c r="BE94" s="3115"/>
      <c r="BF94" s="3115"/>
      <c r="BG94" s="3115"/>
      <c r="BH94" s="3115"/>
      <c r="BI94" s="3115"/>
      <c r="BJ94" s="3115"/>
      <c r="BK94" s="3115"/>
      <c r="BL94" s="3115"/>
      <c r="BM94" s="3115"/>
      <c r="BN94" s="3115"/>
      <c r="BO94" s="3115"/>
      <c r="BP94" s="3115"/>
      <c r="BQ94" s="3115"/>
      <c r="BR94" s="3115"/>
      <c r="BS94" s="3115"/>
      <c r="BT94" s="3115"/>
      <c r="BU94" s="3115"/>
      <c r="BV94" s="3115"/>
      <c r="BW94" s="3115"/>
      <c r="BX94" s="3115"/>
      <c r="BY94" s="3115"/>
      <c r="BZ94" s="3115"/>
      <c r="CA94" s="3115"/>
      <c r="CB94" s="3115"/>
      <c r="CC94" s="3115"/>
      <c r="CD94" s="3115"/>
    </row>
    <row r="95" spans="1:82" s="3044" customFormat="1" ht="20.100000000000001" customHeight="1">
      <c r="A95" s="3414">
        <v>1704</v>
      </c>
      <c r="B95" s="3415" t="s">
        <v>3277</v>
      </c>
      <c r="C95" s="3416">
        <v>43320</v>
      </c>
      <c r="D95" s="3416">
        <v>44415</v>
      </c>
      <c r="E95" s="3416" t="s">
        <v>3278</v>
      </c>
      <c r="F95" s="3415" t="s">
        <v>3127</v>
      </c>
      <c r="G95" s="3405">
        <v>71151.33</v>
      </c>
      <c r="H95" s="3043"/>
      <c r="I95" s="3043"/>
      <c r="J95" s="3405">
        <v>337.41</v>
      </c>
      <c r="K95" s="3406">
        <f>G95/J95</f>
        <v>210.87498888592512</v>
      </c>
      <c r="L95" s="3038" t="s">
        <v>3279</v>
      </c>
      <c r="M95" s="3038">
        <v>71151.33</v>
      </c>
      <c r="N95" s="3033">
        <f>J95</f>
        <v>337.41</v>
      </c>
      <c r="O95" s="3107">
        <f>ROUND((81315.81-G95)/G95/5,2)</f>
        <v>0.03</v>
      </c>
      <c r="P95" s="3108">
        <v>81315.81</v>
      </c>
      <c r="Q95" s="3108">
        <f>71151.33*9+81315.81*12+81315.81*40</f>
        <v>4868784.09</v>
      </c>
      <c r="R95" s="3407">
        <f>O95*J95</f>
        <v>10.122300000000001</v>
      </c>
      <c r="S95" s="3035"/>
      <c r="T95" s="3035"/>
      <c r="U95" s="3035"/>
      <c r="V95" s="3035"/>
      <c r="W95" s="3035"/>
      <c r="X95" s="3035"/>
      <c r="Y95" s="3035"/>
      <c r="Z95" s="3035"/>
      <c r="AA95" s="3035"/>
      <c r="AB95" s="3035"/>
      <c r="AC95" s="3035"/>
      <c r="AD95" s="3035"/>
      <c r="AE95" s="3035"/>
      <c r="AF95" s="3035"/>
      <c r="AG95" s="3035"/>
      <c r="AH95" s="3035"/>
      <c r="AI95" s="3035"/>
      <c r="AJ95" s="3035"/>
      <c r="AK95" s="3035"/>
      <c r="AL95" s="3035"/>
      <c r="AM95" s="3035"/>
      <c r="AN95" s="3035"/>
      <c r="AO95" s="3035"/>
      <c r="AP95" s="3035"/>
      <c r="AQ95" s="3035"/>
      <c r="AR95" s="3035"/>
      <c r="AS95" s="3035"/>
      <c r="AT95" s="3035"/>
      <c r="AU95" s="3035"/>
      <c r="AV95" s="3035"/>
      <c r="AW95" s="3035"/>
      <c r="AX95" s="3035"/>
      <c r="AY95" s="3035"/>
      <c r="AZ95" s="3035"/>
      <c r="BA95" s="3035"/>
      <c r="BB95" s="3035"/>
      <c r="BC95" s="3035"/>
      <c r="BD95" s="3035"/>
      <c r="BE95" s="3035"/>
      <c r="BF95" s="3035"/>
      <c r="BG95" s="3035"/>
      <c r="BH95" s="3035"/>
      <c r="BI95" s="3035"/>
      <c r="BJ95" s="3035"/>
      <c r="BK95" s="3035"/>
      <c r="BL95" s="3035"/>
      <c r="BM95" s="3035"/>
      <c r="BN95" s="3035"/>
      <c r="BO95" s="3035"/>
      <c r="BP95" s="3035"/>
      <c r="BQ95" s="3035"/>
      <c r="BR95" s="3035"/>
      <c r="BS95" s="3035"/>
      <c r="BT95" s="3035"/>
      <c r="BU95" s="3035"/>
      <c r="BV95" s="3035"/>
      <c r="BW95" s="3035"/>
      <c r="BX95" s="3035"/>
      <c r="BY95" s="3035"/>
      <c r="BZ95" s="3035"/>
      <c r="CA95" s="3035"/>
      <c r="CB95" s="3035"/>
      <c r="CC95" s="3035"/>
      <c r="CD95" s="3035"/>
    </row>
    <row r="96" spans="1:82" s="3044" customFormat="1" ht="20.100000000000001" customHeight="1">
      <c r="A96" s="3414"/>
      <c r="B96" s="3415"/>
      <c r="C96" s="3416"/>
      <c r="D96" s="3416"/>
      <c r="E96" s="3416"/>
      <c r="F96" s="3415"/>
      <c r="G96" s="3405"/>
      <c r="H96" s="3043"/>
      <c r="I96" s="3043"/>
      <c r="J96" s="3405"/>
      <c r="K96" s="3406"/>
      <c r="L96" s="3037" t="s">
        <v>3280</v>
      </c>
      <c r="M96" s="3037"/>
      <c r="N96" s="3037"/>
      <c r="O96" s="3041"/>
      <c r="P96" s="3102"/>
      <c r="Q96" s="3102"/>
      <c r="R96" s="3407"/>
      <c r="S96" s="3035"/>
      <c r="T96" s="3035"/>
      <c r="U96" s="3035"/>
      <c r="V96" s="3035"/>
      <c r="W96" s="3035"/>
      <c r="X96" s="3035"/>
      <c r="Y96" s="3035"/>
      <c r="Z96" s="3035"/>
      <c r="AA96" s="3035"/>
      <c r="AB96" s="3035"/>
      <c r="AC96" s="3035"/>
      <c r="AD96" s="3035"/>
      <c r="AE96" s="3035"/>
      <c r="AF96" s="3035"/>
      <c r="AG96" s="3035"/>
      <c r="AH96" s="3035"/>
      <c r="AI96" s="3035"/>
      <c r="AJ96" s="3035"/>
      <c r="AK96" s="3035"/>
      <c r="AL96" s="3035"/>
      <c r="AM96" s="3035"/>
      <c r="AN96" s="3035"/>
      <c r="AO96" s="3035"/>
      <c r="AP96" s="3035"/>
      <c r="AQ96" s="3035"/>
      <c r="AR96" s="3035"/>
      <c r="AS96" s="3035"/>
      <c r="AT96" s="3035"/>
      <c r="AU96" s="3035"/>
      <c r="AV96" s="3035"/>
      <c r="AW96" s="3035"/>
      <c r="AX96" s="3035"/>
      <c r="AY96" s="3035"/>
      <c r="AZ96" s="3035"/>
      <c r="BA96" s="3035"/>
      <c r="BB96" s="3035"/>
      <c r="BC96" s="3035"/>
      <c r="BD96" s="3035"/>
      <c r="BE96" s="3035"/>
      <c r="BF96" s="3035"/>
      <c r="BG96" s="3035"/>
      <c r="BH96" s="3035"/>
      <c r="BI96" s="3035"/>
      <c r="BJ96" s="3035"/>
      <c r="BK96" s="3035"/>
      <c r="BL96" s="3035"/>
      <c r="BM96" s="3035"/>
      <c r="BN96" s="3035"/>
      <c r="BO96" s="3035"/>
      <c r="BP96" s="3035"/>
      <c r="BQ96" s="3035"/>
      <c r="BR96" s="3035"/>
      <c r="BS96" s="3035"/>
      <c r="BT96" s="3035"/>
      <c r="BU96" s="3035"/>
      <c r="BV96" s="3035"/>
      <c r="BW96" s="3035"/>
      <c r="BX96" s="3035"/>
      <c r="BY96" s="3035"/>
      <c r="BZ96" s="3035"/>
      <c r="CA96" s="3035"/>
      <c r="CB96" s="3035"/>
      <c r="CC96" s="3035"/>
      <c r="CD96" s="3035"/>
    </row>
    <row r="97" spans="1:82" s="3044" customFormat="1" ht="20.100000000000001" customHeight="1">
      <c r="A97" s="3414"/>
      <c r="B97" s="3415"/>
      <c r="C97" s="3416"/>
      <c r="D97" s="3416"/>
      <c r="E97" s="3416"/>
      <c r="F97" s="3415"/>
      <c r="G97" s="3405"/>
      <c r="H97" s="3043"/>
      <c r="I97" s="3043"/>
      <c r="J97" s="3405"/>
      <c r="K97" s="3406"/>
      <c r="L97" s="3037" t="s">
        <v>3281</v>
      </c>
      <c r="M97" s="3037"/>
      <c r="N97" s="3037"/>
      <c r="O97" s="3042"/>
      <c r="P97" s="3103"/>
      <c r="Q97" s="3103"/>
      <c r="R97" s="3407"/>
      <c r="S97" s="3035"/>
      <c r="T97" s="3035"/>
      <c r="U97" s="3035"/>
      <c r="V97" s="3035"/>
      <c r="W97" s="3035"/>
      <c r="X97" s="3035"/>
      <c r="Y97" s="3035"/>
      <c r="Z97" s="3035"/>
      <c r="AA97" s="3035"/>
      <c r="AB97" s="3035"/>
      <c r="AC97" s="3035"/>
      <c r="AD97" s="3035"/>
      <c r="AE97" s="3035"/>
      <c r="AF97" s="3035"/>
      <c r="AG97" s="3035"/>
      <c r="AH97" s="3035"/>
      <c r="AI97" s="3035"/>
      <c r="AJ97" s="3035"/>
      <c r="AK97" s="3035"/>
      <c r="AL97" s="3035"/>
      <c r="AM97" s="3035"/>
      <c r="AN97" s="3035"/>
      <c r="AO97" s="3035"/>
      <c r="AP97" s="3035"/>
      <c r="AQ97" s="3035"/>
      <c r="AR97" s="3035"/>
      <c r="AS97" s="3035"/>
      <c r="AT97" s="3035"/>
      <c r="AU97" s="3035"/>
      <c r="AV97" s="3035"/>
      <c r="AW97" s="3035"/>
      <c r="AX97" s="3035"/>
      <c r="AY97" s="3035"/>
      <c r="AZ97" s="3035"/>
      <c r="BA97" s="3035"/>
      <c r="BB97" s="3035"/>
      <c r="BC97" s="3035"/>
      <c r="BD97" s="3035"/>
      <c r="BE97" s="3035"/>
      <c r="BF97" s="3035"/>
      <c r="BG97" s="3035"/>
      <c r="BH97" s="3035"/>
      <c r="BI97" s="3035"/>
      <c r="BJ97" s="3035"/>
      <c r="BK97" s="3035"/>
      <c r="BL97" s="3035"/>
      <c r="BM97" s="3035"/>
      <c r="BN97" s="3035"/>
      <c r="BO97" s="3035"/>
      <c r="BP97" s="3035"/>
      <c r="BQ97" s="3035"/>
      <c r="BR97" s="3035"/>
      <c r="BS97" s="3035"/>
      <c r="BT97" s="3035"/>
      <c r="BU97" s="3035"/>
      <c r="BV97" s="3035"/>
      <c r="BW97" s="3035"/>
      <c r="BX97" s="3035"/>
      <c r="BY97" s="3035"/>
      <c r="BZ97" s="3035"/>
      <c r="CA97" s="3035"/>
      <c r="CB97" s="3035"/>
      <c r="CC97" s="3035"/>
      <c r="CD97" s="3035"/>
    </row>
    <row r="98" spans="1:82" s="3116" customFormat="1" ht="20.100000000000001" customHeight="1">
      <c r="A98" s="3408">
        <v>1703</v>
      </c>
      <c r="B98" s="3411" t="s">
        <v>3282</v>
      </c>
      <c r="C98" s="3304">
        <v>43464</v>
      </c>
      <c r="D98" s="3304">
        <v>45289</v>
      </c>
      <c r="E98" s="3304" t="s">
        <v>3283</v>
      </c>
      <c r="F98" s="3411" t="s">
        <v>3284</v>
      </c>
      <c r="G98" s="3313">
        <v>140129.79</v>
      </c>
      <c r="H98" s="3109"/>
      <c r="I98" s="3109"/>
      <c r="J98" s="3313">
        <v>686.35</v>
      </c>
      <c r="K98" s="3316">
        <v>204.17</v>
      </c>
      <c r="L98" s="3110" t="s">
        <v>3285</v>
      </c>
      <c r="M98" s="3111">
        <v>140129.79</v>
      </c>
      <c r="N98" s="3112">
        <f>J98</f>
        <v>686.35</v>
      </c>
      <c r="O98" s="3113">
        <f>ROUND((185390-G98)/G98/5,2)</f>
        <v>0.06</v>
      </c>
      <c r="P98" s="3114">
        <v>185390</v>
      </c>
      <c r="Q98" s="3114">
        <f>140129.79*12+168155.75*12+168155.75*12+176563.54*12+185390*12</f>
        <v>10060737.960000001</v>
      </c>
      <c r="R98" s="3319">
        <f>O98*J98</f>
        <v>41.180999999999997</v>
      </c>
      <c r="S98" s="3115"/>
      <c r="T98" s="3115"/>
      <c r="U98" s="3115"/>
      <c r="V98" s="3115"/>
      <c r="W98" s="3115"/>
      <c r="X98" s="3115"/>
      <c r="Y98" s="3115"/>
      <c r="Z98" s="3115"/>
      <c r="AA98" s="3115"/>
      <c r="AB98" s="3115"/>
      <c r="AC98" s="3115"/>
      <c r="AD98" s="3115"/>
      <c r="AE98" s="3115"/>
      <c r="AF98" s="3115"/>
      <c r="AG98" s="3115"/>
      <c r="AH98" s="3115"/>
      <c r="AI98" s="3115"/>
      <c r="AJ98" s="3115"/>
      <c r="AK98" s="3115"/>
      <c r="AL98" s="3115"/>
      <c r="AM98" s="3115"/>
      <c r="AN98" s="3115"/>
      <c r="AO98" s="3115"/>
      <c r="AP98" s="3115"/>
      <c r="AQ98" s="3115"/>
      <c r="AR98" s="3115"/>
      <c r="AS98" s="3115"/>
      <c r="AT98" s="3115"/>
      <c r="AU98" s="3115"/>
      <c r="AV98" s="3115"/>
      <c r="AW98" s="3115"/>
      <c r="AX98" s="3115"/>
      <c r="AY98" s="3115"/>
      <c r="AZ98" s="3115"/>
      <c r="BA98" s="3115"/>
      <c r="BB98" s="3115"/>
      <c r="BC98" s="3115"/>
      <c r="BD98" s="3115"/>
      <c r="BE98" s="3115"/>
      <c r="BF98" s="3115"/>
      <c r="BG98" s="3115"/>
      <c r="BH98" s="3115"/>
      <c r="BI98" s="3115"/>
      <c r="BJ98" s="3115"/>
      <c r="BK98" s="3115"/>
      <c r="BL98" s="3115"/>
      <c r="BM98" s="3115"/>
      <c r="BN98" s="3115"/>
      <c r="BO98" s="3115"/>
      <c r="BP98" s="3115"/>
      <c r="BQ98" s="3115"/>
      <c r="BR98" s="3115"/>
      <c r="BS98" s="3115"/>
      <c r="BT98" s="3115"/>
      <c r="BU98" s="3115"/>
      <c r="BV98" s="3115"/>
      <c r="BW98" s="3115"/>
      <c r="BX98" s="3115"/>
      <c r="BY98" s="3115"/>
      <c r="BZ98" s="3115"/>
      <c r="CA98" s="3115"/>
      <c r="CB98" s="3115"/>
      <c r="CC98" s="3115"/>
      <c r="CD98" s="3115"/>
    </row>
    <row r="99" spans="1:82" s="3116" customFormat="1" ht="20.100000000000001" customHeight="1">
      <c r="A99" s="3409"/>
      <c r="B99" s="3412"/>
      <c r="C99" s="3305"/>
      <c r="D99" s="3305"/>
      <c r="E99" s="3305"/>
      <c r="F99" s="3412"/>
      <c r="G99" s="3314"/>
      <c r="H99" s="3109"/>
      <c r="I99" s="3109"/>
      <c r="J99" s="3314"/>
      <c r="K99" s="3317"/>
      <c r="L99" s="3110" t="s">
        <v>3286</v>
      </c>
      <c r="M99" s="3117"/>
      <c r="N99" s="3117"/>
      <c r="O99" s="3118"/>
      <c r="P99" s="3119"/>
      <c r="Q99" s="3119"/>
      <c r="R99" s="3320"/>
      <c r="S99" s="3115"/>
      <c r="T99" s="3115"/>
      <c r="U99" s="3115"/>
      <c r="V99" s="3115"/>
      <c r="W99" s="3115"/>
      <c r="X99" s="3115"/>
      <c r="Y99" s="3115"/>
      <c r="Z99" s="3115"/>
      <c r="AA99" s="3115"/>
      <c r="AB99" s="3115"/>
      <c r="AC99" s="3115"/>
      <c r="AD99" s="3115"/>
      <c r="AE99" s="3115"/>
      <c r="AF99" s="3115"/>
      <c r="AG99" s="3115"/>
      <c r="AH99" s="3115"/>
      <c r="AI99" s="3115"/>
      <c r="AJ99" s="3115"/>
      <c r="AK99" s="3115"/>
      <c r="AL99" s="3115"/>
      <c r="AM99" s="3115"/>
      <c r="AN99" s="3115"/>
      <c r="AO99" s="3115"/>
      <c r="AP99" s="3115"/>
      <c r="AQ99" s="3115"/>
      <c r="AR99" s="3115"/>
      <c r="AS99" s="3115"/>
      <c r="AT99" s="3115"/>
      <c r="AU99" s="3115"/>
      <c r="AV99" s="3115"/>
      <c r="AW99" s="3115"/>
      <c r="AX99" s="3115"/>
      <c r="AY99" s="3115"/>
      <c r="AZ99" s="3115"/>
      <c r="BA99" s="3115"/>
      <c r="BB99" s="3115"/>
      <c r="BC99" s="3115"/>
      <c r="BD99" s="3115"/>
      <c r="BE99" s="3115"/>
      <c r="BF99" s="3115"/>
      <c r="BG99" s="3115"/>
      <c r="BH99" s="3115"/>
      <c r="BI99" s="3115"/>
      <c r="BJ99" s="3115"/>
      <c r="BK99" s="3115"/>
      <c r="BL99" s="3115"/>
      <c r="BM99" s="3115"/>
      <c r="BN99" s="3115"/>
      <c r="BO99" s="3115"/>
      <c r="BP99" s="3115"/>
      <c r="BQ99" s="3115"/>
      <c r="BR99" s="3115"/>
      <c r="BS99" s="3115"/>
      <c r="BT99" s="3115"/>
      <c r="BU99" s="3115"/>
      <c r="BV99" s="3115"/>
      <c r="BW99" s="3115"/>
      <c r="BX99" s="3115"/>
      <c r="BY99" s="3115"/>
      <c r="BZ99" s="3115"/>
      <c r="CA99" s="3115"/>
      <c r="CB99" s="3115"/>
      <c r="CC99" s="3115"/>
      <c r="CD99" s="3115"/>
    </row>
    <row r="100" spans="1:82" s="3116" customFormat="1" ht="20.100000000000001" customHeight="1">
      <c r="A100" s="3409"/>
      <c r="B100" s="3412"/>
      <c r="C100" s="3305"/>
      <c r="D100" s="3305"/>
      <c r="E100" s="3305"/>
      <c r="F100" s="3412"/>
      <c r="G100" s="3314"/>
      <c r="H100" s="3109"/>
      <c r="I100" s="3109"/>
      <c r="J100" s="3314"/>
      <c r="K100" s="3317"/>
      <c r="L100" s="3110" t="s">
        <v>3287</v>
      </c>
      <c r="M100" s="3117"/>
      <c r="N100" s="3117"/>
      <c r="O100" s="3118"/>
      <c r="P100" s="3119"/>
      <c r="Q100" s="3119"/>
      <c r="R100" s="3320"/>
      <c r="S100" s="3115"/>
      <c r="T100" s="3115"/>
      <c r="U100" s="3115"/>
      <c r="V100" s="3115"/>
      <c r="W100" s="3115"/>
      <c r="X100" s="3115"/>
      <c r="Y100" s="3115"/>
      <c r="Z100" s="3115"/>
      <c r="AA100" s="3115"/>
      <c r="AB100" s="3115"/>
      <c r="AC100" s="3115"/>
      <c r="AD100" s="3115"/>
      <c r="AE100" s="3115"/>
      <c r="AF100" s="3115"/>
      <c r="AG100" s="3115"/>
      <c r="AH100" s="3115"/>
      <c r="AI100" s="3115"/>
      <c r="AJ100" s="3115"/>
      <c r="AK100" s="3115"/>
      <c r="AL100" s="3115"/>
      <c r="AM100" s="3115"/>
      <c r="AN100" s="3115"/>
      <c r="AO100" s="3115"/>
      <c r="AP100" s="3115"/>
      <c r="AQ100" s="3115"/>
      <c r="AR100" s="3115"/>
      <c r="AS100" s="3115"/>
      <c r="AT100" s="3115"/>
      <c r="AU100" s="3115"/>
      <c r="AV100" s="3115"/>
      <c r="AW100" s="3115"/>
      <c r="AX100" s="3115"/>
      <c r="AY100" s="3115"/>
      <c r="AZ100" s="3115"/>
      <c r="BA100" s="3115"/>
      <c r="BB100" s="3115"/>
      <c r="BC100" s="3115"/>
      <c r="BD100" s="3115"/>
      <c r="BE100" s="3115"/>
      <c r="BF100" s="3115"/>
      <c r="BG100" s="3115"/>
      <c r="BH100" s="3115"/>
      <c r="BI100" s="3115"/>
      <c r="BJ100" s="3115"/>
      <c r="BK100" s="3115"/>
      <c r="BL100" s="3115"/>
      <c r="BM100" s="3115"/>
      <c r="BN100" s="3115"/>
      <c r="BO100" s="3115"/>
      <c r="BP100" s="3115"/>
      <c r="BQ100" s="3115"/>
      <c r="BR100" s="3115"/>
      <c r="BS100" s="3115"/>
      <c r="BT100" s="3115"/>
      <c r="BU100" s="3115"/>
      <c r="BV100" s="3115"/>
      <c r="BW100" s="3115"/>
      <c r="BX100" s="3115"/>
      <c r="BY100" s="3115"/>
      <c r="BZ100" s="3115"/>
      <c r="CA100" s="3115"/>
      <c r="CB100" s="3115"/>
      <c r="CC100" s="3115"/>
      <c r="CD100" s="3115"/>
    </row>
    <row r="101" spans="1:82" s="3116" customFormat="1" ht="20.100000000000001" customHeight="1">
      <c r="A101" s="3409"/>
      <c r="B101" s="3412"/>
      <c r="C101" s="3305"/>
      <c r="D101" s="3305"/>
      <c r="E101" s="3305"/>
      <c r="F101" s="3412"/>
      <c r="G101" s="3314"/>
      <c r="H101" s="3109"/>
      <c r="I101" s="3109"/>
      <c r="J101" s="3314"/>
      <c r="K101" s="3317"/>
      <c r="L101" s="3110" t="s">
        <v>3288</v>
      </c>
      <c r="M101" s="3117"/>
      <c r="N101" s="3117"/>
      <c r="O101" s="3118"/>
      <c r="P101" s="3119"/>
      <c r="Q101" s="3119"/>
      <c r="R101" s="3320"/>
      <c r="S101" s="3115"/>
      <c r="T101" s="3115"/>
      <c r="U101" s="3115"/>
      <c r="V101" s="3115"/>
      <c r="W101" s="3115"/>
      <c r="X101" s="3115"/>
      <c r="Y101" s="3115"/>
      <c r="Z101" s="3115"/>
      <c r="AA101" s="3115"/>
      <c r="AB101" s="3115"/>
      <c r="AC101" s="3115"/>
      <c r="AD101" s="3115"/>
      <c r="AE101" s="3115"/>
      <c r="AF101" s="3115"/>
      <c r="AG101" s="3115"/>
      <c r="AH101" s="3115"/>
      <c r="AI101" s="3115"/>
      <c r="AJ101" s="3115"/>
      <c r="AK101" s="3115"/>
      <c r="AL101" s="3115"/>
      <c r="AM101" s="3115"/>
      <c r="AN101" s="3115"/>
      <c r="AO101" s="3115"/>
      <c r="AP101" s="3115"/>
      <c r="AQ101" s="3115"/>
      <c r="AR101" s="3115"/>
      <c r="AS101" s="3115"/>
      <c r="AT101" s="3115"/>
      <c r="AU101" s="3115"/>
      <c r="AV101" s="3115"/>
      <c r="AW101" s="3115"/>
      <c r="AX101" s="3115"/>
      <c r="AY101" s="3115"/>
      <c r="AZ101" s="3115"/>
      <c r="BA101" s="3115"/>
      <c r="BB101" s="3115"/>
      <c r="BC101" s="3115"/>
      <c r="BD101" s="3115"/>
      <c r="BE101" s="3115"/>
      <c r="BF101" s="3115"/>
      <c r="BG101" s="3115"/>
      <c r="BH101" s="3115"/>
      <c r="BI101" s="3115"/>
      <c r="BJ101" s="3115"/>
      <c r="BK101" s="3115"/>
      <c r="BL101" s="3115"/>
      <c r="BM101" s="3115"/>
      <c r="BN101" s="3115"/>
      <c r="BO101" s="3115"/>
      <c r="BP101" s="3115"/>
      <c r="BQ101" s="3115"/>
      <c r="BR101" s="3115"/>
      <c r="BS101" s="3115"/>
      <c r="BT101" s="3115"/>
      <c r="BU101" s="3115"/>
      <c r="BV101" s="3115"/>
      <c r="BW101" s="3115"/>
      <c r="BX101" s="3115"/>
      <c r="BY101" s="3115"/>
      <c r="BZ101" s="3115"/>
      <c r="CA101" s="3115"/>
      <c r="CB101" s="3115"/>
      <c r="CC101" s="3115"/>
      <c r="CD101" s="3115"/>
    </row>
    <row r="102" spans="1:82" s="3116" customFormat="1" ht="20.100000000000001" customHeight="1">
      <c r="A102" s="3410"/>
      <c r="B102" s="3413"/>
      <c r="C102" s="3306"/>
      <c r="D102" s="3306"/>
      <c r="E102" s="3306"/>
      <c r="F102" s="3413"/>
      <c r="G102" s="3315"/>
      <c r="H102" s="3109"/>
      <c r="I102" s="3109"/>
      <c r="J102" s="3315"/>
      <c r="K102" s="3318"/>
      <c r="L102" s="3110" t="s">
        <v>3289</v>
      </c>
      <c r="M102" s="3120"/>
      <c r="N102" s="3120"/>
      <c r="O102" s="3121"/>
      <c r="P102" s="3122"/>
      <c r="Q102" s="3122"/>
      <c r="R102" s="3321"/>
      <c r="S102" s="3115"/>
      <c r="T102" s="3115"/>
      <c r="U102" s="3115"/>
      <c r="V102" s="3115"/>
      <c r="W102" s="3115"/>
      <c r="X102" s="3115"/>
      <c r="Y102" s="3115"/>
      <c r="Z102" s="3115"/>
      <c r="AA102" s="3115"/>
      <c r="AB102" s="3115"/>
      <c r="AC102" s="3115"/>
      <c r="AD102" s="3115"/>
      <c r="AE102" s="3115"/>
      <c r="AF102" s="3115"/>
      <c r="AG102" s="3115"/>
      <c r="AH102" s="3115"/>
      <c r="AI102" s="3115"/>
      <c r="AJ102" s="3115"/>
      <c r="AK102" s="3115"/>
      <c r="AL102" s="3115"/>
      <c r="AM102" s="3115"/>
      <c r="AN102" s="3115"/>
      <c r="AO102" s="3115"/>
      <c r="AP102" s="3115"/>
      <c r="AQ102" s="3115"/>
      <c r="AR102" s="3115"/>
      <c r="AS102" s="3115"/>
      <c r="AT102" s="3115"/>
      <c r="AU102" s="3115"/>
      <c r="AV102" s="3115"/>
      <c r="AW102" s="3115"/>
      <c r="AX102" s="3115"/>
      <c r="AY102" s="3115"/>
      <c r="AZ102" s="3115"/>
      <c r="BA102" s="3115"/>
      <c r="BB102" s="3115"/>
      <c r="BC102" s="3115"/>
      <c r="BD102" s="3115"/>
      <c r="BE102" s="3115"/>
      <c r="BF102" s="3115"/>
      <c r="BG102" s="3115"/>
      <c r="BH102" s="3115"/>
      <c r="BI102" s="3115"/>
      <c r="BJ102" s="3115"/>
      <c r="BK102" s="3115"/>
      <c r="BL102" s="3115"/>
      <c r="BM102" s="3115"/>
      <c r="BN102" s="3115"/>
      <c r="BO102" s="3115"/>
      <c r="BP102" s="3115"/>
      <c r="BQ102" s="3115"/>
      <c r="BR102" s="3115"/>
      <c r="BS102" s="3115"/>
      <c r="BT102" s="3115"/>
      <c r="BU102" s="3115"/>
      <c r="BV102" s="3115"/>
      <c r="BW102" s="3115"/>
      <c r="BX102" s="3115"/>
      <c r="BY102" s="3115"/>
      <c r="BZ102" s="3115"/>
      <c r="CA102" s="3115"/>
      <c r="CB102" s="3115"/>
      <c r="CC102" s="3115"/>
      <c r="CD102" s="3115"/>
    </row>
    <row r="103" spans="1:82" s="3045" customFormat="1" ht="20.100000000000001" customHeight="1">
      <c r="A103" s="3046"/>
      <c r="B103" s="3047"/>
      <c r="C103" s="3047"/>
      <c r="D103" s="3047"/>
      <c r="E103" s="3047"/>
      <c r="F103" s="3047"/>
      <c r="G103" s="3048"/>
      <c r="H103" s="3049"/>
      <c r="I103" s="3049"/>
      <c r="J103" s="3050"/>
      <c r="K103" s="3051"/>
      <c r="L103" s="3052"/>
      <c r="M103" s="3052">
        <f>SUM(M9:M102)*12</f>
        <v>48038121.360000007</v>
      </c>
      <c r="N103" s="3052">
        <f>SUM(N9:N102)</f>
        <v>16409.68</v>
      </c>
      <c r="O103" s="3053"/>
      <c r="P103" s="3104">
        <f>SUM(P9:P102)</f>
        <v>4266408.99</v>
      </c>
      <c r="Q103" s="3104">
        <f>SUM(Q9:Q101)</f>
        <v>252836934.42000002</v>
      </c>
      <c r="R103" s="3054">
        <f>SUM(R9:R102)</f>
        <v>256.11179999999996</v>
      </c>
      <c r="S103" s="3034"/>
      <c r="T103" s="3034"/>
      <c r="U103" s="3034"/>
      <c r="V103" s="3034"/>
      <c r="W103" s="3034"/>
      <c r="X103" s="3034"/>
      <c r="Y103" s="3034"/>
      <c r="Z103" s="3034"/>
      <c r="AA103" s="3034"/>
      <c r="AB103" s="3034"/>
      <c r="AC103" s="3034"/>
      <c r="AD103" s="3034"/>
      <c r="AE103" s="3034"/>
      <c r="AF103" s="3034"/>
      <c r="AG103" s="3034"/>
      <c r="AH103" s="3034"/>
      <c r="AI103" s="3034"/>
      <c r="AJ103" s="3034"/>
      <c r="AK103" s="3034"/>
      <c r="AL103" s="3034"/>
      <c r="AM103" s="3034"/>
      <c r="AN103" s="3034"/>
      <c r="AO103" s="3034"/>
      <c r="AP103" s="3034"/>
      <c r="AQ103" s="3034"/>
      <c r="AR103" s="3034"/>
      <c r="AS103" s="3034"/>
      <c r="AT103" s="3034"/>
      <c r="AU103" s="3034"/>
      <c r="AV103" s="3034"/>
      <c r="AW103" s="3034"/>
      <c r="AX103" s="3034"/>
      <c r="AY103" s="3034"/>
      <c r="AZ103" s="3034"/>
      <c r="BA103" s="3034"/>
      <c r="BB103" s="3034"/>
      <c r="BC103" s="3034"/>
      <c r="BD103" s="3034"/>
      <c r="BE103" s="3034"/>
      <c r="BF103" s="3034"/>
      <c r="BG103" s="3034"/>
      <c r="BH103" s="3034"/>
      <c r="BI103" s="3034"/>
      <c r="BJ103" s="3034"/>
      <c r="BK103" s="3034"/>
      <c r="BL103" s="3034"/>
      <c r="BM103" s="3034"/>
      <c r="BN103" s="3034"/>
      <c r="BO103" s="3034"/>
      <c r="BP103" s="3034"/>
      <c r="BQ103" s="3034"/>
      <c r="BR103" s="3034"/>
      <c r="BS103" s="3034"/>
      <c r="BT103" s="3034"/>
      <c r="BU103" s="3034"/>
      <c r="BV103" s="3034"/>
      <c r="BW103" s="3034"/>
      <c r="BX103" s="3034"/>
      <c r="BY103" s="3034"/>
      <c r="BZ103" s="3034"/>
      <c r="CA103" s="3034"/>
      <c r="CB103" s="3034"/>
      <c r="CC103" s="3034"/>
      <c r="CD103" s="3034"/>
    </row>
    <row r="104" spans="1:82" s="3035" customFormat="1" ht="20.100000000000001" customHeight="1">
      <c r="A104" s="3055"/>
      <c r="B104" s="3055"/>
      <c r="C104" s="3055"/>
      <c r="D104" s="3055"/>
      <c r="E104" s="3055"/>
      <c r="F104" s="3055"/>
      <c r="G104" s="3056">
        <f>SUM(G9:I102)</f>
        <v>4003176.7600000002</v>
      </c>
      <c r="H104" s="3057">
        <f>SUM(H9:H31)</f>
        <v>0</v>
      </c>
      <c r="I104" s="3057">
        <f>SUM(H104:H104)</f>
        <v>0</v>
      </c>
      <c r="J104" s="3058">
        <f>SUM(J9:J102)</f>
        <v>16409.68</v>
      </c>
      <c r="K104" s="3059"/>
      <c r="L104" s="3039"/>
      <c r="M104" s="3039">
        <f>ROUND(M103/N103/365,1)</f>
        <v>8</v>
      </c>
      <c r="N104" s="3039"/>
      <c r="O104" s="3040"/>
      <c r="P104" s="3101"/>
      <c r="Q104" s="3101">
        <f>Q103/5</f>
        <v>50567386.884000003</v>
      </c>
      <c r="R104" s="3039"/>
      <c r="T104" s="3036"/>
    </row>
    <row r="105" spans="1:82" s="3035" customFormat="1" ht="20.100000000000001" customHeight="1" thickBot="1">
      <c r="A105" s="3055"/>
      <c r="B105" s="3055"/>
      <c r="C105" s="3055"/>
      <c r="D105" s="3055"/>
      <c r="E105" s="3060"/>
      <c r="F105" s="3055"/>
      <c r="G105" s="3026"/>
      <c r="H105" s="3061"/>
      <c r="I105" s="3061"/>
      <c r="J105" s="3062"/>
      <c r="K105" s="3059"/>
      <c r="L105" s="3063"/>
      <c r="M105" s="3063"/>
      <c r="N105" s="3063"/>
      <c r="O105" s="3064"/>
      <c r="P105" s="3105"/>
      <c r="Q105" s="3105"/>
      <c r="R105" s="3063"/>
      <c r="S105" s="3036"/>
      <c r="T105" s="3036"/>
    </row>
    <row r="106" spans="1:82" s="3035" customFormat="1" ht="20.100000000000001" customHeight="1" thickBot="1">
      <c r="B106" s="3055"/>
      <c r="C106" s="3065"/>
      <c r="D106" s="3066"/>
      <c r="E106" s="3060"/>
      <c r="F106" s="3067"/>
      <c r="G106" s="3068" t="s">
        <v>3290</v>
      </c>
      <c r="H106" s="3066"/>
      <c r="J106" s="3069">
        <f>J104</f>
        <v>16409.68</v>
      </c>
      <c r="K106" s="3059"/>
      <c r="L106" s="3063">
        <f>G104*(1+1.3%)^5</f>
        <v>4270237.1410778249</v>
      </c>
      <c r="M106" s="3063"/>
      <c r="N106" s="3063"/>
      <c r="O106" s="3064"/>
      <c r="P106" s="3105"/>
      <c r="Q106" s="3105"/>
      <c r="R106" s="3064">
        <f>R103/J104</f>
        <v>1.5607361021055862E-2</v>
      </c>
      <c r="S106" s="3036"/>
      <c r="T106" s="3036"/>
    </row>
    <row r="107" spans="1:82" s="3035" customFormat="1" ht="20.100000000000001" customHeight="1" thickBot="1">
      <c r="B107" s="3055"/>
      <c r="C107" s="3065"/>
      <c r="D107" s="3070"/>
      <c r="E107" s="3070"/>
      <c r="F107" s="3067"/>
      <c r="G107" s="3071" t="s">
        <v>3291</v>
      </c>
      <c r="H107" s="3072"/>
      <c r="J107" s="3073"/>
      <c r="K107" s="3059"/>
      <c r="L107" s="3039"/>
      <c r="M107" s="3039"/>
      <c r="N107" s="3039"/>
      <c r="O107" s="3040"/>
      <c r="P107" s="3101"/>
      <c r="Q107" s="3101"/>
      <c r="R107" s="3039"/>
      <c r="T107" s="3036"/>
    </row>
    <row r="108" spans="1:82" s="3035" customFormat="1" ht="20.100000000000001" customHeight="1" thickBot="1">
      <c r="B108" s="3055">
        <v>45289</v>
      </c>
      <c r="C108" s="3065"/>
      <c r="D108" s="3066"/>
      <c r="E108" s="3060"/>
      <c r="F108" s="3074"/>
      <c r="G108" s="3075" t="s">
        <v>3292</v>
      </c>
      <c r="H108" s="3066"/>
      <c r="J108" s="3076">
        <f>+J106/22273</f>
        <v>0.73675212140259505</v>
      </c>
      <c r="K108" s="3077">
        <f>(G104)/J106</f>
        <v>243.9521526318612</v>
      </c>
      <c r="L108" s="3039"/>
      <c r="M108" s="3039"/>
      <c r="N108" s="3039"/>
      <c r="O108" s="3040"/>
      <c r="P108" s="3101"/>
      <c r="Q108" s="3101"/>
      <c r="R108" s="3039"/>
      <c r="T108" s="3036"/>
    </row>
    <row r="109" spans="1:82" ht="11.25" customHeight="1">
      <c r="B109" s="3055">
        <v>43459</v>
      </c>
      <c r="F109" s="3067"/>
      <c r="G109" s="3067"/>
      <c r="M109" s="3079">
        <f>M98/N98/365</f>
        <v>0.55936072394071878</v>
      </c>
    </row>
    <row r="110" spans="1:82" ht="19.5" customHeight="1">
      <c r="A110" s="2968" t="s">
        <v>3293</v>
      </c>
      <c r="B110" s="3087">
        <f>B108-B109</f>
        <v>1830</v>
      </c>
      <c r="F110" s="3067"/>
      <c r="G110" s="3067"/>
      <c r="K110" s="3081">
        <f>ROUND(K108/30,1)</f>
        <v>8.1</v>
      </c>
    </row>
    <row r="111" spans="1:82" ht="18">
      <c r="B111" s="3087">
        <f>ROUND(B110/365,2)</f>
        <v>5.01</v>
      </c>
      <c r="G111" s="3067"/>
    </row>
    <row r="112" spans="1:82" ht="18">
      <c r="B112" s="3055"/>
      <c r="G112" s="3067"/>
    </row>
    <row r="113" spans="2:7" ht="18">
      <c r="B113" s="3055"/>
      <c r="G113" s="3067"/>
    </row>
    <row r="114" spans="2:7" ht="18">
      <c r="B114" s="3055"/>
      <c r="G114" s="3067"/>
    </row>
    <row r="115" spans="2:7" ht="18">
      <c r="B115" s="3055"/>
      <c r="G115" s="3067"/>
    </row>
    <row r="116" spans="2:7" ht="18">
      <c r="B116" s="3055"/>
      <c r="G116" s="3067"/>
    </row>
    <row r="117" spans="2:7" ht="18">
      <c r="B117" s="3055"/>
      <c r="G117" s="3067"/>
    </row>
    <row r="118" spans="2:7" ht="18">
      <c r="B118" s="3055"/>
      <c r="G118" s="3067"/>
    </row>
    <row r="119" spans="2:7" ht="19.5" customHeight="1">
      <c r="B119" s="3055"/>
      <c r="G119" s="3067"/>
    </row>
  </sheetData>
  <mergeCells count="254">
    <mergeCell ref="R98:R102"/>
    <mergeCell ref="G95:G97"/>
    <mergeCell ref="J95:J97"/>
    <mergeCell ref="K95:K97"/>
    <mergeCell ref="R95:R97"/>
    <mergeCell ref="A98:A102"/>
    <mergeCell ref="B98:B102"/>
    <mergeCell ref="C98:C102"/>
    <mergeCell ref="D98:D102"/>
    <mergeCell ref="E98:E102"/>
    <mergeCell ref="F98:F102"/>
    <mergeCell ref="A95:A97"/>
    <mergeCell ref="B95:B97"/>
    <mergeCell ref="C95:C97"/>
    <mergeCell ref="D95:D97"/>
    <mergeCell ref="E95:E97"/>
    <mergeCell ref="F95:F97"/>
    <mergeCell ref="G98:G102"/>
    <mergeCell ref="J98:J102"/>
    <mergeCell ref="K98:K102"/>
    <mergeCell ref="R87:R91"/>
    <mergeCell ref="A92:A94"/>
    <mergeCell ref="B92:B94"/>
    <mergeCell ref="C92:C94"/>
    <mergeCell ref="D92:D94"/>
    <mergeCell ref="E92:E94"/>
    <mergeCell ref="F92:F94"/>
    <mergeCell ref="G92:G94"/>
    <mergeCell ref="J92:J94"/>
    <mergeCell ref="K92:K94"/>
    <mergeCell ref="R92:R94"/>
    <mergeCell ref="A87:A91"/>
    <mergeCell ref="B87:B91"/>
    <mergeCell ref="C87:C91"/>
    <mergeCell ref="D87:D91"/>
    <mergeCell ref="E87:E91"/>
    <mergeCell ref="F87:F91"/>
    <mergeCell ref="G87:G91"/>
    <mergeCell ref="J87:J91"/>
    <mergeCell ref="K87:K91"/>
    <mergeCell ref="R81:R83"/>
    <mergeCell ref="A84:A86"/>
    <mergeCell ref="B84:B86"/>
    <mergeCell ref="C84:C86"/>
    <mergeCell ref="D84:D86"/>
    <mergeCell ref="E84:E86"/>
    <mergeCell ref="F84:F86"/>
    <mergeCell ref="G84:G86"/>
    <mergeCell ref="J84:J86"/>
    <mergeCell ref="K84:K86"/>
    <mergeCell ref="R84:R86"/>
    <mergeCell ref="A81:A83"/>
    <mergeCell ref="B81:B83"/>
    <mergeCell ref="C81:C83"/>
    <mergeCell ref="D81:D83"/>
    <mergeCell ref="E81:E83"/>
    <mergeCell ref="F81:F83"/>
    <mergeCell ref="G81:G83"/>
    <mergeCell ref="J81:J83"/>
    <mergeCell ref="K81:K83"/>
    <mergeCell ref="G75:G77"/>
    <mergeCell ref="J75:J77"/>
    <mergeCell ref="K75:K77"/>
    <mergeCell ref="R75:R77"/>
    <mergeCell ref="A78:A80"/>
    <mergeCell ref="B78:B80"/>
    <mergeCell ref="C78:C80"/>
    <mergeCell ref="D78:D80"/>
    <mergeCell ref="E78:E80"/>
    <mergeCell ref="F78:F80"/>
    <mergeCell ref="A75:A77"/>
    <mergeCell ref="B75:B77"/>
    <mergeCell ref="C75:C77"/>
    <mergeCell ref="D75:D77"/>
    <mergeCell ref="E75:E77"/>
    <mergeCell ref="F75:F77"/>
    <mergeCell ref="G78:G80"/>
    <mergeCell ref="J78:J80"/>
    <mergeCell ref="K78:K80"/>
    <mergeCell ref="R78:R80"/>
    <mergeCell ref="A72:A74"/>
    <mergeCell ref="B72:B74"/>
    <mergeCell ref="C72:C74"/>
    <mergeCell ref="D72:D74"/>
    <mergeCell ref="E72:E74"/>
    <mergeCell ref="F72:F74"/>
    <mergeCell ref="J72:J74"/>
    <mergeCell ref="K72:K74"/>
    <mergeCell ref="R72:R74"/>
    <mergeCell ref="A69:A71"/>
    <mergeCell ref="B69:B71"/>
    <mergeCell ref="C69:C71"/>
    <mergeCell ref="D69:D71"/>
    <mergeCell ref="E69:E71"/>
    <mergeCell ref="F69:F71"/>
    <mergeCell ref="J69:J71"/>
    <mergeCell ref="K69:K71"/>
    <mergeCell ref="R69:R71"/>
    <mergeCell ref="J62:J65"/>
    <mergeCell ref="K62:K65"/>
    <mergeCell ref="R62:R65"/>
    <mergeCell ref="A66:A68"/>
    <mergeCell ref="B66:B68"/>
    <mergeCell ref="C66:C68"/>
    <mergeCell ref="D66:D68"/>
    <mergeCell ref="E66:E68"/>
    <mergeCell ref="F66:F68"/>
    <mergeCell ref="J66:J68"/>
    <mergeCell ref="A62:A65"/>
    <mergeCell ref="B62:B65"/>
    <mergeCell ref="C62:C65"/>
    <mergeCell ref="D62:D65"/>
    <mergeCell ref="E62:E65"/>
    <mergeCell ref="F62:F65"/>
    <mergeCell ref="K66:K68"/>
    <mergeCell ref="R66:R68"/>
    <mergeCell ref="R55:R57"/>
    <mergeCell ref="A58:A61"/>
    <mergeCell ref="B58:B61"/>
    <mergeCell ref="C58:C61"/>
    <mergeCell ref="D58:D61"/>
    <mergeCell ref="E58:E61"/>
    <mergeCell ref="F58:F61"/>
    <mergeCell ref="J58:J61"/>
    <mergeCell ref="K58:K61"/>
    <mergeCell ref="R58:R61"/>
    <mergeCell ref="A55:A57"/>
    <mergeCell ref="B55:B57"/>
    <mergeCell ref="C55:C57"/>
    <mergeCell ref="D55:D57"/>
    <mergeCell ref="E55:E57"/>
    <mergeCell ref="F55:F57"/>
    <mergeCell ref="G55:G57"/>
    <mergeCell ref="J55:J57"/>
    <mergeCell ref="K55:K57"/>
    <mergeCell ref="R49:R51"/>
    <mergeCell ref="A52:A54"/>
    <mergeCell ref="B52:B54"/>
    <mergeCell ref="C52:C54"/>
    <mergeCell ref="D52:D54"/>
    <mergeCell ref="E52:E54"/>
    <mergeCell ref="F52:F54"/>
    <mergeCell ref="G52:G54"/>
    <mergeCell ref="J52:J54"/>
    <mergeCell ref="K52:K54"/>
    <mergeCell ref="A49:A51"/>
    <mergeCell ref="B49:B51"/>
    <mergeCell ref="C49:C51"/>
    <mergeCell ref="D49:D51"/>
    <mergeCell ref="E49:E51"/>
    <mergeCell ref="F49:F51"/>
    <mergeCell ref="G49:G51"/>
    <mergeCell ref="J49:J51"/>
    <mergeCell ref="K49:K51"/>
    <mergeCell ref="R52:R54"/>
    <mergeCell ref="R46:R48"/>
    <mergeCell ref="R43:R45"/>
    <mergeCell ref="A46:A48"/>
    <mergeCell ref="B46:B48"/>
    <mergeCell ref="C46:C48"/>
    <mergeCell ref="D46:D48"/>
    <mergeCell ref="E46:E48"/>
    <mergeCell ref="F46:F48"/>
    <mergeCell ref="G46:G48"/>
    <mergeCell ref="J46:J48"/>
    <mergeCell ref="K46:K48"/>
    <mergeCell ref="A43:A45"/>
    <mergeCell ref="B43:B45"/>
    <mergeCell ref="C43:C45"/>
    <mergeCell ref="D43:D45"/>
    <mergeCell ref="E43:E45"/>
    <mergeCell ref="F43:F45"/>
    <mergeCell ref="G43:G45"/>
    <mergeCell ref="J43:J45"/>
    <mergeCell ref="K43:K45"/>
    <mergeCell ref="R40:R42"/>
    <mergeCell ref="A40:A42"/>
    <mergeCell ref="B40:B42"/>
    <mergeCell ref="C40:C42"/>
    <mergeCell ref="D40:D42"/>
    <mergeCell ref="E40:E42"/>
    <mergeCell ref="F40:F42"/>
    <mergeCell ref="G40:G42"/>
    <mergeCell ref="J40:J42"/>
    <mergeCell ref="K40:K42"/>
    <mergeCell ref="R36:R39"/>
    <mergeCell ref="R32:R35"/>
    <mergeCell ref="A36:A39"/>
    <mergeCell ref="B36:B39"/>
    <mergeCell ref="C36:C39"/>
    <mergeCell ref="D36:D39"/>
    <mergeCell ref="E36:E39"/>
    <mergeCell ref="F36:F39"/>
    <mergeCell ref="G36:G39"/>
    <mergeCell ref="J36:J39"/>
    <mergeCell ref="K36:K39"/>
    <mergeCell ref="A32:A35"/>
    <mergeCell ref="B32:B35"/>
    <mergeCell ref="C32:C35"/>
    <mergeCell ref="D32:D35"/>
    <mergeCell ref="E32:E35"/>
    <mergeCell ref="F32:F35"/>
    <mergeCell ref="G32:G35"/>
    <mergeCell ref="J32:J35"/>
    <mergeCell ref="K32:K35"/>
    <mergeCell ref="R28:R31"/>
    <mergeCell ref="R24:R27"/>
    <mergeCell ref="A28:A31"/>
    <mergeCell ref="B28:B31"/>
    <mergeCell ref="C28:C31"/>
    <mergeCell ref="D28:D31"/>
    <mergeCell ref="E28:E31"/>
    <mergeCell ref="F28:F31"/>
    <mergeCell ref="G28:G31"/>
    <mergeCell ref="J28:J31"/>
    <mergeCell ref="K28:K31"/>
    <mergeCell ref="A24:A27"/>
    <mergeCell ref="B24:B27"/>
    <mergeCell ref="C24:C27"/>
    <mergeCell ref="D24:D27"/>
    <mergeCell ref="E24:E27"/>
    <mergeCell ref="F24:F27"/>
    <mergeCell ref="G24:G27"/>
    <mergeCell ref="J24:J27"/>
    <mergeCell ref="K24:K27"/>
    <mergeCell ref="K19:K23"/>
    <mergeCell ref="R19:R23"/>
    <mergeCell ref="A19:A23"/>
    <mergeCell ref="B19:B23"/>
    <mergeCell ref="C19:C23"/>
    <mergeCell ref="D19:D23"/>
    <mergeCell ref="E19:E23"/>
    <mergeCell ref="G19:G23"/>
    <mergeCell ref="J19:J23"/>
    <mergeCell ref="E5:E6"/>
    <mergeCell ref="R5:R6"/>
    <mergeCell ref="R9:R13"/>
    <mergeCell ref="A14:A18"/>
    <mergeCell ref="B14:B18"/>
    <mergeCell ref="C14:C18"/>
    <mergeCell ref="D14:D18"/>
    <mergeCell ref="E14:E18"/>
    <mergeCell ref="G14:G18"/>
    <mergeCell ref="J14:J18"/>
    <mergeCell ref="K14:K18"/>
    <mergeCell ref="R14:R18"/>
    <mergeCell ref="A9:A13"/>
    <mergeCell ref="B9:B13"/>
    <mergeCell ref="C9:C13"/>
    <mergeCell ref="D9:D13"/>
    <mergeCell ref="E9:E13"/>
    <mergeCell ref="G9:G13"/>
    <mergeCell ref="J9:J13"/>
    <mergeCell ref="K9:K13"/>
  </mergeCells>
  <phoneticPr fontId="14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7"/>
  <sheetViews>
    <sheetView workbookViewId="0">
      <selection activeCell="D1" sqref="D1"/>
    </sheetView>
  </sheetViews>
  <sheetFormatPr defaultRowHeight="14.4"/>
  <cols>
    <col min="1" max="1" width="15.33203125" customWidth="1"/>
  </cols>
  <sheetData>
    <row r="1" spans="1:4">
      <c r="A1" s="2967" t="s">
        <v>3088</v>
      </c>
      <c r="B1">
        <f>'数据-汇总表'!E20</f>
        <v>21099.64</v>
      </c>
      <c r="C1">
        <f>ROUND(B1/$B$6,2)</f>
        <v>0.43</v>
      </c>
      <c r="D1">
        <f>ROUND($C$6*C1,0)</f>
        <v>452</v>
      </c>
    </row>
    <row r="2" spans="1:4">
      <c r="A2" s="2967" t="s">
        <v>3294</v>
      </c>
      <c r="B2" s="3088">
        <f>'数据-汇总表'!F21</f>
        <v>16409.68</v>
      </c>
      <c r="C2">
        <f t="shared" ref="C2" si="0">ROUND(B2/$B$6,2)</f>
        <v>0.33</v>
      </c>
      <c r="D2">
        <f t="shared" ref="D2:D4" si="1">ROUND($C$6*C2,0)</f>
        <v>347</v>
      </c>
    </row>
    <row r="3" spans="1:4">
      <c r="A3" s="2967" t="s">
        <v>3296</v>
      </c>
      <c r="B3" s="3088">
        <f>'数据-汇总表'!F22</f>
        <v>5863.5999999999985</v>
      </c>
      <c r="C3">
        <f>ROUND(B3/$B$6,2)</f>
        <v>0.12</v>
      </c>
      <c r="D3">
        <f t="shared" si="1"/>
        <v>126</v>
      </c>
    </row>
    <row r="4" spans="1:4">
      <c r="A4" s="2967" t="s">
        <v>3089</v>
      </c>
      <c r="B4">
        <f>'数据-汇总表'!E19</f>
        <v>6074.74</v>
      </c>
      <c r="C4">
        <f>ROUND(B4/$B$6,2)</f>
        <v>0.12</v>
      </c>
      <c r="D4">
        <f t="shared" si="1"/>
        <v>126</v>
      </c>
    </row>
    <row r="6" spans="1:4">
      <c r="B6">
        <f>SUM(B1:B4)</f>
        <v>49447.659999999996</v>
      </c>
      <c r="C6">
        <f>ROUND(5250143.79*2/10000,0)</f>
        <v>1050</v>
      </c>
    </row>
    <row r="7" spans="1:4">
      <c r="B7">
        <f>'数据-汇总表'!E31-面积!B6</f>
        <v>672.66000000000349</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27" sqref="D27"/>
    </sheetView>
  </sheetViews>
  <sheetFormatPr defaultColWidth="10" defaultRowHeight="18" customHeight="1"/>
  <cols>
    <col min="1" max="1" width="14.88671875" style="2033" customWidth="1"/>
    <col min="2" max="2" width="15.109375" style="2033" customWidth="1"/>
    <col min="3" max="3" width="11.44140625" style="2033" customWidth="1"/>
    <col min="4" max="4" width="16.6640625" style="2033" customWidth="1"/>
    <col min="5" max="6" width="10" style="2033" customWidth="1"/>
    <col min="7" max="7" width="10.77734375" style="2033" customWidth="1"/>
    <col min="8" max="8" width="10" style="2033" customWidth="1"/>
    <col min="9" max="9" width="11.10937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1776</v>
      </c>
      <c r="B1" s="3417" t="str">
        <f>IF(B10="北京市","北京市",C10)&amp;F10&amp;IF(结果表!G1="在建","出让国有建设用地使用权及在建建筑物",IF(结果表!G1="土地","出让国有建设用地使用权",))&amp;B9&amp;"预评估"</f>
        <v>北京市东城区香河园街1号11号楼房地产抵押价值预评估</v>
      </c>
      <c r="C1" s="3418"/>
      <c r="D1" s="3418"/>
      <c r="E1" s="3418"/>
      <c r="F1" s="3418"/>
      <c r="G1" s="3418"/>
      <c r="H1" s="3418"/>
      <c r="I1" s="341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北京市东城区香河园街1号11号楼房地产抵押价值</v>
      </c>
    </row>
    <row r="2" spans="1:19" ht="18" customHeight="1">
      <c r="A2" s="2027" t="s">
        <v>1777</v>
      </c>
      <c r="B2" s="1040" t="s">
        <v>3314</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北京市东城区香河园街1号11号楼房地产</v>
      </c>
    </row>
    <row r="3" spans="1:19" ht="18" customHeight="1">
      <c r="A3" s="2036" t="s">
        <v>1778</v>
      </c>
      <c r="B3" s="2037">
        <v>43458</v>
      </c>
      <c r="C3" s="2038" t="s">
        <v>1779</v>
      </c>
      <c r="D3" s="2037">
        <v>43458</v>
      </c>
      <c r="E3" s="2027"/>
      <c r="F3" s="2027"/>
      <c r="G3" s="2027"/>
      <c r="H3" s="2027"/>
      <c r="I3" s="2027"/>
      <c r="J3" s="2027"/>
      <c r="K3" s="2028"/>
      <c r="L3" s="2029"/>
      <c r="M3" s="2029"/>
      <c r="N3" s="2030"/>
      <c r="O3" s="2031"/>
      <c r="P3" s="2030"/>
      <c r="Q3" s="2030"/>
      <c r="R3" s="2030"/>
      <c r="S3" s="2032"/>
    </row>
    <row r="4" spans="1:19" ht="18" customHeight="1" thickBot="1">
      <c r="A4" s="2039" t="s">
        <v>1780</v>
      </c>
      <c r="B4" s="2040" t="s">
        <v>3316</v>
      </c>
      <c r="C4" s="1038">
        <f ca="1">SUMIF(注册房地产估价师,B4,估价师及机构信息!B3:B24)</f>
        <v>1120000080</v>
      </c>
      <c r="D4" s="2040" t="s">
        <v>3315</v>
      </c>
      <c r="E4" s="1039">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1781</v>
      </c>
      <c r="B5" s="3092" t="s">
        <v>3317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3092" t="s">
        <v>3318</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3093" t="s">
        <v>3317</v>
      </c>
      <c r="C7" s="2049"/>
      <c r="D7" s="2050"/>
      <c r="E7" s="2035"/>
      <c r="F7" s="2043"/>
      <c r="G7" s="2043"/>
      <c r="H7" s="2043"/>
      <c r="I7" s="2043"/>
      <c r="J7" s="2043"/>
      <c r="K7" s="2052"/>
      <c r="L7" s="2029"/>
      <c r="M7" s="2029"/>
      <c r="N7" s="2030"/>
      <c r="O7" s="2031"/>
      <c r="P7" s="2030"/>
      <c r="Q7" s="2030"/>
      <c r="R7" s="2030"/>
    </row>
    <row r="8" spans="1:19" ht="18" customHeight="1">
      <c r="A8" s="2048" t="s">
        <v>1784</v>
      </c>
      <c r="B8" s="2053" t="s">
        <v>3051</v>
      </c>
      <c r="C8" s="2054"/>
      <c r="D8" s="3420" t="s">
        <v>1785</v>
      </c>
      <c r="E8" s="2055" t="s">
        <v>3052</v>
      </c>
      <c r="F8" s="2056"/>
      <c r="G8" s="2027"/>
      <c r="H8" s="2027"/>
      <c r="I8" s="2027"/>
      <c r="J8" s="2043"/>
      <c r="K8" s="2044"/>
      <c r="L8" s="2029"/>
      <c r="M8" s="2029"/>
      <c r="N8" s="2030"/>
      <c r="O8" s="2031"/>
      <c r="P8" s="2030"/>
      <c r="Q8" s="2030"/>
      <c r="R8" s="2030"/>
    </row>
    <row r="9" spans="1:19" ht="18" customHeight="1" thickBot="1">
      <c r="A9" s="2041" t="s">
        <v>1786</v>
      </c>
      <c r="B9" s="2057" t="s">
        <v>3052</v>
      </c>
      <c r="C9" s="2058"/>
      <c r="D9" s="3421"/>
      <c r="E9" s="2057"/>
      <c r="F9" s="2059"/>
      <c r="G9" s="2060"/>
      <c r="H9" s="2060"/>
      <c r="I9" s="2060"/>
      <c r="J9" s="2043"/>
      <c r="K9" s="2052"/>
      <c r="L9" s="2029"/>
      <c r="M9" s="2029"/>
      <c r="N9" s="2030"/>
      <c r="O9" s="2031"/>
      <c r="P9" s="2030"/>
      <c r="Q9" s="2030"/>
      <c r="R9" s="2030"/>
    </row>
    <row r="10" spans="1:19" ht="18" customHeight="1" thickTop="1">
      <c r="A10" s="2061" t="s">
        <v>1787</v>
      </c>
      <c r="B10" s="2062" t="s">
        <v>3053</v>
      </c>
      <c r="C10" s="2063"/>
      <c r="D10" s="2047"/>
      <c r="E10" s="2064" t="s">
        <v>1788</v>
      </c>
      <c r="F10" s="2065" t="s">
        <v>3322</v>
      </c>
      <c r="G10" s="2066"/>
      <c r="H10" s="2067"/>
      <c r="I10" s="2047"/>
      <c r="J10" s="2043"/>
      <c r="K10" s="2052"/>
      <c r="L10" s="2029"/>
      <c r="M10" s="2029"/>
      <c r="N10" s="2030"/>
      <c r="O10" s="2031"/>
      <c r="P10" s="2030"/>
      <c r="Q10" s="2030"/>
      <c r="R10" s="2030"/>
    </row>
    <row r="11" spans="1:19" ht="18" customHeight="1">
      <c r="A11" s="2068" t="s">
        <v>1789</v>
      </c>
      <c r="B11" s="2069" t="s">
        <v>3054</v>
      </c>
      <c r="C11" s="2070"/>
      <c r="D11" s="2071"/>
      <c r="E11" s="2043"/>
      <c r="F11" s="2043"/>
      <c r="G11" s="2043"/>
      <c r="H11" s="2043"/>
      <c r="I11" s="2043"/>
      <c r="J11" s="2043"/>
      <c r="K11" s="2052"/>
      <c r="L11" s="2029"/>
      <c r="M11" s="2029"/>
      <c r="N11" s="2030"/>
      <c r="O11" s="2031"/>
      <c r="P11" s="2030"/>
      <c r="Q11" s="2030"/>
      <c r="R11" s="2030"/>
    </row>
    <row r="12" spans="1:19" ht="18" customHeight="1">
      <c r="A12" s="2072" t="s">
        <v>1790</v>
      </c>
      <c r="B12" s="2069" t="s">
        <v>3055</v>
      </c>
      <c r="C12" s="2073" t="s">
        <v>1791</v>
      </c>
      <c r="D12" s="2074" t="s">
        <v>1792</v>
      </c>
      <c r="E12" s="2074" t="s">
        <v>1793</v>
      </c>
      <c r="F12" s="2074" t="s">
        <v>1794</v>
      </c>
      <c r="G12" s="2074" t="s">
        <v>1795</v>
      </c>
      <c r="H12" s="2074" t="s">
        <v>1796</v>
      </c>
      <c r="I12" s="2074" t="s">
        <v>1797</v>
      </c>
      <c r="J12" s="2043"/>
      <c r="K12" s="2052"/>
      <c r="L12" s="2029"/>
      <c r="M12" s="2029"/>
      <c r="N12" s="2030"/>
      <c r="O12" s="2031"/>
      <c r="P12" s="2030"/>
      <c r="Q12" s="2030"/>
      <c r="R12" s="2030"/>
    </row>
    <row r="13" spans="1:19" ht="18" customHeight="1">
      <c r="A13" s="2075"/>
      <c r="B13" s="2076"/>
      <c r="C13" s="2077" t="s">
        <v>1798</v>
      </c>
      <c r="D13" s="2078"/>
      <c r="E13" s="2078">
        <v>53730</v>
      </c>
      <c r="F13" s="2078">
        <v>57383</v>
      </c>
      <c r="G13" s="2078">
        <v>57383</v>
      </c>
      <c r="H13" s="2078"/>
      <c r="I13" s="1048"/>
      <c r="J13" s="2043"/>
      <c r="K13" s="2052"/>
      <c r="L13" s="2029"/>
      <c r="M13" s="2029"/>
      <c r="N13" s="2030"/>
      <c r="O13" s="2031"/>
      <c r="P13" s="2030"/>
      <c r="Q13" s="2030"/>
      <c r="R13" s="2030"/>
    </row>
    <row r="14" spans="1:19" ht="18" customHeight="1">
      <c r="A14" s="2075"/>
      <c r="B14" s="2076"/>
      <c r="C14" s="2077" t="s">
        <v>1799</v>
      </c>
      <c r="D14" s="1051"/>
      <c r="E14" s="1051">
        <v>40</v>
      </c>
      <c r="F14" s="1051">
        <v>50</v>
      </c>
      <c r="G14" s="1051">
        <v>50</v>
      </c>
      <c r="H14" s="1051"/>
      <c r="I14" s="1051"/>
      <c r="J14" s="2043"/>
      <c r="K14" s="2079"/>
      <c r="L14" s="2029"/>
      <c r="M14" s="2029"/>
      <c r="N14" s="2030"/>
      <c r="O14" s="2031"/>
      <c r="P14" s="2030"/>
      <c r="Q14" s="2030"/>
      <c r="R14" s="2030"/>
    </row>
    <row r="15" spans="1:19" ht="18" customHeight="1">
      <c r="A15" s="2061"/>
      <c r="B15" s="2080"/>
      <c r="C15" s="2077" t="s">
        <v>1800</v>
      </c>
      <c r="D15" s="1050" t="str">
        <f>IF(B12="出让",IF(D13="","",ROUNDDOWN(MIN((D13-$D$3)/365,D14),2)),D14)</f>
        <v/>
      </c>
      <c r="E15" s="1050">
        <f>IF(B12="出让",IF(E13="","",ROUNDDOWN(MIN((E13-$D$3)/365,E14),2)),E14)</f>
        <v>28.14</v>
      </c>
      <c r="F15" s="1050">
        <f>IF(B12="出让",IF(F13="","",ROUNDDOWN(MIN((F13-$D$3)/365,F14),2)),F14)</f>
        <v>38.15</v>
      </c>
      <c r="G15" s="1050">
        <f>IF(B12="出让",IF(G13="","",ROUNDDOWN(MIN((G13-$D$3)/365,G14),2)),G14)</f>
        <v>38.15</v>
      </c>
      <c r="H15" s="1050" t="str">
        <f>IF(B12="出让",IF(H13="","",ROUNDDOWN(MIN((H13-$D$3)/365,H14),2)),H14)</f>
        <v/>
      </c>
      <c r="I15" s="1050" t="str">
        <f>IF(B12="出让",IF(I13="","",ROUNDDOWN(MIN((I13-$D$3)/365,I14),2)),I14)</f>
        <v/>
      </c>
      <c r="J15" s="2043"/>
      <c r="K15" s="2081"/>
      <c r="L15" s="2082"/>
      <c r="M15" s="2082"/>
      <c r="N15" s="2083"/>
      <c r="O15" s="2082"/>
      <c r="P15" s="2083"/>
      <c r="Q15" s="2030"/>
      <c r="R15" s="2030"/>
    </row>
    <row r="16" spans="1:19" ht="30.75" customHeight="1">
      <c r="A16" s="2064" t="s">
        <v>1801</v>
      </c>
      <c r="B16" s="3427" t="s">
        <v>3323</v>
      </c>
      <c r="C16" s="3428"/>
      <c r="D16" s="3429"/>
      <c r="E16" s="2084" t="s">
        <v>1802</v>
      </c>
      <c r="F16" s="3430"/>
      <c r="G16" s="3431"/>
      <c r="H16" s="3431"/>
      <c r="I16" s="3432"/>
      <c r="J16" s="2030"/>
      <c r="K16" s="2081"/>
      <c r="L16" s="2082"/>
      <c r="M16" s="2082"/>
      <c r="N16" s="2083"/>
      <c r="O16" s="2082"/>
      <c r="P16" s="2083"/>
      <c r="Q16" s="2030"/>
      <c r="R16" s="2030"/>
    </row>
    <row r="17" spans="1:22" ht="18" customHeight="1">
      <c r="A17" s="2085" t="s">
        <v>1803</v>
      </c>
      <c r="B17" s="2036" t="s">
        <v>1804</v>
      </c>
      <c r="C17" s="1055">
        <f>'数据-汇总表'!E3</f>
        <v>50120.32</v>
      </c>
      <c r="D17" s="2086" t="s">
        <v>1805</v>
      </c>
      <c r="E17" s="3433" t="s">
        <v>3319</v>
      </c>
      <c r="F17" s="3434"/>
      <c r="G17" s="3434"/>
      <c r="H17" s="3434"/>
      <c r="I17" s="3435"/>
      <c r="J17" s="2030"/>
      <c r="K17" s="2087"/>
      <c r="L17" s="2082"/>
      <c r="M17" s="2082"/>
      <c r="N17" s="2083"/>
      <c r="O17" s="2082"/>
      <c r="P17" s="2083"/>
      <c r="Q17" s="2030"/>
      <c r="R17" s="2030"/>
      <c r="S17" s="2030"/>
      <c r="T17" s="2030"/>
      <c r="U17" s="2030"/>
      <c r="V17" s="2030"/>
    </row>
    <row r="18" spans="1:22" ht="36" customHeight="1" thickBot="1">
      <c r="A18" s="2088" t="s">
        <v>70</v>
      </c>
      <c r="B18" s="2039" t="s">
        <v>1806</v>
      </c>
      <c r="C18" s="1445">
        <f>'数据-汇总表'!D3</f>
        <v>5235.2</v>
      </c>
      <c r="D18" s="2089" t="s">
        <v>1805</v>
      </c>
      <c r="E18" s="3436" t="s">
        <v>3320</v>
      </c>
      <c r="F18" s="3437"/>
      <c r="G18" s="3437"/>
      <c r="H18" s="3437"/>
      <c r="I18" s="3438"/>
      <c r="J18" s="2030"/>
      <c r="K18" s="2087"/>
      <c r="L18" s="2082"/>
      <c r="M18" s="2082"/>
      <c r="N18" s="2083"/>
      <c r="O18" s="2082"/>
      <c r="P18" s="2083"/>
      <c r="Q18" s="2030"/>
      <c r="R18" s="2030"/>
      <c r="S18" s="2030"/>
      <c r="T18" s="2030"/>
      <c r="U18" s="2030"/>
      <c r="V18" s="2030"/>
    </row>
    <row r="19" spans="1:22" ht="37.5" customHeight="1" thickTop="1" thickBot="1">
      <c r="A19" s="373" t="s">
        <v>1807</v>
      </c>
      <c r="B19" s="352" t="s">
        <v>1808</v>
      </c>
      <c r="C19" s="2090" t="s">
        <v>3046</v>
      </c>
      <c r="D19" s="2091" t="s">
        <v>1809</v>
      </c>
      <c r="E19" s="2092"/>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1810</v>
      </c>
      <c r="B20" s="3423" t="s">
        <v>1811</v>
      </c>
      <c r="C20" s="3424"/>
      <c r="D20" s="3425" t="s">
        <v>1812</v>
      </c>
      <c r="E20" s="3426"/>
      <c r="F20" s="2096" t="s">
        <v>1813</v>
      </c>
      <c r="G20" s="2043"/>
      <c r="H20" s="2043"/>
      <c r="I20" s="2043"/>
      <c r="J20" s="2043"/>
      <c r="K20" s="3422"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9"/>
      <c r="N20" s="2083"/>
      <c r="O20" s="2082"/>
      <c r="P20" s="2083"/>
      <c r="Q20" s="2030"/>
      <c r="R20" s="2030"/>
      <c r="S20" s="2030"/>
      <c r="T20" s="2030"/>
      <c r="U20" s="2030"/>
      <c r="V20" s="2030"/>
    </row>
    <row r="21" spans="1:22" ht="24.75" customHeight="1">
      <c r="A21" s="2095"/>
      <c r="B21" s="2097" t="s">
        <v>1815</v>
      </c>
      <c r="C21" s="2098" t="s">
        <v>3321</v>
      </c>
      <c r="D21" s="2099" t="s">
        <v>1817</v>
      </c>
      <c r="E21" s="2100" t="s">
        <v>1816</v>
      </c>
      <c r="F21" s="2101"/>
      <c r="G21" s="2043"/>
      <c r="H21" s="2043"/>
      <c r="I21" s="2043"/>
      <c r="J21" s="2043"/>
      <c r="K21" s="34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1818</v>
      </c>
      <c r="C22" s="2098" t="s">
        <v>3321</v>
      </c>
      <c r="D22" s="2027"/>
      <c r="E22" s="2027"/>
      <c r="F22" s="2103"/>
      <c r="G22" s="2043"/>
      <c r="H22" s="2043"/>
      <c r="I22" s="2043"/>
      <c r="J22" s="2043"/>
      <c r="K22" s="34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1819</v>
      </c>
      <c r="B23" s="183" t="s">
        <v>1820</v>
      </c>
      <c r="C23" s="2105">
        <v>42367</v>
      </c>
      <c r="D23" s="2106" t="s">
        <v>1820</v>
      </c>
      <c r="E23" s="2107"/>
      <c r="F23" s="2103"/>
      <c r="G23" s="2043"/>
      <c r="H23" s="2043"/>
      <c r="I23" s="2043"/>
      <c r="J23" s="2043"/>
      <c r="K23" s="2108"/>
      <c r="L23" s="748"/>
      <c r="M23" s="2029"/>
      <c r="N23" s="2083"/>
      <c r="O23" s="2082"/>
      <c r="P23" s="2083"/>
      <c r="Q23" s="2030"/>
      <c r="R23" s="2030"/>
      <c r="S23" s="2030"/>
      <c r="T23" s="2030"/>
      <c r="U23" s="2030"/>
      <c r="V23" s="2030"/>
    </row>
    <row r="24" spans="1:22" ht="18" customHeight="1">
      <c r="A24" s="2109"/>
      <c r="B24" s="183" t="s">
        <v>1821</v>
      </c>
      <c r="C24" s="2110"/>
      <c r="D24" s="2104" t="s">
        <v>1821</v>
      </c>
      <c r="E24" s="2111"/>
      <c r="F24" s="2103"/>
      <c r="G24" s="2043"/>
      <c r="H24" s="2043"/>
      <c r="I24" s="2043"/>
      <c r="J24" s="2043"/>
      <c r="K24" s="2108"/>
      <c r="L24" s="748"/>
      <c r="M24" s="2029"/>
      <c r="N24" s="2083"/>
      <c r="O24" s="2082"/>
      <c r="P24" s="2083"/>
      <c r="Q24" s="2030"/>
      <c r="R24" s="2030"/>
      <c r="S24" s="2030"/>
      <c r="T24" s="2030"/>
      <c r="U24" s="2030"/>
      <c r="V24" s="2030"/>
    </row>
    <row r="25" spans="1:22" ht="18" customHeight="1">
      <c r="A25" s="2109"/>
      <c r="B25" s="183" t="s">
        <v>1822</v>
      </c>
      <c r="C25" s="2110"/>
      <c r="D25" s="2104" t="s">
        <v>1822</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1823</v>
      </c>
      <c r="C26" s="2114"/>
      <c r="D26" s="2115" t="s">
        <v>1824</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440" t="s">
        <v>1825</v>
      </c>
      <c r="B27" s="2061" t="s">
        <v>1826</v>
      </c>
      <c r="C27" s="2118"/>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440"/>
      <c r="B28" s="2036" t="s">
        <v>1827</v>
      </c>
      <c r="C28" s="2120"/>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440"/>
      <c r="B29" s="2036" t="s">
        <v>1828</v>
      </c>
      <c r="C29" s="2123"/>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441"/>
      <c r="B30" s="2036" t="s">
        <v>1829</v>
      </c>
      <c r="C30" s="3442"/>
      <c r="D30" s="3443"/>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444" t="s">
        <v>1830</v>
      </c>
      <c r="B31" s="2125"/>
      <c r="C31" s="2126" t="str">
        <f>IF(B31="现房","成新及维护状况正常否",IF(B31="在建","工程状态是否正常",IF(B31="土地","是否闲置","-")))</f>
        <v>-</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445"/>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445"/>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1831</v>
      </c>
      <c r="B34" s="2132" t="s">
        <v>3056</v>
      </c>
      <c r="C34" s="2132" t="s">
        <v>3057</v>
      </c>
      <c r="D34" s="2132" t="s">
        <v>3058</v>
      </c>
      <c r="E34" s="2132" t="s">
        <v>3059</v>
      </c>
      <c r="F34" s="2132" t="s">
        <v>3060</v>
      </c>
      <c r="G34" s="2132" t="s">
        <v>3061</v>
      </c>
      <c r="H34" s="2132"/>
      <c r="I34" s="2043"/>
      <c r="J34" s="2043"/>
      <c r="K34" s="1796">
        <f>COUNTIF(B34:H34,"——")</f>
        <v>0</v>
      </c>
      <c r="L34" s="2073" t="s">
        <v>1832</v>
      </c>
      <c r="M34" s="2073" t="s">
        <v>1833</v>
      </c>
      <c r="N34" s="2073" t="s">
        <v>1834</v>
      </c>
      <c r="O34" s="2073" t="s">
        <v>1835</v>
      </c>
      <c r="P34" s="2073" t="s">
        <v>1836</v>
      </c>
      <c r="Q34" s="2073" t="s">
        <v>1837</v>
      </c>
      <c r="R34" s="2073" t="s">
        <v>1838</v>
      </c>
      <c r="S34" s="3439" t="s">
        <v>1839</v>
      </c>
      <c r="T34" s="2133" t="str">
        <f>NUMBERSTRING(7-K34,1)&amp;"通"</f>
        <v>七通</v>
      </c>
      <c r="U34" s="2030"/>
      <c r="V34" s="2030"/>
    </row>
    <row r="35" spans="1:22" ht="18" customHeight="1">
      <c r="A35" s="2134"/>
      <c r="B35" s="3446" t="s">
        <v>1840</v>
      </c>
      <c r="C35" s="3446"/>
      <c r="D35" s="3446"/>
      <c r="E35" s="3446"/>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39"/>
      <c r="T35" s="48" t="str">
        <f>IF(T34="一通",L35,IF(T34="二通",M35,IF(T34="三通",N35,IF(T34="四通",O35,IF(T34="五通",P35,IF(T34="六通",Q35,R35))))))</f>
        <v>通路、通电、通讯、通上水、通下水、燃气、</v>
      </c>
      <c r="U35" s="2030"/>
      <c r="V35" s="2030"/>
    </row>
    <row r="36" spans="1:22" ht="18" customHeight="1">
      <c r="A36" s="2136"/>
      <c r="B36" s="2135" t="s">
        <v>1841</v>
      </c>
      <c r="C36" s="2135" t="s">
        <v>1842</v>
      </c>
      <c r="D36" s="2135" t="s">
        <v>1843</v>
      </c>
      <c r="E36" s="2135" t="s">
        <v>1844</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1845</v>
      </c>
      <c r="B37" s="2139" t="s">
        <v>269</v>
      </c>
      <c r="C37" s="2139" t="s">
        <v>269</v>
      </c>
      <c r="D37" s="2139"/>
      <c r="E37" s="2139"/>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40" t="s">
        <v>1846</v>
      </c>
      <c r="B38" s="2141" t="s">
        <v>322</v>
      </c>
      <c r="C38" s="2141" t="s">
        <v>353</v>
      </c>
      <c r="D38" s="2141"/>
      <c r="E38" s="2141"/>
      <c r="F38" s="2142"/>
      <c r="G38" s="2060"/>
      <c r="H38" s="2060"/>
      <c r="I38" s="2060"/>
      <c r="J38" s="2043"/>
      <c r="K38" s="2052"/>
      <c r="L38" s="2029"/>
      <c r="M38" s="2029"/>
      <c r="N38" s="2030"/>
      <c r="O38" s="2031"/>
      <c r="P38" s="2030"/>
      <c r="Q38" s="2030"/>
      <c r="R38" s="2030"/>
      <c r="S38" s="2030"/>
      <c r="T38" s="2030"/>
      <c r="U38" s="2030"/>
      <c r="V38" s="2030"/>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6"/>
      <c r="L40" s="2082"/>
      <c r="M40" s="2082"/>
      <c r="N40" s="2083"/>
      <c r="O40" s="2082"/>
      <c r="P40" s="2030"/>
      <c r="Q40" s="2030"/>
      <c r="R40" s="2030"/>
      <c r="S40" s="2030"/>
      <c r="T40" s="2030"/>
      <c r="U40" s="2030"/>
      <c r="V40" s="2030"/>
    </row>
    <row r="41" spans="1:22" ht="18" customHeight="1">
      <c r="A41" s="8" t="s">
        <v>1848</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1849</v>
      </c>
      <c r="B42" s="1796" t="s">
        <v>1850</v>
      </c>
      <c r="C42" s="1796" t="s">
        <v>1851</v>
      </c>
      <c r="D42" s="1796" t="s">
        <v>1852</v>
      </c>
      <c r="E42" s="1796" t="s">
        <v>1853</v>
      </c>
      <c r="F42" s="1796" t="s">
        <v>1854</v>
      </c>
      <c r="G42" s="1796" t="s">
        <v>1855</v>
      </c>
      <c r="H42" s="1796" t="s">
        <v>1856</v>
      </c>
      <c r="I42" s="1796" t="s">
        <v>1857</v>
      </c>
      <c r="J42" s="2151" t="s">
        <v>1858</v>
      </c>
      <c r="K42" s="2074" t="s">
        <v>1859</v>
      </c>
      <c r="L42" s="2074" t="s">
        <v>1860</v>
      </c>
      <c r="M42" s="2074" t="s">
        <v>1861</v>
      </c>
      <c r="N42" s="1796" t="s">
        <v>1862</v>
      </c>
      <c r="O42" s="1796" t="s">
        <v>1863</v>
      </c>
      <c r="P42" s="1796" t="s">
        <v>1864</v>
      </c>
      <c r="Q42" s="2073" t="s">
        <v>1865</v>
      </c>
      <c r="R42" s="2073" t="s">
        <v>1866</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72" sqref="D72"/>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hidden="1" customWidth="1"/>
    <col min="18" max="18" width="9.21875" style="2158" hidden="1" customWidth="1"/>
    <col min="19" max="19" width="10.88671875" style="2158" hidden="1"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v>5235.2</v>
      </c>
      <c r="B3" s="14">
        <f>IF(C3="否",G5-AT5,G5)</f>
        <v>50120.32</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1876</v>
      </c>
      <c r="B5" s="1804"/>
      <c r="C5" s="1804"/>
      <c r="D5" s="1807"/>
      <c r="E5" s="16" t="s">
        <v>1</v>
      </c>
      <c r="F5" s="16">
        <f>SUM(F13:F587)</f>
        <v>0</v>
      </c>
      <c r="G5" s="16">
        <f>SUM(G13:G587)</f>
        <v>50120.32</v>
      </c>
      <c r="H5" s="16">
        <f t="shared" ref="H5:AT5" si="0">SUM(H13:H656)</f>
        <v>49447.659999999996</v>
      </c>
      <c r="I5" s="16">
        <f t="shared" si="0"/>
        <v>6074.74</v>
      </c>
      <c r="J5" s="16">
        <f t="shared" si="0"/>
        <v>0</v>
      </c>
      <c r="K5" s="16">
        <f t="shared" si="0"/>
        <v>16984.89</v>
      </c>
      <c r="L5" s="16">
        <f t="shared" si="0"/>
        <v>0</v>
      </c>
      <c r="M5" s="16">
        <f t="shared" si="0"/>
        <v>22273.279999999999</v>
      </c>
      <c r="N5" s="16">
        <f t="shared" si="0"/>
        <v>0</v>
      </c>
      <c r="O5" s="16">
        <f t="shared" si="0"/>
        <v>4114.75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672.66000000000008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672.66000000000008</v>
      </c>
      <c r="AO5" s="16">
        <f t="shared" si="0"/>
        <v>0</v>
      </c>
      <c r="AP5" s="16">
        <f t="shared" si="0"/>
        <v>0</v>
      </c>
      <c r="AQ5" s="16">
        <f t="shared" si="0"/>
        <v>0</v>
      </c>
      <c r="AR5" s="16">
        <f t="shared" si="0"/>
        <v>0</v>
      </c>
      <c r="AS5" s="16">
        <f t="shared" si="0"/>
        <v>0</v>
      </c>
      <c r="AT5" s="16">
        <f t="shared" si="0"/>
        <v>0</v>
      </c>
      <c r="AU5" s="1803"/>
      <c r="AV5" s="15" t="s">
        <v>1876</v>
      </c>
      <c r="AW5" s="1804"/>
      <c r="AX5" s="1804"/>
      <c r="AY5" s="17" t="s">
        <v>3</v>
      </c>
      <c r="AZ5" s="18">
        <f t="shared" ref="AZ5:BT5" si="1">SUM(AZ13:AZ656)</f>
        <v>50120.32</v>
      </c>
      <c r="BA5" s="18">
        <f t="shared" si="1"/>
        <v>49447.659999999996</v>
      </c>
      <c r="BB5" s="18">
        <f t="shared" si="1"/>
        <v>6074.74</v>
      </c>
      <c r="BC5" s="18">
        <f t="shared" si="1"/>
        <v>16984.89</v>
      </c>
      <c r="BD5" s="18">
        <f t="shared" si="1"/>
        <v>22273.279999999999</v>
      </c>
      <c r="BE5" s="18">
        <f t="shared" si="1"/>
        <v>4114.75</v>
      </c>
      <c r="BF5" s="18">
        <f t="shared" si="1"/>
        <v>0</v>
      </c>
      <c r="BG5" s="18">
        <f t="shared" si="1"/>
        <v>0</v>
      </c>
      <c r="BH5" s="18">
        <f t="shared" si="1"/>
        <v>0</v>
      </c>
      <c r="BI5" s="18">
        <f t="shared" si="1"/>
        <v>0</v>
      </c>
      <c r="BJ5" s="18">
        <f t="shared" si="1"/>
        <v>0</v>
      </c>
      <c r="BK5" s="18">
        <f t="shared" si="1"/>
        <v>0</v>
      </c>
      <c r="BL5" s="18">
        <f t="shared" si="1"/>
        <v>672.66000000000008</v>
      </c>
      <c r="BM5" s="18">
        <f t="shared" si="1"/>
        <v>0</v>
      </c>
      <c r="BN5" s="18">
        <f t="shared" si="1"/>
        <v>0</v>
      </c>
      <c r="BO5" s="18">
        <f t="shared" si="1"/>
        <v>0</v>
      </c>
      <c r="BP5" s="18">
        <f t="shared" si="1"/>
        <v>0</v>
      </c>
      <c r="BQ5" s="18">
        <f t="shared" si="1"/>
        <v>0</v>
      </c>
      <c r="BR5" s="18">
        <f t="shared" si="1"/>
        <v>672.66000000000008</v>
      </c>
      <c r="BS5" s="18">
        <f t="shared" si="1"/>
        <v>0</v>
      </c>
      <c r="BT5" s="19">
        <f t="shared" si="1"/>
        <v>0</v>
      </c>
    </row>
    <row r="6" spans="1:72" s="2176" customFormat="1" ht="13.2">
      <c r="A6" s="15" t="s">
        <v>1877</v>
      </c>
      <c r="B6" s="2173"/>
      <c r="C6" s="2173"/>
      <c r="D6" s="2174"/>
      <c r="E6" s="16">
        <f>H6+AC6+AT6</f>
        <v>5235.2</v>
      </c>
      <c r="F6" s="16" t="s">
        <v>1</v>
      </c>
      <c r="G6" s="16" t="s">
        <v>2</v>
      </c>
      <c r="H6" s="20">
        <f>SUMIF(I$12:AB$12,"总值",I6:AB6)</f>
        <v>5164.9399999999996</v>
      </c>
      <c r="I6" s="16">
        <f t="shared" ref="I6:AB6" si="2">ROUND($A$3*I5/$B$3,2)</f>
        <v>634.52</v>
      </c>
      <c r="J6" s="16">
        <f t="shared" si="2"/>
        <v>0</v>
      </c>
      <c r="K6" s="16">
        <f t="shared" si="2"/>
        <v>1774.12</v>
      </c>
      <c r="L6" s="16">
        <f t="shared" si="2"/>
        <v>0</v>
      </c>
      <c r="M6" s="16">
        <f t="shared" si="2"/>
        <v>2326.5</v>
      </c>
      <c r="N6" s="16">
        <f t="shared" si="2"/>
        <v>0</v>
      </c>
      <c r="O6" s="16">
        <f t="shared" si="2"/>
        <v>429.8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70.260000000000005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70.260000000000005</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5235.2</v>
      </c>
      <c r="AZ6" s="16" t="s">
        <v>3</v>
      </c>
      <c r="BA6" s="16">
        <f>ROUND($AY$6*BA5/$AZ$5,2)</f>
        <v>5164.9399999999996</v>
      </c>
      <c r="BB6" s="16">
        <f>ROUND($AY$6*BB5/$AZ$5,2)</f>
        <v>634.52</v>
      </c>
      <c r="BC6" s="16">
        <f t="shared" ref="BC6:BH6" si="4">ROUND($AY$6*BC5/$AZ$5,2)</f>
        <v>1774.12</v>
      </c>
      <c r="BD6" s="16">
        <f t="shared" si="4"/>
        <v>2326.5</v>
      </c>
      <c r="BE6" s="16">
        <f t="shared" si="4"/>
        <v>429.8</v>
      </c>
      <c r="BF6" s="16">
        <f t="shared" si="4"/>
        <v>0</v>
      </c>
      <c r="BG6" s="16">
        <f t="shared" si="4"/>
        <v>0</v>
      </c>
      <c r="BH6" s="16">
        <f t="shared" si="4"/>
        <v>0</v>
      </c>
      <c r="BI6" s="16">
        <f t="shared" ref="BI6:BT6" si="5">ROUND($AY$6*BI5/$AZ$5,2)</f>
        <v>0</v>
      </c>
      <c r="BJ6" s="16">
        <f t="shared" si="5"/>
        <v>0</v>
      </c>
      <c r="BK6" s="16">
        <f t="shared" si="5"/>
        <v>0</v>
      </c>
      <c r="BL6" s="16">
        <f t="shared" si="5"/>
        <v>70.260000000000005</v>
      </c>
      <c r="BM6" s="16">
        <f t="shared" si="5"/>
        <v>0</v>
      </c>
      <c r="BN6" s="16">
        <f t="shared" si="5"/>
        <v>0</v>
      </c>
      <c r="BO6" s="16">
        <f t="shared" si="5"/>
        <v>0</v>
      </c>
      <c r="BP6" s="16">
        <f t="shared" si="5"/>
        <v>0</v>
      </c>
      <c r="BQ6" s="16">
        <f t="shared" si="5"/>
        <v>0</v>
      </c>
      <c r="BR6" s="16">
        <f t="shared" si="5"/>
        <v>70.260000000000005</v>
      </c>
      <c r="BS6" s="16">
        <f t="shared" si="5"/>
        <v>0</v>
      </c>
      <c r="BT6" s="22">
        <f t="shared" si="5"/>
        <v>0</v>
      </c>
    </row>
    <row r="7" spans="1:72" s="2166" customFormat="1" ht="25.2">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1885</v>
      </c>
      <c r="AV7" s="23" t="s">
        <v>1886</v>
      </c>
      <c r="AW7" s="2165" t="s">
        <v>1887</v>
      </c>
      <c r="AX7" s="23" t="s">
        <v>1880</v>
      </c>
      <c r="AY7" s="1804"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9"/>
      <c r="K8" s="1819"/>
      <c r="L8" s="1819"/>
      <c r="M8" s="1819"/>
      <c r="N8" s="1819"/>
      <c r="O8" s="1819"/>
      <c r="P8" s="1819"/>
      <c r="Q8" s="1819"/>
      <c r="R8" s="1819"/>
      <c r="S8" s="1819"/>
      <c r="T8" s="1819"/>
      <c r="U8" s="1819"/>
      <c r="V8" s="2185"/>
      <c r="W8" s="1819"/>
      <c r="X8" s="1819"/>
      <c r="Y8" s="1819"/>
      <c r="Z8" s="1819"/>
      <c r="AA8" s="2185"/>
      <c r="AB8" s="2186"/>
      <c r="AC8" s="982" t="s">
        <v>1891</v>
      </c>
      <c r="AD8" s="2187"/>
      <c r="AE8" s="2179"/>
      <c r="AF8" s="1819"/>
      <c r="AG8" s="1819"/>
      <c r="AH8" s="1819"/>
      <c r="AI8" s="1819"/>
      <c r="AJ8" s="1819"/>
      <c r="AK8" s="1819"/>
      <c r="AL8" s="1819"/>
      <c r="AM8" s="1819"/>
      <c r="AN8" s="1819"/>
      <c r="AO8" s="1819"/>
      <c r="AP8" s="1819"/>
      <c r="AQ8" s="1819"/>
      <c r="AR8" s="1819"/>
      <c r="AS8" s="1819"/>
      <c r="AT8" s="1293" t="s">
        <v>1892</v>
      </c>
      <c r="AU8" s="2181" t="s">
        <v>1893</v>
      </c>
      <c r="AV8" s="1293"/>
      <c r="AW8" s="2164"/>
      <c r="AX8" s="1293"/>
      <c r="AY8" s="2165"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3.2">
      <c r="A9" s="2181"/>
      <c r="B9" s="2181"/>
      <c r="C9" s="2181"/>
      <c r="D9" s="2181"/>
      <c r="E9" s="2181"/>
      <c r="F9" s="2181"/>
      <c r="G9" s="1293"/>
      <c r="H9" s="2189" t="s">
        <v>1896</v>
      </c>
      <c r="I9" s="2190" t="s">
        <v>3047</v>
      </c>
      <c r="J9" s="982"/>
      <c r="K9" s="2190" t="s">
        <v>3049</v>
      </c>
      <c r="L9" s="982"/>
      <c r="M9" s="2190" t="s">
        <v>3049</v>
      </c>
      <c r="N9" s="982"/>
      <c r="O9" s="2190" t="s">
        <v>3047</v>
      </c>
      <c r="P9" s="982"/>
      <c r="Q9" s="2190"/>
      <c r="R9" s="982"/>
      <c r="S9" s="2190"/>
      <c r="T9" s="982"/>
      <c r="U9" s="2190"/>
      <c r="V9" s="982"/>
      <c r="W9" s="2190"/>
      <c r="X9" s="2191"/>
      <c r="Y9" s="2190"/>
      <c r="Z9" s="982"/>
      <c r="AA9" s="2190"/>
      <c r="AB9" s="982"/>
      <c r="AC9" s="2182"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2"/>
      <c r="AT9" s="2181"/>
      <c r="AU9" s="2181" t="s">
        <v>1899</v>
      </c>
      <c r="AV9" s="1293"/>
      <c r="AW9" s="2164"/>
      <c r="AX9" s="1293"/>
      <c r="AY9" s="28"/>
      <c r="AZ9" s="28" t="s">
        <v>1889</v>
      </c>
      <c r="BA9" s="2193" t="s">
        <v>1900</v>
      </c>
      <c r="BB9" s="2194"/>
      <c r="BC9" s="1339"/>
      <c r="BD9" s="1339"/>
      <c r="BE9" s="1339"/>
      <c r="BF9" s="1339"/>
      <c r="BG9" s="1339"/>
      <c r="BH9" s="1339"/>
      <c r="BI9" s="1339"/>
      <c r="BJ9" s="1339"/>
      <c r="BK9" s="2195"/>
      <c r="BL9" s="15" t="s">
        <v>1901</v>
      </c>
      <c r="BM9" s="1819"/>
      <c r="BN9" s="2184"/>
      <c r="BO9" s="1819"/>
      <c r="BP9" s="1819"/>
      <c r="BQ9" s="1819"/>
      <c r="BR9" s="1819"/>
      <c r="BS9" s="1819"/>
      <c r="BT9" s="26"/>
    </row>
    <row r="10" spans="1:72" s="2188" customFormat="1" ht="13.2">
      <c r="A10" s="2181"/>
      <c r="B10" s="2181"/>
      <c r="C10" s="2181"/>
      <c r="D10" s="2181"/>
      <c r="E10" s="2181"/>
      <c r="F10" s="2181"/>
      <c r="G10" s="1293"/>
      <c r="H10" s="28"/>
      <c r="I10" s="2190" t="s">
        <v>3048</v>
      </c>
      <c r="J10" s="982"/>
      <c r="K10" s="2196" t="s">
        <v>1377</v>
      </c>
      <c r="L10" s="982"/>
      <c r="M10" s="2196" t="s">
        <v>27</v>
      </c>
      <c r="N10" s="982"/>
      <c r="O10" s="2196" t="s">
        <v>1377</v>
      </c>
      <c r="P10" s="982"/>
      <c r="Q10" s="2196"/>
      <c r="R10" s="982"/>
      <c r="S10" s="2196"/>
      <c r="T10" s="982"/>
      <c r="U10" s="2196"/>
      <c r="V10" s="982"/>
      <c r="W10" s="2196"/>
      <c r="X10" s="982"/>
      <c r="Y10" s="2196"/>
      <c r="Z10" s="982"/>
      <c r="AA10" s="2196"/>
      <c r="AB10" s="982"/>
      <c r="AC10" s="1293"/>
      <c r="AD10" s="15" t="s">
        <v>1902</v>
      </c>
      <c r="AE10" s="2197"/>
      <c r="AF10" s="15" t="s">
        <v>1902</v>
      </c>
      <c r="AG10" s="2197"/>
      <c r="AH10" s="15" t="s">
        <v>1903</v>
      </c>
      <c r="AI10" s="2197"/>
      <c r="AJ10" s="15" t="s">
        <v>1903</v>
      </c>
      <c r="AK10" s="2197"/>
      <c r="AL10" s="15" t="s">
        <v>1904</v>
      </c>
      <c r="AM10" s="1299"/>
      <c r="AN10" s="15" t="s">
        <v>1904</v>
      </c>
      <c r="AO10" s="1299"/>
      <c r="AP10" s="15" t="s">
        <v>1905</v>
      </c>
      <c r="AQ10" s="1299"/>
      <c r="AR10" s="15" t="s">
        <v>1905</v>
      </c>
      <c r="AS10" s="1299"/>
      <c r="AT10" s="2181"/>
      <c r="AU10" s="2181"/>
      <c r="AV10" s="1293"/>
      <c r="AW10" s="2164"/>
      <c r="AX10" s="1293"/>
      <c r="AY10" s="28"/>
      <c r="AZ10" s="28"/>
      <c r="BA10" s="2198" t="s">
        <v>1896</v>
      </c>
      <c r="BB10" s="2199" t="str">
        <f>I9</f>
        <v>地下</v>
      </c>
      <c r="BC10" s="29" t="str">
        <f>K9</f>
        <v>地上</v>
      </c>
      <c r="BD10" s="29" t="str">
        <f>M9</f>
        <v>地上</v>
      </c>
      <c r="BE10" s="29" t="str">
        <f>O9</f>
        <v>地下</v>
      </c>
      <c r="BF10" s="29">
        <f>Q9</f>
        <v>0</v>
      </c>
      <c r="BG10" s="29">
        <f>S9</f>
        <v>0</v>
      </c>
      <c r="BH10" s="29">
        <f>U9</f>
        <v>0</v>
      </c>
      <c r="BI10" s="29">
        <f>W9</f>
        <v>0</v>
      </c>
      <c r="BJ10" s="29">
        <f>Y9</f>
        <v>0</v>
      </c>
      <c r="BK10" s="29">
        <f>AA9</f>
        <v>0</v>
      </c>
      <c r="BL10" s="25" t="s">
        <v>1896</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3.2">
      <c r="A11" s="2181"/>
      <c r="B11" s="2181"/>
      <c r="C11" s="2181"/>
      <c r="D11" s="2181"/>
      <c r="E11" s="2181"/>
      <c r="F11" s="2181"/>
      <c r="G11" s="1293"/>
      <c r="H11" s="2198"/>
      <c r="I11" s="2201"/>
      <c r="J11" s="2202"/>
      <c r="K11" s="2201" t="s">
        <v>3050</v>
      </c>
      <c r="L11" s="2202"/>
      <c r="M11" s="2201"/>
      <c r="N11" s="2202"/>
      <c r="O11" s="2201"/>
      <c r="P11" s="2202"/>
      <c r="Q11" s="2201"/>
      <c r="R11" s="2202"/>
      <c r="S11" s="2201"/>
      <c r="T11" s="2202"/>
      <c r="U11" s="2201"/>
      <c r="V11" s="2202"/>
      <c r="W11" s="2201"/>
      <c r="X11" s="2202"/>
      <c r="Y11" s="2201"/>
      <c r="Z11" s="2202"/>
      <c r="AA11" s="2201"/>
      <c r="AB11" s="2202"/>
      <c r="AC11" s="1293"/>
      <c r="AD11" s="2203" t="s">
        <v>1906</v>
      </c>
      <c r="AE11" s="1820"/>
      <c r="AF11" s="2203" t="s">
        <v>1906</v>
      </c>
      <c r="AG11" s="1820"/>
      <c r="AH11" s="2203" t="s">
        <v>1907</v>
      </c>
      <c r="AI11" s="2204"/>
      <c r="AJ11" s="2203" t="s">
        <v>1907</v>
      </c>
      <c r="AK11" s="1820"/>
      <c r="AL11" s="1818"/>
      <c r="AM11" s="1820"/>
      <c r="AN11" s="1818"/>
      <c r="AO11" s="1820"/>
      <c r="AP11" s="1818"/>
      <c r="AQ11" s="1820"/>
      <c r="AR11" s="1818"/>
      <c r="AS11" s="1820"/>
      <c r="AT11" s="2164"/>
      <c r="AU11" s="2181"/>
      <c r="AV11" s="1293"/>
      <c r="AW11" s="2164"/>
      <c r="AX11" s="1293"/>
      <c r="AY11" s="28"/>
      <c r="AZ11" s="28"/>
      <c r="BA11" s="28"/>
      <c r="BB11" s="2186" t="str">
        <f>I10</f>
        <v>车库</v>
      </c>
      <c r="BC11" s="2186" t="str">
        <f>K10</f>
        <v>商业</v>
      </c>
      <c r="BD11" s="2186" t="str">
        <f>M10</f>
        <v>办公</v>
      </c>
      <c r="BE11" s="2186" t="str">
        <f>O10</f>
        <v>商业</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08"/>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t="str">
        <f>K11</f>
        <v>酒店</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ht="13.2">
      <c r="A13" s="1273"/>
      <c r="B13" s="1273"/>
      <c r="C13" s="1273">
        <v>-301</v>
      </c>
      <c r="D13" s="2212" t="s">
        <v>3046</v>
      </c>
      <c r="E13" s="16">
        <f>IF($C$3="是",ROUND($A$3*G13/$B$3,2),ROUND($A$3*(G13-AT13)/$B$3,2))</f>
        <v>412.17</v>
      </c>
      <c r="F13" s="32"/>
      <c r="G13" s="33">
        <f>H13+AC13+AT13</f>
        <v>3945.98</v>
      </c>
      <c r="H13" s="20">
        <f>SUMIF(I$12:AB$12,"总值",I13:AB13)</f>
        <v>3945.98</v>
      </c>
      <c r="I13" s="2213">
        <v>3945.98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-301</v>
      </c>
      <c r="AY13" s="1807">
        <f>ROUND($AY$6*AZ13/$AZ$5,2)</f>
        <v>412.17</v>
      </c>
      <c r="AZ13" s="16">
        <f>BA13+BL13</f>
        <v>3945.98</v>
      </c>
      <c r="BA13" s="16">
        <f>SUM(BB13:BK13)</f>
        <v>3945.98</v>
      </c>
      <c r="BB13" s="16">
        <f>IF($D13="是",I13-J13,0)</f>
        <v>3945.98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3"/>
      <c r="B14" s="1273"/>
      <c r="C14" s="1273">
        <v>-302</v>
      </c>
      <c r="D14" s="2212" t="s">
        <v>3046</v>
      </c>
      <c r="E14" s="16">
        <f>IF($C$3="是",ROUND($A$3*G14/$B$3,2),ROUND($A$3*(G14-AT14)/$B$3,2))</f>
        <v>6.07</v>
      </c>
      <c r="F14" s="32"/>
      <c r="G14" s="33">
        <f>H14+AC14+AT14</f>
        <v>58.07</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58.07</v>
      </c>
      <c r="AD14" s="2214"/>
      <c r="AE14" s="2214"/>
      <c r="AF14" s="2214"/>
      <c r="AG14" s="2214"/>
      <c r="AH14" s="2214"/>
      <c r="AI14" s="2214"/>
      <c r="AJ14" s="2214"/>
      <c r="AK14" s="2214"/>
      <c r="AL14" s="2214"/>
      <c r="AM14" s="2214"/>
      <c r="AN14" s="2214">
        <v>58.07</v>
      </c>
      <c r="AO14" s="2214"/>
      <c r="AP14" s="2214"/>
      <c r="AQ14" s="2214"/>
      <c r="AR14" s="2214"/>
      <c r="AS14" s="2214"/>
      <c r="AT14" s="2215"/>
      <c r="AU14" s="2216"/>
      <c r="AV14" s="11">
        <f t="shared" si="6"/>
        <v>0</v>
      </c>
      <c r="AW14" s="11">
        <f t="shared" si="6"/>
        <v>0</v>
      </c>
      <c r="AX14" s="11">
        <f t="shared" si="6"/>
        <v>-302</v>
      </c>
      <c r="AY14" s="1807">
        <f>ROUND($AY$6*AZ14/$AZ$5,2)</f>
        <v>6.07</v>
      </c>
      <c r="AZ14" s="16">
        <f>BA14+BL14</f>
        <v>58.07</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58.07</v>
      </c>
      <c r="BM14" s="16">
        <f>IF($D14="是",AD14-AE14,0)</f>
        <v>0</v>
      </c>
      <c r="BN14" s="16">
        <f>IF($D14="是",AF14-AG14,0)</f>
        <v>0</v>
      </c>
      <c r="BO14" s="16">
        <f>IF($D14="是",AH14-AI14,0)</f>
        <v>0</v>
      </c>
      <c r="BP14" s="16">
        <f>IF($D14="是",AJ14-AK14,0)</f>
        <v>0</v>
      </c>
      <c r="BQ14" s="16">
        <f>IF($D14="是",AL14-AM14,0)</f>
        <v>0</v>
      </c>
      <c r="BR14" s="16">
        <f>IF($D14="是",AN14-AO14,0)</f>
        <v>58.07</v>
      </c>
      <c r="BS14" s="16">
        <f>IF($D14="是",AP14-AQ14,0)</f>
        <v>0</v>
      </c>
      <c r="BT14" s="22">
        <f>IF($D14="是",AR14-AS14,0)</f>
        <v>0</v>
      </c>
    </row>
    <row r="15" spans="1:72" s="2166" customFormat="1" ht="13.2">
      <c r="A15" s="1273"/>
      <c r="B15" s="1273"/>
      <c r="C15" s="1273">
        <v>-203</v>
      </c>
      <c r="D15" s="2212" t="s">
        <v>3046</v>
      </c>
      <c r="E15" s="16">
        <f>IF($C$3="是",ROUND($A$3*G15/$B$3,2),ROUND($A$3*(G15-AT15)/$B$3,2))</f>
        <v>64.2</v>
      </c>
      <c r="F15" s="32"/>
      <c r="G15" s="33">
        <f>H15+AC15+AT15</f>
        <v>614.59</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614.59</v>
      </c>
      <c r="AD15" s="2214"/>
      <c r="AE15" s="2214"/>
      <c r="AF15" s="2214"/>
      <c r="AG15" s="2214"/>
      <c r="AH15" s="2214"/>
      <c r="AI15" s="2214"/>
      <c r="AJ15" s="2214"/>
      <c r="AK15" s="2214"/>
      <c r="AL15" s="2214"/>
      <c r="AM15" s="2214"/>
      <c r="AN15" s="2214">
        <v>614.59</v>
      </c>
      <c r="AO15" s="2214"/>
      <c r="AP15" s="2214"/>
      <c r="AQ15" s="2214"/>
      <c r="AR15" s="2214"/>
      <c r="AS15" s="2214"/>
      <c r="AT15" s="2215"/>
      <c r="AU15" s="2216"/>
      <c r="AV15" s="11">
        <f t="shared" si="6"/>
        <v>0</v>
      </c>
      <c r="AW15" s="11">
        <f t="shared" si="6"/>
        <v>0</v>
      </c>
      <c r="AX15" s="11">
        <f t="shared" si="6"/>
        <v>-203</v>
      </c>
      <c r="AY15" s="1807">
        <f>ROUND($AY$6*AZ15/$AZ$5,2)</f>
        <v>64.2</v>
      </c>
      <c r="AZ15" s="16">
        <f>BA15+BL15</f>
        <v>614.59</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614.59</v>
      </c>
      <c r="BM15" s="16">
        <f>IF($D15="是",AD15-AE15,0)</f>
        <v>0</v>
      </c>
      <c r="BN15" s="16">
        <f>IF($D15="是",AF15-AG15,0)</f>
        <v>0</v>
      </c>
      <c r="BO15" s="16">
        <f>IF($D15="是",AH15-AI15,0)</f>
        <v>0</v>
      </c>
      <c r="BP15" s="16">
        <f>IF($D15="是",AJ15-AK15,0)</f>
        <v>0</v>
      </c>
      <c r="BQ15" s="16">
        <f>IF($D15="是",AL15-AM15,0)</f>
        <v>0</v>
      </c>
      <c r="BR15" s="16">
        <f>IF($D15="是",AN15-AO15,0)</f>
        <v>614.59</v>
      </c>
      <c r="BS15" s="16">
        <f>IF($D15="是",AP15-AQ15,0)</f>
        <v>0</v>
      </c>
      <c r="BT15" s="22">
        <f>IF($D15="是",AR15-AS15,0)</f>
        <v>0</v>
      </c>
    </row>
    <row r="16" spans="1:72" s="2166" customFormat="1" ht="13.2">
      <c r="A16" s="1273"/>
      <c r="B16" s="1273"/>
      <c r="C16" s="1273">
        <v>-204</v>
      </c>
      <c r="D16" s="2212" t="s">
        <v>3046</v>
      </c>
      <c r="E16" s="16">
        <f>IF($C$3="是",ROUND($A$3*G16/$B$3,2),ROUND($A$3*(G16-AT16)/$B$3,2))</f>
        <v>222.35</v>
      </c>
      <c r="F16" s="32"/>
      <c r="G16" s="33">
        <f>H16+AC16+AT16</f>
        <v>2128.7600000000002</v>
      </c>
      <c r="H16" s="20">
        <f>SUMIF(I$12:AB$12,"总值",I16:AB16)</f>
        <v>2128.7600000000002</v>
      </c>
      <c r="I16" s="2213">
        <v>2128.7600000000002</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-204</v>
      </c>
      <c r="AY16" s="1807">
        <f>ROUND($AY$6*AZ16/$AZ$5,2)</f>
        <v>222.35</v>
      </c>
      <c r="AZ16" s="16">
        <f>BA16+BL16</f>
        <v>2128.7600000000002</v>
      </c>
      <c r="BA16" s="16">
        <f>SUM(BB16:BK16)</f>
        <v>2128.7600000000002</v>
      </c>
      <c r="BB16" s="16">
        <f>IF($D16="是",I16-J16,0)</f>
        <v>2128.7600000000002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2960" t="s">
        <v>3044</v>
      </c>
      <c r="B17" s="1273">
        <f>ROUND(K17/B3*A3,2)</f>
        <v>1774.12</v>
      </c>
      <c r="C17" s="1273">
        <v>101</v>
      </c>
      <c r="D17" s="2212" t="s">
        <v>3046</v>
      </c>
      <c r="E17" s="16">
        <f>IF($C$3="是",ROUND($A$3*G17/$B$3,2),ROUND($A$3*(G17-AT17)/$B$3,2))</f>
        <v>2203.91</v>
      </c>
      <c r="F17" s="32"/>
      <c r="G17" s="33">
        <f>H17+AC17+AT17</f>
        <v>21099.64</v>
      </c>
      <c r="H17" s="20">
        <f>SUMIF(I$12:AB$12,"总值",I17:AB17)</f>
        <v>21099.64</v>
      </c>
      <c r="I17" s="2213"/>
      <c r="J17" s="2213"/>
      <c r="K17" s="2213">
        <f>21099.64-'数据-基础表'!O17</f>
        <v>16984.89</v>
      </c>
      <c r="L17" s="2213"/>
      <c r="M17" s="2213"/>
      <c r="N17" s="2213"/>
      <c r="O17" s="2213">
        <f>4150.85-36.1</f>
        <v>4114.75</v>
      </c>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t="str">
        <f t="shared" si="6"/>
        <v>商业</v>
      </c>
      <c r="AW17" s="11">
        <f t="shared" si="6"/>
        <v>1774.12</v>
      </c>
      <c r="AX17" s="11">
        <f t="shared" si="6"/>
        <v>101</v>
      </c>
      <c r="AY17" s="1807">
        <f>ROUND($AY$6*AZ17/$AZ$5,2)</f>
        <v>2203.91</v>
      </c>
      <c r="AZ17" s="16">
        <f>BA17+BL17</f>
        <v>21099.64</v>
      </c>
      <c r="BA17" s="16">
        <f>SUM(BB17:BK17)</f>
        <v>21099.64</v>
      </c>
      <c r="BB17" s="16">
        <f>IF($D17="是",I17-J17,0)</f>
        <v>0</v>
      </c>
      <c r="BC17" s="16">
        <f>IF($D17="是",K17-L17,0)</f>
        <v>16984.89</v>
      </c>
      <c r="BD17" s="16">
        <f>IF($D17="是",M17-N17,0)</f>
        <v>0</v>
      </c>
      <c r="BE17" s="16">
        <f>IF($D17="是",O17-P17,0)</f>
        <v>4114.75</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8">
      <c r="A18" s="2961" t="s">
        <v>3045</v>
      </c>
      <c r="B18" s="2962">
        <f>A3-B17</f>
        <v>3461.08</v>
      </c>
      <c r="C18" s="34">
        <v>1101</v>
      </c>
      <c r="D18" s="2212" t="s">
        <v>3046</v>
      </c>
      <c r="E18" s="35">
        <f t="shared" ref="E18:E112" si="7">IF($C$3="是",ROUND($A$3*G18/$B$3,2),ROUND($A$3*(G18-AT18)/$B$3,2))</f>
        <v>52.15</v>
      </c>
      <c r="F18" s="36"/>
      <c r="G18" s="37">
        <f t="shared" ref="G18:G109" si="8">H18+AC18+AT18</f>
        <v>499.28</v>
      </c>
      <c r="H18" s="38">
        <f t="shared" ref="H18:H109" si="9">SUMIF(I$12:AB$12,"总值",I18:AB18)</f>
        <v>499.28</v>
      </c>
      <c r="I18" s="39"/>
      <c r="J18" s="39"/>
      <c r="K18" s="39"/>
      <c r="L18" s="39"/>
      <c r="M18" s="39">
        <v>499.28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t="str">
        <f t="shared" ref="AV18:AV112" si="11">A18</f>
        <v>办公、车库</v>
      </c>
      <c r="AW18" s="1796">
        <f t="shared" ref="AW18:AW112" si="12">B18</f>
        <v>3461.08</v>
      </c>
      <c r="AX18" s="1796">
        <f t="shared" ref="AX18:AX112" si="13">C18</f>
        <v>1101</v>
      </c>
      <c r="AY18" s="42">
        <f t="shared" ref="AY18:AY109" si="14">ROUND($AY$6*AZ18/$AZ$5,2)</f>
        <v>52.15</v>
      </c>
      <c r="AZ18" s="35">
        <f t="shared" ref="AZ18:AZ109" si="15">BA18+BL18</f>
        <v>499.28</v>
      </c>
      <c r="BA18" s="35">
        <f t="shared" ref="BA18:BA109" si="16">SUM(BB18:BK18)</f>
        <v>499.28</v>
      </c>
      <c r="BB18" s="35">
        <f t="shared" ref="BB18:BB109" si="17">IF($D18="是",I18-J18,0)</f>
        <v>0</v>
      </c>
      <c r="BC18" s="35">
        <f t="shared" ref="BC18:BC109" si="18">IF($D18="是",K18-L18,0)</f>
        <v>0</v>
      </c>
      <c r="BD18" s="35">
        <f t="shared" ref="BD18:BD109" si="19">IF($D18="是",M18-N18,0)</f>
        <v>499.28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1102</v>
      </c>
      <c r="D19" s="2212" t="s">
        <v>3046</v>
      </c>
      <c r="E19" s="35">
        <f t="shared" si="7"/>
        <v>52.46</v>
      </c>
      <c r="F19" s="36"/>
      <c r="G19" s="37">
        <f t="shared" si="8"/>
        <v>502.28</v>
      </c>
      <c r="H19" s="38">
        <f t="shared" si="9"/>
        <v>502.28</v>
      </c>
      <c r="I19" s="39"/>
      <c r="J19" s="39"/>
      <c r="K19" s="39"/>
      <c r="L19" s="39"/>
      <c r="M19" s="39">
        <v>502.28</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1102</v>
      </c>
      <c r="AY19" s="42">
        <f t="shared" si="14"/>
        <v>52.46</v>
      </c>
      <c r="AZ19" s="35">
        <f t="shared" si="15"/>
        <v>502.28</v>
      </c>
      <c r="BA19" s="35">
        <f t="shared" si="16"/>
        <v>502.28</v>
      </c>
      <c r="BB19" s="35">
        <f t="shared" si="17"/>
        <v>0</v>
      </c>
      <c r="BC19" s="35">
        <f t="shared" si="18"/>
        <v>0</v>
      </c>
      <c r="BD19" s="35">
        <f t="shared" si="19"/>
        <v>502.28</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1103</v>
      </c>
      <c r="D20" s="2212" t="s">
        <v>3046</v>
      </c>
      <c r="E20" s="35">
        <f t="shared" si="7"/>
        <v>71.59</v>
      </c>
      <c r="F20" s="36"/>
      <c r="G20" s="37">
        <f t="shared" si="8"/>
        <v>685.34</v>
      </c>
      <c r="H20" s="38">
        <f t="shared" si="9"/>
        <v>685.34</v>
      </c>
      <c r="I20" s="39"/>
      <c r="J20" s="39"/>
      <c r="K20" s="39"/>
      <c r="L20" s="39"/>
      <c r="M20" s="39">
        <v>685.34</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1103</v>
      </c>
      <c r="AY20" s="42">
        <f t="shared" si="14"/>
        <v>71.59</v>
      </c>
      <c r="AZ20" s="35">
        <f t="shared" si="15"/>
        <v>685.34</v>
      </c>
      <c r="BA20" s="35">
        <f t="shared" si="16"/>
        <v>685.34</v>
      </c>
      <c r="BB20" s="35">
        <f t="shared" si="17"/>
        <v>0</v>
      </c>
      <c r="BC20" s="35">
        <f t="shared" si="18"/>
        <v>0</v>
      </c>
      <c r="BD20" s="35">
        <f t="shared" si="19"/>
        <v>685.34</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1104</v>
      </c>
      <c r="D21" s="2212" t="s">
        <v>3046</v>
      </c>
      <c r="E21" s="35">
        <f t="shared" si="7"/>
        <v>35.21</v>
      </c>
      <c r="F21" s="36"/>
      <c r="G21" s="37">
        <f t="shared" si="8"/>
        <v>337.12</v>
      </c>
      <c r="H21" s="38">
        <f t="shared" si="9"/>
        <v>337.12</v>
      </c>
      <c r="I21" s="39"/>
      <c r="J21" s="39"/>
      <c r="K21" s="39"/>
      <c r="L21" s="39"/>
      <c r="M21" s="39">
        <v>337.12</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1104</v>
      </c>
      <c r="AY21" s="42">
        <f t="shared" si="14"/>
        <v>35.21</v>
      </c>
      <c r="AZ21" s="35">
        <f t="shared" si="15"/>
        <v>337.12</v>
      </c>
      <c r="BA21" s="35">
        <f t="shared" si="16"/>
        <v>337.12</v>
      </c>
      <c r="BB21" s="35">
        <f t="shared" si="17"/>
        <v>0</v>
      </c>
      <c r="BC21" s="35">
        <f t="shared" si="18"/>
        <v>0</v>
      </c>
      <c r="BD21" s="35">
        <f t="shared" si="19"/>
        <v>337.12</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1201</v>
      </c>
      <c r="D22" s="2212" t="s">
        <v>3046</v>
      </c>
      <c r="E22" s="35">
        <f t="shared" si="7"/>
        <v>52.15</v>
      </c>
      <c r="F22" s="36"/>
      <c r="G22" s="37">
        <f t="shared" si="8"/>
        <v>499.28</v>
      </c>
      <c r="H22" s="38">
        <f t="shared" si="9"/>
        <v>499.28</v>
      </c>
      <c r="I22" s="39"/>
      <c r="J22" s="39"/>
      <c r="K22" s="39"/>
      <c r="L22" s="39"/>
      <c r="M22" s="39">
        <v>499.28</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1201</v>
      </c>
      <c r="AY22" s="42">
        <f t="shared" si="14"/>
        <v>52.15</v>
      </c>
      <c r="AZ22" s="35">
        <f t="shared" si="15"/>
        <v>499.28</v>
      </c>
      <c r="BA22" s="35">
        <f t="shared" si="16"/>
        <v>499.28</v>
      </c>
      <c r="BB22" s="35">
        <f t="shared" si="17"/>
        <v>0</v>
      </c>
      <c r="BC22" s="35">
        <f t="shared" si="18"/>
        <v>0</v>
      </c>
      <c r="BD22" s="35">
        <f t="shared" si="19"/>
        <v>499.28</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f>K17/10</f>
        <v>1698.489</v>
      </c>
      <c r="B23" s="34"/>
      <c r="C23" s="34">
        <v>1202</v>
      </c>
      <c r="D23" s="2212" t="s">
        <v>3046</v>
      </c>
      <c r="E23" s="35">
        <f t="shared" si="7"/>
        <v>52.46</v>
      </c>
      <c r="F23" s="36"/>
      <c r="G23" s="37">
        <f t="shared" si="8"/>
        <v>502.28</v>
      </c>
      <c r="H23" s="38">
        <f t="shared" si="9"/>
        <v>502.28</v>
      </c>
      <c r="I23" s="39"/>
      <c r="J23" s="39"/>
      <c r="K23" s="39"/>
      <c r="L23" s="39"/>
      <c r="M23" s="39">
        <v>502.28</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1698.489</v>
      </c>
      <c r="AW23" s="1796">
        <f t="shared" si="12"/>
        <v>0</v>
      </c>
      <c r="AX23" s="1796">
        <f t="shared" si="13"/>
        <v>1202</v>
      </c>
      <c r="AY23" s="42">
        <f t="shared" si="14"/>
        <v>52.46</v>
      </c>
      <c r="AZ23" s="35">
        <f t="shared" si="15"/>
        <v>502.28</v>
      </c>
      <c r="BA23" s="35">
        <f t="shared" si="16"/>
        <v>502.28</v>
      </c>
      <c r="BB23" s="35">
        <f t="shared" si="17"/>
        <v>0</v>
      </c>
      <c r="BC23" s="35">
        <f t="shared" si="18"/>
        <v>0</v>
      </c>
      <c r="BD23" s="35">
        <f t="shared" si="19"/>
        <v>502.28</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1203</v>
      </c>
      <c r="D24" s="2212" t="s">
        <v>3046</v>
      </c>
      <c r="E24" s="35">
        <f t="shared" si="7"/>
        <v>71.59</v>
      </c>
      <c r="F24" s="36"/>
      <c r="G24" s="37">
        <f t="shared" si="8"/>
        <v>685.34</v>
      </c>
      <c r="H24" s="38">
        <f t="shared" si="9"/>
        <v>685.34</v>
      </c>
      <c r="I24" s="39"/>
      <c r="J24" s="39"/>
      <c r="K24" s="39"/>
      <c r="L24" s="39"/>
      <c r="M24" s="39">
        <v>685.34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1203</v>
      </c>
      <c r="AY24" s="42">
        <f t="shared" si="14"/>
        <v>71.59</v>
      </c>
      <c r="AZ24" s="35">
        <f t="shared" si="15"/>
        <v>685.34</v>
      </c>
      <c r="BA24" s="35">
        <f t="shared" si="16"/>
        <v>685.34</v>
      </c>
      <c r="BB24" s="35">
        <f t="shared" si="17"/>
        <v>0</v>
      </c>
      <c r="BC24" s="35">
        <f t="shared" si="18"/>
        <v>0</v>
      </c>
      <c r="BD24" s="35">
        <f t="shared" si="19"/>
        <v>685.34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v>1204</v>
      </c>
      <c r="D25" s="2212" t="s">
        <v>3046</v>
      </c>
      <c r="E25" s="35">
        <f t="shared" si="7"/>
        <v>35.21</v>
      </c>
      <c r="F25" s="36"/>
      <c r="G25" s="37">
        <f t="shared" si="8"/>
        <v>337.12</v>
      </c>
      <c r="H25" s="38">
        <f t="shared" si="9"/>
        <v>337.12</v>
      </c>
      <c r="I25" s="39"/>
      <c r="J25" s="39"/>
      <c r="K25" s="39"/>
      <c r="L25" s="39"/>
      <c r="M25" s="39">
        <v>337.12</v>
      </c>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1204</v>
      </c>
      <c r="AY25" s="42">
        <f t="shared" si="14"/>
        <v>35.21</v>
      </c>
      <c r="AZ25" s="35">
        <f t="shared" si="15"/>
        <v>337.12</v>
      </c>
      <c r="BA25" s="35">
        <f t="shared" si="16"/>
        <v>337.12</v>
      </c>
      <c r="BB25" s="35">
        <f t="shared" si="17"/>
        <v>0</v>
      </c>
      <c r="BC25" s="35">
        <f t="shared" si="18"/>
        <v>0</v>
      </c>
      <c r="BD25" s="35">
        <f t="shared" si="19"/>
        <v>337.12</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1301</v>
      </c>
      <c r="D26" s="2212" t="s">
        <v>3046</v>
      </c>
      <c r="E26" s="35">
        <f t="shared" si="7"/>
        <v>52.15</v>
      </c>
      <c r="F26" s="36"/>
      <c r="G26" s="37">
        <f t="shared" si="8"/>
        <v>499.28</v>
      </c>
      <c r="H26" s="38">
        <f t="shared" si="9"/>
        <v>499.28</v>
      </c>
      <c r="I26" s="39"/>
      <c r="J26" s="39"/>
      <c r="K26" s="39"/>
      <c r="L26" s="39"/>
      <c r="M26" s="39">
        <v>499.28</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1301</v>
      </c>
      <c r="AY26" s="42">
        <f t="shared" si="14"/>
        <v>52.15</v>
      </c>
      <c r="AZ26" s="35">
        <f t="shared" si="15"/>
        <v>499.28</v>
      </c>
      <c r="BA26" s="35">
        <f t="shared" si="16"/>
        <v>499.28</v>
      </c>
      <c r="BB26" s="35">
        <f t="shared" si="17"/>
        <v>0</v>
      </c>
      <c r="BC26" s="35">
        <f t="shared" si="18"/>
        <v>0</v>
      </c>
      <c r="BD26" s="35">
        <f t="shared" si="19"/>
        <v>499.28</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1302</v>
      </c>
      <c r="D27" s="2212" t="s">
        <v>3046</v>
      </c>
      <c r="E27" s="35">
        <f t="shared" si="7"/>
        <v>52.39</v>
      </c>
      <c r="F27" s="36"/>
      <c r="G27" s="37">
        <f t="shared" si="8"/>
        <v>501.58</v>
      </c>
      <c r="H27" s="38">
        <f t="shared" si="9"/>
        <v>501.58</v>
      </c>
      <c r="I27" s="39"/>
      <c r="J27" s="39"/>
      <c r="K27" s="39"/>
      <c r="L27" s="39"/>
      <c r="M27" s="39">
        <v>501.58</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1302</v>
      </c>
      <c r="AY27" s="42">
        <f t="shared" si="14"/>
        <v>52.39</v>
      </c>
      <c r="AZ27" s="35">
        <f t="shared" si="15"/>
        <v>501.58</v>
      </c>
      <c r="BA27" s="35">
        <f t="shared" si="16"/>
        <v>501.58</v>
      </c>
      <c r="BB27" s="35">
        <f t="shared" si="17"/>
        <v>0</v>
      </c>
      <c r="BC27" s="35">
        <f t="shared" si="18"/>
        <v>0</v>
      </c>
      <c r="BD27" s="35">
        <f t="shared" si="19"/>
        <v>501.58</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1303</v>
      </c>
      <c r="D28" s="2212" t="s">
        <v>3046</v>
      </c>
      <c r="E28" s="35">
        <f t="shared" si="7"/>
        <v>71.510000000000005</v>
      </c>
      <c r="F28" s="36"/>
      <c r="G28" s="37">
        <f t="shared" si="8"/>
        <v>684.62</v>
      </c>
      <c r="H28" s="38">
        <f t="shared" si="9"/>
        <v>684.62</v>
      </c>
      <c r="I28" s="39"/>
      <c r="J28" s="39"/>
      <c r="K28" s="39"/>
      <c r="L28" s="39"/>
      <c r="M28" s="39">
        <v>684.62</v>
      </c>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1303</v>
      </c>
      <c r="AY28" s="42">
        <f t="shared" si="14"/>
        <v>71.510000000000005</v>
      </c>
      <c r="AZ28" s="35">
        <f t="shared" si="15"/>
        <v>684.62</v>
      </c>
      <c r="BA28" s="35">
        <f t="shared" si="16"/>
        <v>684.62</v>
      </c>
      <c r="BB28" s="35">
        <f t="shared" si="17"/>
        <v>0</v>
      </c>
      <c r="BC28" s="35">
        <f t="shared" si="18"/>
        <v>0</v>
      </c>
      <c r="BD28" s="35">
        <f t="shared" si="19"/>
        <v>684.62</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v>1304</v>
      </c>
      <c r="D29" s="2212" t="s">
        <v>3046</v>
      </c>
      <c r="E29" s="35">
        <f t="shared" si="7"/>
        <v>35.21</v>
      </c>
      <c r="F29" s="36"/>
      <c r="G29" s="37">
        <f t="shared" si="8"/>
        <v>337.12</v>
      </c>
      <c r="H29" s="38">
        <f t="shared" si="9"/>
        <v>337.12</v>
      </c>
      <c r="I29" s="39"/>
      <c r="J29" s="39"/>
      <c r="K29" s="39"/>
      <c r="L29" s="39"/>
      <c r="M29" s="39">
        <v>337.12</v>
      </c>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1304</v>
      </c>
      <c r="AY29" s="42">
        <f t="shared" si="14"/>
        <v>35.21</v>
      </c>
      <c r="AZ29" s="35">
        <f t="shared" si="15"/>
        <v>337.12</v>
      </c>
      <c r="BA29" s="35">
        <f t="shared" si="16"/>
        <v>337.12</v>
      </c>
      <c r="BB29" s="35">
        <f t="shared" si="17"/>
        <v>0</v>
      </c>
      <c r="BC29" s="35">
        <f t="shared" si="18"/>
        <v>0</v>
      </c>
      <c r="BD29" s="35">
        <f t="shared" si="19"/>
        <v>337.12</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v>1401</v>
      </c>
      <c r="D30" s="2212" t="s">
        <v>3046</v>
      </c>
      <c r="E30" s="35">
        <f t="shared" si="7"/>
        <v>52.15</v>
      </c>
      <c r="F30" s="36"/>
      <c r="G30" s="37">
        <f t="shared" si="8"/>
        <v>499.28</v>
      </c>
      <c r="H30" s="38">
        <f t="shared" si="9"/>
        <v>499.28</v>
      </c>
      <c r="I30" s="39"/>
      <c r="J30" s="39"/>
      <c r="K30" s="39"/>
      <c r="L30" s="39"/>
      <c r="M30" s="39">
        <v>499.28</v>
      </c>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1401</v>
      </c>
      <c r="AY30" s="42">
        <f t="shared" si="14"/>
        <v>52.15</v>
      </c>
      <c r="AZ30" s="35">
        <f t="shared" si="15"/>
        <v>499.28</v>
      </c>
      <c r="BA30" s="35">
        <f t="shared" si="16"/>
        <v>499.28</v>
      </c>
      <c r="BB30" s="35">
        <f t="shared" si="17"/>
        <v>0</v>
      </c>
      <c r="BC30" s="35">
        <f t="shared" si="18"/>
        <v>0</v>
      </c>
      <c r="BD30" s="35">
        <f t="shared" si="19"/>
        <v>499.28</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v>1402</v>
      </c>
      <c r="D31" s="2212" t="s">
        <v>3046</v>
      </c>
      <c r="E31" s="35">
        <f t="shared" si="7"/>
        <v>52.39</v>
      </c>
      <c r="F31" s="36"/>
      <c r="G31" s="37">
        <f t="shared" si="8"/>
        <v>501.58</v>
      </c>
      <c r="H31" s="38">
        <f t="shared" si="9"/>
        <v>501.58</v>
      </c>
      <c r="I31" s="39"/>
      <c r="J31" s="39"/>
      <c r="K31" s="39"/>
      <c r="L31" s="39"/>
      <c r="M31" s="39">
        <v>501.58</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1402</v>
      </c>
      <c r="AY31" s="42">
        <f t="shared" si="14"/>
        <v>52.39</v>
      </c>
      <c r="AZ31" s="35">
        <f t="shared" si="15"/>
        <v>501.58</v>
      </c>
      <c r="BA31" s="35">
        <f t="shared" si="16"/>
        <v>501.58</v>
      </c>
      <c r="BB31" s="35">
        <f t="shared" si="17"/>
        <v>0</v>
      </c>
      <c r="BC31" s="35">
        <f t="shared" si="18"/>
        <v>0</v>
      </c>
      <c r="BD31" s="35">
        <f t="shared" si="19"/>
        <v>501.58</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v>1403</v>
      </c>
      <c r="D32" s="2212" t="s">
        <v>3046</v>
      </c>
      <c r="E32" s="35">
        <f t="shared" si="7"/>
        <v>71.510000000000005</v>
      </c>
      <c r="F32" s="36"/>
      <c r="G32" s="37">
        <f t="shared" si="8"/>
        <v>684.62</v>
      </c>
      <c r="H32" s="38">
        <f t="shared" si="9"/>
        <v>684.62</v>
      </c>
      <c r="I32" s="39"/>
      <c r="J32" s="39"/>
      <c r="K32" s="39"/>
      <c r="L32" s="39"/>
      <c r="M32" s="39">
        <v>684.62</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1403</v>
      </c>
      <c r="AY32" s="42">
        <f t="shared" si="14"/>
        <v>71.510000000000005</v>
      </c>
      <c r="AZ32" s="35">
        <f t="shared" si="15"/>
        <v>684.62</v>
      </c>
      <c r="BA32" s="35">
        <f t="shared" si="16"/>
        <v>684.62</v>
      </c>
      <c r="BB32" s="35">
        <f t="shared" si="17"/>
        <v>0</v>
      </c>
      <c r="BC32" s="35">
        <f t="shared" si="18"/>
        <v>0</v>
      </c>
      <c r="BD32" s="35">
        <f t="shared" si="19"/>
        <v>684.62</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v>1404</v>
      </c>
      <c r="D33" s="2212" t="s">
        <v>3046</v>
      </c>
      <c r="E33" s="35">
        <f t="shared" si="7"/>
        <v>35.21</v>
      </c>
      <c r="F33" s="36"/>
      <c r="G33" s="37">
        <f t="shared" si="8"/>
        <v>337.12</v>
      </c>
      <c r="H33" s="38">
        <f t="shared" si="9"/>
        <v>337.12</v>
      </c>
      <c r="I33" s="39"/>
      <c r="J33" s="39"/>
      <c r="K33" s="39"/>
      <c r="L33" s="39"/>
      <c r="M33" s="39">
        <v>337.12</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1404</v>
      </c>
      <c r="AY33" s="42">
        <f t="shared" si="14"/>
        <v>35.21</v>
      </c>
      <c r="AZ33" s="35">
        <f t="shared" si="15"/>
        <v>337.12</v>
      </c>
      <c r="BA33" s="35">
        <f t="shared" si="16"/>
        <v>337.12</v>
      </c>
      <c r="BB33" s="35">
        <f t="shared" si="17"/>
        <v>0</v>
      </c>
      <c r="BC33" s="35">
        <f t="shared" si="18"/>
        <v>0</v>
      </c>
      <c r="BD33" s="35">
        <f t="shared" si="19"/>
        <v>337.12</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v>1501</v>
      </c>
      <c r="D34" s="2212" t="s">
        <v>3046</v>
      </c>
      <c r="E34" s="35">
        <f t="shared" si="7"/>
        <v>52.15</v>
      </c>
      <c r="F34" s="36"/>
      <c r="G34" s="37">
        <f t="shared" si="8"/>
        <v>499.28</v>
      </c>
      <c r="H34" s="38">
        <f t="shared" si="9"/>
        <v>499.28</v>
      </c>
      <c r="I34" s="39"/>
      <c r="J34" s="39"/>
      <c r="K34" s="39"/>
      <c r="L34" s="39"/>
      <c r="M34" s="39">
        <v>499.28</v>
      </c>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1501</v>
      </c>
      <c r="AY34" s="42">
        <f t="shared" si="14"/>
        <v>52.15</v>
      </c>
      <c r="AZ34" s="35">
        <f t="shared" si="15"/>
        <v>499.28</v>
      </c>
      <c r="BA34" s="35">
        <f t="shared" si="16"/>
        <v>499.28</v>
      </c>
      <c r="BB34" s="35">
        <f t="shared" si="17"/>
        <v>0</v>
      </c>
      <c r="BC34" s="35">
        <f t="shared" si="18"/>
        <v>0</v>
      </c>
      <c r="BD34" s="35">
        <f t="shared" si="19"/>
        <v>499.28</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v>1502</v>
      </c>
      <c r="D35" s="2212" t="s">
        <v>3046</v>
      </c>
      <c r="E35" s="35">
        <f t="shared" si="7"/>
        <v>52.39</v>
      </c>
      <c r="F35" s="36"/>
      <c r="G35" s="37">
        <f t="shared" si="8"/>
        <v>501.58</v>
      </c>
      <c r="H35" s="38">
        <f t="shared" si="9"/>
        <v>501.58</v>
      </c>
      <c r="I35" s="39"/>
      <c r="J35" s="39"/>
      <c r="K35" s="39"/>
      <c r="L35" s="39"/>
      <c r="M35" s="39">
        <v>501.58</v>
      </c>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1502</v>
      </c>
      <c r="AY35" s="42">
        <f t="shared" si="14"/>
        <v>52.39</v>
      </c>
      <c r="AZ35" s="35">
        <f t="shared" si="15"/>
        <v>501.58</v>
      </c>
      <c r="BA35" s="35">
        <f t="shared" si="16"/>
        <v>501.58</v>
      </c>
      <c r="BB35" s="35">
        <f t="shared" si="17"/>
        <v>0</v>
      </c>
      <c r="BC35" s="35">
        <f t="shared" si="18"/>
        <v>0</v>
      </c>
      <c r="BD35" s="35">
        <f t="shared" si="19"/>
        <v>501.58</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v>1503</v>
      </c>
      <c r="D36" s="2212" t="s">
        <v>3046</v>
      </c>
      <c r="E36" s="35">
        <f t="shared" si="7"/>
        <v>71.510000000000005</v>
      </c>
      <c r="F36" s="36"/>
      <c r="G36" s="37">
        <f t="shared" si="8"/>
        <v>684.62</v>
      </c>
      <c r="H36" s="38">
        <f t="shared" si="9"/>
        <v>684.62</v>
      </c>
      <c r="I36" s="39"/>
      <c r="J36" s="39"/>
      <c r="K36" s="39"/>
      <c r="L36" s="39"/>
      <c r="M36" s="39">
        <v>684.62</v>
      </c>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1503</v>
      </c>
      <c r="AY36" s="42">
        <f t="shared" si="14"/>
        <v>71.510000000000005</v>
      </c>
      <c r="AZ36" s="35">
        <f t="shared" si="15"/>
        <v>684.62</v>
      </c>
      <c r="BA36" s="35">
        <f t="shared" si="16"/>
        <v>684.62</v>
      </c>
      <c r="BB36" s="35">
        <f t="shared" si="17"/>
        <v>0</v>
      </c>
      <c r="BC36" s="35">
        <f t="shared" si="18"/>
        <v>0</v>
      </c>
      <c r="BD36" s="35">
        <f t="shared" si="19"/>
        <v>684.62</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v>1504</v>
      </c>
      <c r="D37" s="2212" t="s">
        <v>3046</v>
      </c>
      <c r="E37" s="35">
        <f t="shared" si="7"/>
        <v>35.21</v>
      </c>
      <c r="F37" s="36"/>
      <c r="G37" s="37">
        <f t="shared" si="8"/>
        <v>337.12</v>
      </c>
      <c r="H37" s="38">
        <f t="shared" si="9"/>
        <v>337.12</v>
      </c>
      <c r="I37" s="39"/>
      <c r="J37" s="39"/>
      <c r="K37" s="39"/>
      <c r="L37" s="39"/>
      <c r="M37" s="39">
        <v>337.12</v>
      </c>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1504</v>
      </c>
      <c r="AY37" s="42">
        <f t="shared" si="14"/>
        <v>35.21</v>
      </c>
      <c r="AZ37" s="35">
        <f t="shared" si="15"/>
        <v>337.12</v>
      </c>
      <c r="BA37" s="35">
        <f t="shared" si="16"/>
        <v>337.12</v>
      </c>
      <c r="BB37" s="35">
        <f t="shared" si="17"/>
        <v>0</v>
      </c>
      <c r="BC37" s="35">
        <f t="shared" si="18"/>
        <v>0</v>
      </c>
      <c r="BD37" s="35">
        <f t="shared" si="19"/>
        <v>337.12</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v>1601</v>
      </c>
      <c r="D38" s="2212" t="s">
        <v>3046</v>
      </c>
      <c r="E38" s="35">
        <f t="shared" si="7"/>
        <v>52.25</v>
      </c>
      <c r="F38" s="36"/>
      <c r="G38" s="37">
        <f t="shared" si="8"/>
        <v>500.2</v>
      </c>
      <c r="H38" s="38">
        <f t="shared" si="9"/>
        <v>500.2</v>
      </c>
      <c r="I38" s="39"/>
      <c r="J38" s="39"/>
      <c r="K38" s="39"/>
      <c r="L38" s="39"/>
      <c r="M38" s="39">
        <v>500.2</v>
      </c>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1601</v>
      </c>
      <c r="AY38" s="42">
        <f t="shared" si="14"/>
        <v>52.25</v>
      </c>
      <c r="AZ38" s="35">
        <f t="shared" si="15"/>
        <v>500.2</v>
      </c>
      <c r="BA38" s="35">
        <f t="shared" si="16"/>
        <v>500.2</v>
      </c>
      <c r="BB38" s="35">
        <f t="shared" si="17"/>
        <v>0</v>
      </c>
      <c r="BC38" s="35">
        <f t="shared" si="18"/>
        <v>0</v>
      </c>
      <c r="BD38" s="35">
        <f t="shared" si="19"/>
        <v>500.2</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v>1602</v>
      </c>
      <c r="D39" s="2212" t="s">
        <v>3046</v>
      </c>
      <c r="E39" s="35">
        <f t="shared" si="7"/>
        <v>52.46</v>
      </c>
      <c r="F39" s="36"/>
      <c r="G39" s="37">
        <f t="shared" si="8"/>
        <v>502.28</v>
      </c>
      <c r="H39" s="38">
        <f t="shared" si="9"/>
        <v>502.28</v>
      </c>
      <c r="I39" s="39"/>
      <c r="J39" s="39"/>
      <c r="K39" s="39"/>
      <c r="L39" s="39"/>
      <c r="M39" s="39">
        <v>502.28</v>
      </c>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1602</v>
      </c>
      <c r="AY39" s="42">
        <f t="shared" si="14"/>
        <v>52.46</v>
      </c>
      <c r="AZ39" s="35">
        <f t="shared" si="15"/>
        <v>502.28</v>
      </c>
      <c r="BA39" s="35">
        <f t="shared" si="16"/>
        <v>502.28</v>
      </c>
      <c r="BB39" s="35">
        <f t="shared" si="17"/>
        <v>0</v>
      </c>
      <c r="BC39" s="35">
        <f t="shared" si="18"/>
        <v>0</v>
      </c>
      <c r="BD39" s="35">
        <f t="shared" si="19"/>
        <v>502.28</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v>1603</v>
      </c>
      <c r="D40" s="2212" t="s">
        <v>3046</v>
      </c>
      <c r="E40" s="35">
        <f t="shared" si="7"/>
        <v>71.69</v>
      </c>
      <c r="F40" s="36"/>
      <c r="G40" s="37">
        <f t="shared" si="8"/>
        <v>686.35</v>
      </c>
      <c r="H40" s="38">
        <f t="shared" si="9"/>
        <v>686.35</v>
      </c>
      <c r="I40" s="39"/>
      <c r="J40" s="39"/>
      <c r="K40" s="39"/>
      <c r="L40" s="39"/>
      <c r="M40" s="39">
        <v>686.35</v>
      </c>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1603</v>
      </c>
      <c r="AY40" s="42">
        <f t="shared" si="14"/>
        <v>71.69</v>
      </c>
      <c r="AZ40" s="35">
        <f t="shared" si="15"/>
        <v>686.35</v>
      </c>
      <c r="BA40" s="35">
        <f t="shared" si="16"/>
        <v>686.35</v>
      </c>
      <c r="BB40" s="35">
        <f t="shared" si="17"/>
        <v>0</v>
      </c>
      <c r="BC40" s="35">
        <f t="shared" si="18"/>
        <v>0</v>
      </c>
      <c r="BD40" s="35">
        <f t="shared" si="19"/>
        <v>686.35</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v>1604</v>
      </c>
      <c r="D41" s="2212" t="s">
        <v>3046</v>
      </c>
      <c r="E41" s="35">
        <f t="shared" si="7"/>
        <v>35.24</v>
      </c>
      <c r="F41" s="36"/>
      <c r="G41" s="37">
        <f t="shared" si="8"/>
        <v>337.41</v>
      </c>
      <c r="H41" s="38">
        <f t="shared" si="9"/>
        <v>337.41</v>
      </c>
      <c r="I41" s="39"/>
      <c r="J41" s="39"/>
      <c r="K41" s="39"/>
      <c r="L41" s="39"/>
      <c r="M41" s="39">
        <v>337.41</v>
      </c>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1604</v>
      </c>
      <c r="AY41" s="42">
        <f t="shared" si="14"/>
        <v>35.24</v>
      </c>
      <c r="AZ41" s="35">
        <f t="shared" si="15"/>
        <v>337.41</v>
      </c>
      <c r="BA41" s="35">
        <f t="shared" si="16"/>
        <v>337.41</v>
      </c>
      <c r="BB41" s="35">
        <f t="shared" si="17"/>
        <v>0</v>
      </c>
      <c r="BC41" s="35">
        <f t="shared" si="18"/>
        <v>0</v>
      </c>
      <c r="BD41" s="35">
        <f t="shared" si="19"/>
        <v>337.41</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v>1701</v>
      </c>
      <c r="D42" s="2212" t="s">
        <v>3046</v>
      </c>
      <c r="E42" s="35">
        <f t="shared" si="7"/>
        <v>52.25</v>
      </c>
      <c r="F42" s="36"/>
      <c r="G42" s="37">
        <f t="shared" si="8"/>
        <v>500.2</v>
      </c>
      <c r="H42" s="38">
        <f t="shared" si="9"/>
        <v>500.2</v>
      </c>
      <c r="I42" s="39"/>
      <c r="J42" s="39"/>
      <c r="K42" s="39"/>
      <c r="L42" s="39"/>
      <c r="M42" s="39">
        <v>500.2</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1701</v>
      </c>
      <c r="AY42" s="42">
        <f t="shared" si="14"/>
        <v>52.25</v>
      </c>
      <c r="AZ42" s="35">
        <f t="shared" si="15"/>
        <v>500.2</v>
      </c>
      <c r="BA42" s="35">
        <f t="shared" si="16"/>
        <v>500.2</v>
      </c>
      <c r="BB42" s="35">
        <f t="shared" si="17"/>
        <v>0</v>
      </c>
      <c r="BC42" s="35">
        <f t="shared" si="18"/>
        <v>0</v>
      </c>
      <c r="BD42" s="35">
        <f t="shared" si="19"/>
        <v>500.2</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v>1702</v>
      </c>
      <c r="D43" s="2212" t="s">
        <v>3046</v>
      </c>
      <c r="E43" s="35">
        <f t="shared" si="7"/>
        <v>52.46</v>
      </c>
      <c r="F43" s="36"/>
      <c r="G43" s="37">
        <f t="shared" si="8"/>
        <v>502.28</v>
      </c>
      <c r="H43" s="38">
        <f t="shared" si="9"/>
        <v>502.28</v>
      </c>
      <c r="I43" s="39"/>
      <c r="J43" s="39"/>
      <c r="K43" s="39"/>
      <c r="L43" s="39"/>
      <c r="M43" s="39">
        <v>502.28</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1702</v>
      </c>
      <c r="AY43" s="42">
        <f t="shared" si="14"/>
        <v>52.46</v>
      </c>
      <c r="AZ43" s="35">
        <f t="shared" si="15"/>
        <v>502.28</v>
      </c>
      <c r="BA43" s="35">
        <f t="shared" si="16"/>
        <v>502.28</v>
      </c>
      <c r="BB43" s="35">
        <f t="shared" si="17"/>
        <v>0</v>
      </c>
      <c r="BC43" s="35">
        <f t="shared" si="18"/>
        <v>0</v>
      </c>
      <c r="BD43" s="35">
        <f t="shared" si="19"/>
        <v>502.28</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v>1703</v>
      </c>
      <c r="D44" s="2212" t="s">
        <v>3046</v>
      </c>
      <c r="E44" s="35">
        <f t="shared" si="7"/>
        <v>71.69</v>
      </c>
      <c r="F44" s="36"/>
      <c r="G44" s="37">
        <f t="shared" si="8"/>
        <v>686.35</v>
      </c>
      <c r="H44" s="38">
        <f t="shared" si="9"/>
        <v>686.35</v>
      </c>
      <c r="I44" s="39"/>
      <c r="J44" s="39"/>
      <c r="K44" s="39"/>
      <c r="L44" s="39"/>
      <c r="M44" s="39">
        <v>686.35</v>
      </c>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1703</v>
      </c>
      <c r="AY44" s="42">
        <f t="shared" si="14"/>
        <v>71.69</v>
      </c>
      <c r="AZ44" s="35">
        <f t="shared" si="15"/>
        <v>686.35</v>
      </c>
      <c r="BA44" s="35">
        <f t="shared" si="16"/>
        <v>686.35</v>
      </c>
      <c r="BB44" s="35">
        <f t="shared" si="17"/>
        <v>0</v>
      </c>
      <c r="BC44" s="35">
        <f t="shared" si="18"/>
        <v>0</v>
      </c>
      <c r="BD44" s="35">
        <f t="shared" si="19"/>
        <v>686.35</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v>1704</v>
      </c>
      <c r="D45" s="2212" t="s">
        <v>3046</v>
      </c>
      <c r="E45" s="35">
        <f t="shared" si="7"/>
        <v>35.24</v>
      </c>
      <c r="F45" s="36"/>
      <c r="G45" s="37">
        <f t="shared" si="8"/>
        <v>337.41</v>
      </c>
      <c r="H45" s="38">
        <f t="shared" si="9"/>
        <v>337.41</v>
      </c>
      <c r="I45" s="39"/>
      <c r="J45" s="39"/>
      <c r="K45" s="39"/>
      <c r="L45" s="39"/>
      <c r="M45" s="39">
        <v>337.41</v>
      </c>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1704</v>
      </c>
      <c r="AY45" s="42">
        <f t="shared" si="14"/>
        <v>35.24</v>
      </c>
      <c r="AZ45" s="35">
        <f t="shared" si="15"/>
        <v>337.41</v>
      </c>
      <c r="BA45" s="35">
        <f t="shared" si="16"/>
        <v>337.41</v>
      </c>
      <c r="BB45" s="35">
        <f t="shared" si="17"/>
        <v>0</v>
      </c>
      <c r="BC45" s="35">
        <f t="shared" si="18"/>
        <v>0</v>
      </c>
      <c r="BD45" s="35">
        <f t="shared" si="19"/>
        <v>337.41</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v>1801</v>
      </c>
      <c r="D46" s="2212" t="s">
        <v>3046</v>
      </c>
      <c r="E46" s="35">
        <f t="shared" si="7"/>
        <v>52.25</v>
      </c>
      <c r="F46" s="36"/>
      <c r="G46" s="37">
        <f t="shared" si="8"/>
        <v>500.2</v>
      </c>
      <c r="H46" s="38">
        <f t="shared" si="9"/>
        <v>500.2</v>
      </c>
      <c r="I46" s="39"/>
      <c r="J46" s="39"/>
      <c r="K46" s="39"/>
      <c r="L46" s="39"/>
      <c r="M46" s="39">
        <v>500.2</v>
      </c>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1801</v>
      </c>
      <c r="AY46" s="42">
        <f t="shared" si="14"/>
        <v>52.25</v>
      </c>
      <c r="AZ46" s="35">
        <f t="shared" si="15"/>
        <v>500.2</v>
      </c>
      <c r="BA46" s="35">
        <f t="shared" si="16"/>
        <v>500.2</v>
      </c>
      <c r="BB46" s="35">
        <f t="shared" si="17"/>
        <v>0</v>
      </c>
      <c r="BC46" s="35">
        <f t="shared" si="18"/>
        <v>0</v>
      </c>
      <c r="BD46" s="35">
        <f t="shared" si="19"/>
        <v>500.2</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v>1802</v>
      </c>
      <c r="D47" s="2212" t="s">
        <v>3046</v>
      </c>
      <c r="E47" s="35">
        <f t="shared" si="7"/>
        <v>52.46</v>
      </c>
      <c r="F47" s="36"/>
      <c r="G47" s="37">
        <f t="shared" si="8"/>
        <v>502.28</v>
      </c>
      <c r="H47" s="38">
        <f t="shared" si="9"/>
        <v>502.28</v>
      </c>
      <c r="I47" s="39"/>
      <c r="J47" s="39"/>
      <c r="K47" s="39"/>
      <c r="L47" s="39"/>
      <c r="M47" s="39">
        <v>502.28</v>
      </c>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1802</v>
      </c>
      <c r="AY47" s="42">
        <f t="shared" si="14"/>
        <v>52.46</v>
      </c>
      <c r="AZ47" s="35">
        <f t="shared" si="15"/>
        <v>502.28</v>
      </c>
      <c r="BA47" s="35">
        <f t="shared" si="16"/>
        <v>502.28</v>
      </c>
      <c r="BB47" s="35">
        <f t="shared" si="17"/>
        <v>0</v>
      </c>
      <c r="BC47" s="35">
        <f t="shared" si="18"/>
        <v>0</v>
      </c>
      <c r="BD47" s="35">
        <f t="shared" si="19"/>
        <v>502.28</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v>1803</v>
      </c>
      <c r="D48" s="2212" t="s">
        <v>3046</v>
      </c>
      <c r="E48" s="35">
        <f t="shared" si="7"/>
        <v>71.69</v>
      </c>
      <c r="F48" s="36"/>
      <c r="G48" s="37">
        <f t="shared" si="8"/>
        <v>686.35</v>
      </c>
      <c r="H48" s="38">
        <f t="shared" si="9"/>
        <v>686.35</v>
      </c>
      <c r="I48" s="39"/>
      <c r="J48" s="39"/>
      <c r="K48" s="39"/>
      <c r="L48" s="39"/>
      <c r="M48" s="39">
        <v>686.35</v>
      </c>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1803</v>
      </c>
      <c r="AY48" s="42">
        <f t="shared" si="14"/>
        <v>71.69</v>
      </c>
      <c r="AZ48" s="35">
        <f t="shared" si="15"/>
        <v>686.35</v>
      </c>
      <c r="BA48" s="35">
        <f t="shared" si="16"/>
        <v>686.35</v>
      </c>
      <c r="BB48" s="35">
        <f t="shared" si="17"/>
        <v>0</v>
      </c>
      <c r="BC48" s="35">
        <f t="shared" si="18"/>
        <v>0</v>
      </c>
      <c r="BD48" s="35">
        <f t="shared" si="19"/>
        <v>686.35</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v>1804</v>
      </c>
      <c r="D49" s="2212" t="s">
        <v>3046</v>
      </c>
      <c r="E49" s="35">
        <f t="shared" si="7"/>
        <v>35.24</v>
      </c>
      <c r="F49" s="36"/>
      <c r="G49" s="37">
        <f t="shared" si="8"/>
        <v>337.41</v>
      </c>
      <c r="H49" s="38">
        <f t="shared" si="9"/>
        <v>337.41</v>
      </c>
      <c r="I49" s="39"/>
      <c r="J49" s="39"/>
      <c r="K49" s="39"/>
      <c r="L49" s="39"/>
      <c r="M49" s="39">
        <v>337.41</v>
      </c>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1804</v>
      </c>
      <c r="AY49" s="42">
        <f t="shared" si="14"/>
        <v>35.24</v>
      </c>
      <c r="AZ49" s="35">
        <f t="shared" si="15"/>
        <v>337.41</v>
      </c>
      <c r="BA49" s="35">
        <f t="shared" si="16"/>
        <v>337.41</v>
      </c>
      <c r="BB49" s="35">
        <f t="shared" si="17"/>
        <v>0</v>
      </c>
      <c r="BC49" s="35">
        <f t="shared" si="18"/>
        <v>0</v>
      </c>
      <c r="BD49" s="35">
        <f t="shared" si="19"/>
        <v>337.41</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v>1901</v>
      </c>
      <c r="D50" s="2212" t="s">
        <v>3046</v>
      </c>
      <c r="E50" s="35">
        <f t="shared" si="7"/>
        <v>52.25</v>
      </c>
      <c r="F50" s="36"/>
      <c r="G50" s="37">
        <f t="shared" si="8"/>
        <v>500.2</v>
      </c>
      <c r="H50" s="38">
        <f t="shared" si="9"/>
        <v>500.2</v>
      </c>
      <c r="I50" s="39"/>
      <c r="J50" s="39"/>
      <c r="K50" s="39"/>
      <c r="L50" s="39"/>
      <c r="M50" s="39">
        <v>500.2</v>
      </c>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1901</v>
      </c>
      <c r="AY50" s="42">
        <f t="shared" si="14"/>
        <v>52.25</v>
      </c>
      <c r="AZ50" s="35">
        <f t="shared" si="15"/>
        <v>500.2</v>
      </c>
      <c r="BA50" s="35">
        <f t="shared" si="16"/>
        <v>500.2</v>
      </c>
      <c r="BB50" s="35">
        <f t="shared" si="17"/>
        <v>0</v>
      </c>
      <c r="BC50" s="35">
        <f t="shared" si="18"/>
        <v>0</v>
      </c>
      <c r="BD50" s="35">
        <f t="shared" si="19"/>
        <v>500.2</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v>1902</v>
      </c>
      <c r="D51" s="2212" t="s">
        <v>3046</v>
      </c>
      <c r="E51" s="35">
        <f t="shared" si="7"/>
        <v>52.46</v>
      </c>
      <c r="F51" s="36"/>
      <c r="G51" s="37">
        <f t="shared" si="8"/>
        <v>502.28</v>
      </c>
      <c r="H51" s="38">
        <f t="shared" si="9"/>
        <v>502.28</v>
      </c>
      <c r="I51" s="39"/>
      <c r="J51" s="39"/>
      <c r="K51" s="39"/>
      <c r="L51" s="39"/>
      <c r="M51" s="39">
        <v>502.28</v>
      </c>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1902</v>
      </c>
      <c r="AY51" s="42">
        <f t="shared" si="14"/>
        <v>52.46</v>
      </c>
      <c r="AZ51" s="35">
        <f t="shared" si="15"/>
        <v>502.28</v>
      </c>
      <c r="BA51" s="35">
        <f t="shared" si="16"/>
        <v>502.28</v>
      </c>
      <c r="BB51" s="35">
        <f t="shared" si="17"/>
        <v>0</v>
      </c>
      <c r="BC51" s="35">
        <f t="shared" si="18"/>
        <v>0</v>
      </c>
      <c r="BD51" s="35">
        <f t="shared" si="19"/>
        <v>502.28</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v>1903</v>
      </c>
      <c r="D52" s="2212" t="s">
        <v>3046</v>
      </c>
      <c r="E52" s="35">
        <f t="shared" si="7"/>
        <v>71.69</v>
      </c>
      <c r="F52" s="36"/>
      <c r="G52" s="37">
        <f t="shared" si="8"/>
        <v>686.35</v>
      </c>
      <c r="H52" s="38">
        <f t="shared" si="9"/>
        <v>686.35</v>
      </c>
      <c r="I52" s="39"/>
      <c r="J52" s="39"/>
      <c r="K52" s="39"/>
      <c r="L52" s="39"/>
      <c r="M52" s="39">
        <v>686.35</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1903</v>
      </c>
      <c r="AY52" s="42">
        <f t="shared" si="14"/>
        <v>71.69</v>
      </c>
      <c r="AZ52" s="35">
        <f t="shared" si="15"/>
        <v>686.35</v>
      </c>
      <c r="BA52" s="35">
        <f t="shared" si="16"/>
        <v>686.35</v>
      </c>
      <c r="BB52" s="35">
        <f t="shared" si="17"/>
        <v>0</v>
      </c>
      <c r="BC52" s="35">
        <f t="shared" si="18"/>
        <v>0</v>
      </c>
      <c r="BD52" s="35">
        <f t="shared" si="19"/>
        <v>686.35</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v>1904</v>
      </c>
      <c r="D53" s="2212" t="s">
        <v>3046</v>
      </c>
      <c r="E53" s="35">
        <f t="shared" si="7"/>
        <v>35.24</v>
      </c>
      <c r="F53" s="36"/>
      <c r="G53" s="37">
        <f t="shared" si="8"/>
        <v>337.41</v>
      </c>
      <c r="H53" s="38">
        <f t="shared" si="9"/>
        <v>337.41</v>
      </c>
      <c r="I53" s="39"/>
      <c r="J53" s="39"/>
      <c r="K53" s="39"/>
      <c r="L53" s="39"/>
      <c r="M53" s="39">
        <v>337.41</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1904</v>
      </c>
      <c r="AY53" s="42">
        <f t="shared" si="14"/>
        <v>35.24</v>
      </c>
      <c r="AZ53" s="35">
        <f t="shared" si="15"/>
        <v>337.41</v>
      </c>
      <c r="BA53" s="35">
        <f t="shared" si="16"/>
        <v>337.41</v>
      </c>
      <c r="BB53" s="35">
        <f t="shared" si="17"/>
        <v>0</v>
      </c>
      <c r="BC53" s="35">
        <f t="shared" si="18"/>
        <v>0</v>
      </c>
      <c r="BD53" s="35">
        <f t="shared" si="19"/>
        <v>337.41</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v>2001</v>
      </c>
      <c r="D54" s="2212" t="s">
        <v>3046</v>
      </c>
      <c r="E54" s="35">
        <f t="shared" si="7"/>
        <v>52.25</v>
      </c>
      <c r="F54" s="36"/>
      <c r="G54" s="37">
        <f t="shared" si="8"/>
        <v>500.2</v>
      </c>
      <c r="H54" s="38">
        <f t="shared" si="9"/>
        <v>500.2</v>
      </c>
      <c r="I54" s="39"/>
      <c r="J54" s="39"/>
      <c r="K54" s="39"/>
      <c r="L54" s="39"/>
      <c r="M54" s="39">
        <v>500.2</v>
      </c>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2001</v>
      </c>
      <c r="AY54" s="42">
        <f t="shared" si="14"/>
        <v>52.25</v>
      </c>
      <c r="AZ54" s="35">
        <f t="shared" si="15"/>
        <v>500.2</v>
      </c>
      <c r="BA54" s="35">
        <f t="shared" si="16"/>
        <v>500.2</v>
      </c>
      <c r="BB54" s="35">
        <f t="shared" si="17"/>
        <v>0</v>
      </c>
      <c r="BC54" s="35">
        <f t="shared" si="18"/>
        <v>0</v>
      </c>
      <c r="BD54" s="35">
        <f t="shared" si="19"/>
        <v>500.2</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v>2002</v>
      </c>
      <c r="D55" s="2212" t="s">
        <v>3046</v>
      </c>
      <c r="E55" s="35">
        <f t="shared" si="7"/>
        <v>52.46</v>
      </c>
      <c r="F55" s="36"/>
      <c r="G55" s="37">
        <f t="shared" si="8"/>
        <v>502.28</v>
      </c>
      <c r="H55" s="38">
        <f t="shared" si="9"/>
        <v>502.28</v>
      </c>
      <c r="I55" s="39"/>
      <c r="J55" s="39"/>
      <c r="K55" s="39"/>
      <c r="L55" s="39"/>
      <c r="M55" s="39">
        <v>502.28</v>
      </c>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2002</v>
      </c>
      <c r="AY55" s="42">
        <f t="shared" si="14"/>
        <v>52.46</v>
      </c>
      <c r="AZ55" s="35">
        <f t="shared" si="15"/>
        <v>502.28</v>
      </c>
      <c r="BA55" s="35">
        <f t="shared" si="16"/>
        <v>502.28</v>
      </c>
      <c r="BB55" s="35">
        <f t="shared" si="17"/>
        <v>0</v>
      </c>
      <c r="BC55" s="35">
        <f t="shared" si="18"/>
        <v>0</v>
      </c>
      <c r="BD55" s="35">
        <f t="shared" si="19"/>
        <v>502.28</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v>2003</v>
      </c>
      <c r="D56" s="2212" t="s">
        <v>3046</v>
      </c>
      <c r="E56" s="35">
        <f t="shared" si="7"/>
        <v>71.69</v>
      </c>
      <c r="F56" s="36"/>
      <c r="G56" s="37">
        <f t="shared" si="8"/>
        <v>686.35</v>
      </c>
      <c r="H56" s="38">
        <f t="shared" si="9"/>
        <v>686.35</v>
      </c>
      <c r="I56" s="39"/>
      <c r="J56" s="39"/>
      <c r="K56" s="39"/>
      <c r="L56" s="39"/>
      <c r="M56" s="39">
        <v>686.35</v>
      </c>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2003</v>
      </c>
      <c r="AY56" s="42">
        <f t="shared" si="14"/>
        <v>71.69</v>
      </c>
      <c r="AZ56" s="35">
        <f t="shared" si="15"/>
        <v>686.35</v>
      </c>
      <c r="BA56" s="35">
        <f t="shared" si="16"/>
        <v>686.35</v>
      </c>
      <c r="BB56" s="35">
        <f t="shared" si="17"/>
        <v>0</v>
      </c>
      <c r="BC56" s="35">
        <f t="shared" si="18"/>
        <v>0</v>
      </c>
      <c r="BD56" s="35">
        <f t="shared" si="19"/>
        <v>686.35</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v>2004</v>
      </c>
      <c r="D57" s="2212" t="s">
        <v>3046</v>
      </c>
      <c r="E57" s="35">
        <f t="shared" si="7"/>
        <v>35.24</v>
      </c>
      <c r="F57" s="36"/>
      <c r="G57" s="37">
        <f t="shared" si="8"/>
        <v>337.41</v>
      </c>
      <c r="H57" s="38">
        <f t="shared" si="9"/>
        <v>337.41</v>
      </c>
      <c r="I57" s="39"/>
      <c r="J57" s="39"/>
      <c r="K57" s="39"/>
      <c r="L57" s="39"/>
      <c r="M57" s="39">
        <v>337.41</v>
      </c>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2004</v>
      </c>
      <c r="AY57" s="42">
        <f t="shared" si="14"/>
        <v>35.24</v>
      </c>
      <c r="AZ57" s="35">
        <f t="shared" si="15"/>
        <v>337.41</v>
      </c>
      <c r="BA57" s="35">
        <f t="shared" si="16"/>
        <v>337.41</v>
      </c>
      <c r="BB57" s="35">
        <f t="shared" si="17"/>
        <v>0</v>
      </c>
      <c r="BC57" s="35">
        <f t="shared" si="18"/>
        <v>0</v>
      </c>
      <c r="BD57" s="35">
        <f t="shared" si="19"/>
        <v>337.41</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v>2101</v>
      </c>
      <c r="D58" s="2212" t="s">
        <v>3046</v>
      </c>
      <c r="E58" s="35">
        <f t="shared" si="7"/>
        <v>52.25</v>
      </c>
      <c r="F58" s="36"/>
      <c r="G58" s="37">
        <f t="shared" si="8"/>
        <v>500.2</v>
      </c>
      <c r="H58" s="38">
        <f t="shared" si="9"/>
        <v>500.2</v>
      </c>
      <c r="I58" s="39"/>
      <c r="J58" s="39"/>
      <c r="K58" s="39"/>
      <c r="L58" s="39"/>
      <c r="M58" s="39">
        <v>500.2</v>
      </c>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2101</v>
      </c>
      <c r="AY58" s="42">
        <f t="shared" si="14"/>
        <v>52.25</v>
      </c>
      <c r="AZ58" s="35">
        <f t="shared" si="15"/>
        <v>500.2</v>
      </c>
      <c r="BA58" s="35">
        <f t="shared" si="16"/>
        <v>500.2</v>
      </c>
      <c r="BB58" s="35">
        <f t="shared" si="17"/>
        <v>0</v>
      </c>
      <c r="BC58" s="35">
        <f t="shared" si="18"/>
        <v>0</v>
      </c>
      <c r="BD58" s="35">
        <f t="shared" si="19"/>
        <v>500.2</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v>2102</v>
      </c>
      <c r="D59" s="2212" t="s">
        <v>3046</v>
      </c>
      <c r="E59" s="35">
        <f t="shared" si="7"/>
        <v>52.46</v>
      </c>
      <c r="F59" s="36"/>
      <c r="G59" s="37">
        <f t="shared" si="8"/>
        <v>502.28</v>
      </c>
      <c r="H59" s="38">
        <f t="shared" si="9"/>
        <v>502.28</v>
      </c>
      <c r="I59" s="39"/>
      <c r="J59" s="39"/>
      <c r="K59" s="39"/>
      <c r="L59" s="39"/>
      <c r="M59" s="39">
        <v>502.28</v>
      </c>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2102</v>
      </c>
      <c r="AY59" s="42">
        <f t="shared" si="14"/>
        <v>52.46</v>
      </c>
      <c r="AZ59" s="35">
        <f t="shared" si="15"/>
        <v>502.28</v>
      </c>
      <c r="BA59" s="35">
        <f t="shared" si="16"/>
        <v>502.28</v>
      </c>
      <c r="BB59" s="35">
        <f t="shared" si="17"/>
        <v>0</v>
      </c>
      <c r="BC59" s="35">
        <f t="shared" si="18"/>
        <v>0</v>
      </c>
      <c r="BD59" s="35">
        <f t="shared" si="19"/>
        <v>502.28</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v>2103</v>
      </c>
      <c r="D60" s="2212" t="s">
        <v>3046</v>
      </c>
      <c r="E60" s="35">
        <f t="shared" si="7"/>
        <v>71.69</v>
      </c>
      <c r="F60" s="36"/>
      <c r="G60" s="37">
        <f t="shared" si="8"/>
        <v>686.35</v>
      </c>
      <c r="H60" s="38">
        <f t="shared" si="9"/>
        <v>686.35</v>
      </c>
      <c r="I60" s="39"/>
      <c r="J60" s="39"/>
      <c r="K60" s="39"/>
      <c r="L60" s="39"/>
      <c r="M60" s="39">
        <v>686.35</v>
      </c>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2103</v>
      </c>
      <c r="AY60" s="42">
        <f t="shared" si="14"/>
        <v>71.69</v>
      </c>
      <c r="AZ60" s="35">
        <f t="shared" si="15"/>
        <v>686.35</v>
      </c>
      <c r="BA60" s="35">
        <f t="shared" si="16"/>
        <v>686.35</v>
      </c>
      <c r="BB60" s="35">
        <f t="shared" si="17"/>
        <v>0</v>
      </c>
      <c r="BC60" s="35">
        <f t="shared" si="18"/>
        <v>0</v>
      </c>
      <c r="BD60" s="35">
        <f t="shared" si="19"/>
        <v>686.35</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v>2104</v>
      </c>
      <c r="D61" s="2212" t="s">
        <v>3046</v>
      </c>
      <c r="E61" s="35">
        <f t="shared" si="7"/>
        <v>35.24</v>
      </c>
      <c r="F61" s="36"/>
      <c r="G61" s="37">
        <f t="shared" si="8"/>
        <v>337.41</v>
      </c>
      <c r="H61" s="38">
        <f t="shared" si="9"/>
        <v>337.41</v>
      </c>
      <c r="I61" s="39"/>
      <c r="J61" s="39"/>
      <c r="K61" s="39"/>
      <c r="L61" s="39"/>
      <c r="M61" s="39">
        <v>337.41</v>
      </c>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2104</v>
      </c>
      <c r="AY61" s="42">
        <f t="shared" si="14"/>
        <v>35.24</v>
      </c>
      <c r="AZ61" s="35">
        <f t="shared" si="15"/>
        <v>337.41</v>
      </c>
      <c r="BA61" s="35">
        <f t="shared" si="16"/>
        <v>337.41</v>
      </c>
      <c r="BB61" s="35">
        <f t="shared" si="17"/>
        <v>0</v>
      </c>
      <c r="BC61" s="35">
        <f t="shared" si="18"/>
        <v>0</v>
      </c>
      <c r="BD61" s="35">
        <f t="shared" si="19"/>
        <v>337.41</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47" t="s">
        <v>0</v>
      </c>
      <c r="B1" s="3447" t="s">
        <v>4</v>
      </c>
      <c r="C1" s="3447" t="s">
        <v>5</v>
      </c>
      <c r="D1" s="3448" t="s">
        <v>53</v>
      </c>
      <c r="E1" s="3448" t="s">
        <v>54</v>
      </c>
      <c r="F1" s="3448"/>
      <c r="G1" s="3448"/>
      <c r="H1" s="3448"/>
      <c r="I1" s="3448"/>
      <c r="J1" s="3448"/>
      <c r="K1" s="3448"/>
      <c r="L1" s="3448"/>
      <c r="M1" s="3448"/>
    </row>
    <row r="2" spans="1:13" ht="27" customHeight="1">
      <c r="A2" s="3447"/>
      <c r="B2" s="3447"/>
      <c r="C2" s="3447"/>
      <c r="D2" s="3448"/>
      <c r="E2" s="3448" t="s">
        <v>37</v>
      </c>
      <c r="F2" s="3448" t="s">
        <v>38</v>
      </c>
      <c r="G2" s="3448"/>
      <c r="H2" s="3448"/>
      <c r="I2" s="3448"/>
      <c r="J2" s="3448" t="s">
        <v>39</v>
      </c>
      <c r="K2" s="3448"/>
      <c r="L2" s="3448"/>
      <c r="M2" s="3448"/>
    </row>
    <row r="3" spans="1:13" ht="46.8">
      <c r="A3" s="3447"/>
      <c r="B3" s="3447"/>
      <c r="C3" s="3447"/>
      <c r="D3" s="3448"/>
      <c r="E3" s="344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8" t="s">
        <v>55</v>
      </c>
      <c r="B9" s="3448"/>
      <c r="C9" s="34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3" sqref="H33"/>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1935</v>
      </c>
      <c r="B1" s="1393"/>
      <c r="C1" s="1393"/>
      <c r="D1" s="1393"/>
      <c r="E1" s="1393"/>
      <c r="F1" s="1393"/>
      <c r="G1" s="1393"/>
      <c r="H1" s="1393"/>
      <c r="I1" s="1393"/>
      <c r="J1" s="1393"/>
      <c r="K1" s="1393"/>
      <c r="L1" s="1393"/>
      <c r="M1" s="1393"/>
      <c r="N1" s="1393"/>
      <c r="O1" s="1393"/>
      <c r="P1" s="1393"/>
    </row>
    <row r="2" spans="1:16" ht="14.4">
      <c r="A2" s="3458" t="s">
        <v>1936</v>
      </c>
      <c r="B2" s="3458"/>
      <c r="C2" s="3458"/>
      <c r="D2" s="968" t="s">
        <v>1912</v>
      </c>
      <c r="E2" s="2226" t="s">
        <v>1913</v>
      </c>
      <c r="F2" s="1393"/>
      <c r="G2" s="2227"/>
      <c r="H2" s="2228"/>
      <c r="I2" s="2229" t="s">
        <v>1937</v>
      </c>
      <c r="J2" s="1393"/>
      <c r="K2" s="1393"/>
      <c r="L2" s="1393"/>
      <c r="M2" s="1393"/>
      <c r="N2" s="1428"/>
      <c r="O2" s="1393"/>
      <c r="P2" s="1393"/>
    </row>
    <row r="3" spans="1:16" ht="15" thickBot="1">
      <c r="A3" s="3459" t="s">
        <v>1910</v>
      </c>
      <c r="B3" s="3459"/>
      <c r="C3" s="3459"/>
      <c r="D3" s="46">
        <f>'数据-基础表'!AY6</f>
        <v>5235.2</v>
      </c>
      <c r="E3" s="46">
        <f>'数据-基础表'!AZ5</f>
        <v>50120.32</v>
      </c>
      <c r="F3" s="1393"/>
      <c r="G3" s="1400"/>
      <c r="H3" s="1248" t="s">
        <v>1911</v>
      </c>
      <c r="I3" s="55">
        <f>ROUND('数据-基础表'!B3/'数据-基础表'!A3,2)</f>
        <v>9.57</v>
      </c>
      <c r="J3" s="1393"/>
      <c r="K3" s="1393"/>
      <c r="L3" s="1393"/>
      <c r="M3" s="1393"/>
      <c r="N3" s="1428"/>
      <c r="O3" s="1393"/>
      <c r="P3" s="1393"/>
    </row>
    <row r="4" spans="1:16" ht="14.4">
      <c r="A4" s="3460"/>
      <c r="B4" s="3461"/>
      <c r="C4" s="3462"/>
      <c r="D4" s="2230" t="s">
        <v>1912</v>
      </c>
      <c r="E4" s="2231" t="s">
        <v>1913</v>
      </c>
      <c r="F4" s="1393"/>
      <c r="G4" s="2232" t="s">
        <v>1938</v>
      </c>
      <c r="H4" s="1248" t="s">
        <v>1918</v>
      </c>
      <c r="I4" s="55">
        <f>ROUND(SUMIF('数据-基础表'!I9:AS9,"地上",'数据-基础表'!I5:AS5)/'数据-基础表'!A3,2)</f>
        <v>7.5</v>
      </c>
      <c r="J4" s="1393"/>
      <c r="K4" s="1393"/>
      <c r="L4" s="1393"/>
      <c r="M4" s="1393"/>
      <c r="N4" s="1428"/>
      <c r="O4" s="1393"/>
      <c r="P4" s="1393"/>
    </row>
    <row r="5" spans="1:16" ht="14.4">
      <c r="A5" s="47" t="s">
        <v>1914</v>
      </c>
      <c r="B5" s="3463" t="s">
        <v>1915</v>
      </c>
      <c r="C5" s="3463"/>
      <c r="D5" s="48">
        <f>ROUND($D$3*E5/$E$3,2)</f>
        <v>0</v>
      </c>
      <c r="E5" s="49">
        <f>SUMIF('数据-基础表'!$11:$11,"住宅",'数据-基础表'!$5:$5)</f>
        <v>0</v>
      </c>
      <c r="F5" s="1393"/>
      <c r="G5" s="1400"/>
      <c r="H5" s="1248" t="s">
        <v>1911</v>
      </c>
      <c r="I5" s="55">
        <f>ROUND(E31/D31,2)</f>
        <v>9.57</v>
      </c>
      <c r="J5" s="1393"/>
      <c r="K5" s="1393"/>
      <c r="L5" s="1393"/>
      <c r="M5" s="1393"/>
      <c r="N5" s="1393"/>
      <c r="O5" s="1393"/>
      <c r="P5" s="1393"/>
    </row>
    <row r="6" spans="1:16" ht="15" thickBot="1">
      <c r="A6" s="2233"/>
      <c r="B6" s="3463" t="s">
        <v>1916</v>
      </c>
      <c r="C6" s="3463"/>
      <c r="D6" s="48">
        <f>ROUND($D$3*E6/$E$3,2)</f>
        <v>5235.2</v>
      </c>
      <c r="E6" s="49">
        <f>E3-E5</f>
        <v>50120.32</v>
      </c>
      <c r="F6" s="1393"/>
      <c r="G6" s="2234" t="s">
        <v>1917</v>
      </c>
      <c r="H6" s="1400" t="s">
        <v>1918</v>
      </c>
      <c r="I6" s="940">
        <f>ROUND(F31/D31,2)</f>
        <v>7.5</v>
      </c>
      <c r="J6" s="1393"/>
      <c r="K6" s="1393"/>
      <c r="L6" s="1393"/>
      <c r="M6" s="1393"/>
      <c r="N6" s="1393"/>
      <c r="O6" s="1393"/>
      <c r="P6" s="1393"/>
    </row>
    <row r="7" spans="1:16" ht="14.4">
      <c r="A7" s="3455"/>
      <c r="B7" s="3456"/>
      <c r="C7" s="3457"/>
      <c r="D7" s="2230" t="s">
        <v>1912</v>
      </c>
      <c r="E7" s="2235" t="s">
        <v>1919</v>
      </c>
      <c r="F7" s="1393"/>
      <c r="G7" s="2227" t="s">
        <v>1920</v>
      </c>
      <c r="H7" s="64"/>
      <c r="I7" s="420"/>
      <c r="J7" s="1393"/>
      <c r="K7" s="1393"/>
      <c r="L7" s="1393"/>
      <c r="M7" s="1393"/>
      <c r="N7" s="1393"/>
      <c r="O7" s="1393"/>
      <c r="P7" s="1393"/>
    </row>
    <row r="8" spans="1:16" ht="14.4">
      <c r="A8" s="47" t="s">
        <v>1921</v>
      </c>
      <c r="B8" s="50" t="s">
        <v>1922</v>
      </c>
      <c r="C8" s="48" t="s">
        <v>1923</v>
      </c>
      <c r="D8" s="48">
        <f t="shared" ref="D8:D15" si="0">ROUND($D$3*E8/$E$3,2)</f>
        <v>4100.62</v>
      </c>
      <c r="E8" s="51">
        <f>SUMIF('数据-基础表'!BB10:BK10,"地上",'数据-基础表'!BB5:BK5)</f>
        <v>39258.17</v>
      </c>
      <c r="F8" s="1393"/>
      <c r="G8" s="2236"/>
      <c r="H8" s="2236"/>
      <c r="I8" s="1393"/>
      <c r="J8" s="1393"/>
      <c r="K8" s="1393"/>
      <c r="L8" s="1393"/>
      <c r="M8" s="1393"/>
      <c r="N8" s="1393"/>
      <c r="O8" s="1393"/>
      <c r="P8" s="1393"/>
    </row>
    <row r="9" spans="1:16" ht="14.4">
      <c r="A9" s="2237"/>
      <c r="B9" s="2238"/>
      <c r="C9" s="48" t="s">
        <v>1924</v>
      </c>
      <c r="D9" s="48">
        <f t="shared" si="0"/>
        <v>0</v>
      </c>
      <c r="E9" s="52">
        <v>0</v>
      </c>
      <c r="F9" s="1393"/>
      <c r="G9" s="2236"/>
      <c r="H9" s="2236"/>
      <c r="I9" s="1393"/>
      <c r="J9" s="1393"/>
      <c r="K9" s="1393"/>
      <c r="L9" s="1393"/>
      <c r="M9" s="1393"/>
      <c r="N9" s="1393"/>
      <c r="O9" s="1393"/>
      <c r="P9" s="1393"/>
    </row>
    <row r="10" spans="1:16" ht="14.4">
      <c r="A10" s="2237"/>
      <c r="B10" s="2238"/>
      <c r="C10" s="48" t="s">
        <v>1933</v>
      </c>
      <c r="D10" s="48">
        <f t="shared" si="0"/>
        <v>429.8</v>
      </c>
      <c r="E10" s="51">
        <f>SUMPRODUCT(('数据-基础表'!BB10:BK10="地下")*('数据-基础表'!BB11:BK11="商业")*('数据-基础表'!BB5:BK5))</f>
        <v>4114.75</v>
      </c>
      <c r="F10" s="1393"/>
      <c r="G10" s="2236"/>
      <c r="H10" s="2236"/>
      <c r="I10" s="1393"/>
      <c r="J10" s="1393"/>
      <c r="K10" s="1393"/>
      <c r="L10" s="1393"/>
      <c r="M10" s="1393"/>
      <c r="N10" s="1393"/>
      <c r="O10" s="1393"/>
      <c r="P10" s="1393"/>
    </row>
    <row r="11" spans="1:16" ht="14.4">
      <c r="A11" s="2237"/>
      <c r="B11" s="2238"/>
      <c r="C11" s="48" t="s">
        <v>1925</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ht="14.4">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ht="14.4">
      <c r="A13" s="2237"/>
      <c r="B13" s="2238"/>
      <c r="C13" s="48" t="s">
        <v>1927</v>
      </c>
      <c r="D13" s="48">
        <f t="shared" si="0"/>
        <v>634.52</v>
      </c>
      <c r="E13" s="51">
        <f>SUMPRODUCT(('数据-基础表'!BB10:BK10="地下")*('数据-基础表'!BB11:BK11="车库")*('数据-基础表'!BB5:BK5))</f>
        <v>6074.74</v>
      </c>
      <c r="F13" s="1393"/>
      <c r="G13" s="2236"/>
      <c r="H13" s="2236"/>
      <c r="I13" s="1393"/>
      <c r="J13" s="1393"/>
      <c r="K13" s="1393"/>
      <c r="L13" s="1393"/>
      <c r="M13" s="1393"/>
      <c r="N13" s="1393"/>
      <c r="O13" s="1393"/>
      <c r="P13" s="1393"/>
    </row>
    <row r="14" spans="1:16" ht="14.4">
      <c r="A14" s="2237"/>
      <c r="B14" s="2238"/>
      <c r="C14" s="48" t="s">
        <v>1939</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1934</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 thickBot="1">
      <c r="A16" s="2233"/>
      <c r="B16" s="2238"/>
      <c r="C16" s="50" t="s">
        <v>1928</v>
      </c>
      <c r="D16" s="50">
        <f>SUM(D8:D15)</f>
        <v>5164.9400000000005</v>
      </c>
      <c r="E16" s="53">
        <f>SUM(E8:E15)</f>
        <v>49447.659999999996</v>
      </c>
      <c r="F16" s="1393"/>
      <c r="G16" s="2236"/>
      <c r="H16" s="2239" t="s">
        <v>1940</v>
      </c>
      <c r="I16" s="2240"/>
      <c r="J16" s="1393"/>
      <c r="K16" s="3452" t="s">
        <v>1940</v>
      </c>
      <c r="L16" s="3453"/>
      <c r="M16" s="3453"/>
      <c r="N16" s="3453"/>
      <c r="O16" s="3453"/>
      <c r="P16" s="3454"/>
    </row>
    <row r="17" spans="1:19" ht="14.4">
      <c r="A17" s="2241" t="s">
        <v>1941</v>
      </c>
      <c r="B17" s="2242" t="s">
        <v>1942</v>
      </c>
      <c r="C17" s="2243" t="s">
        <v>1943</v>
      </c>
      <c r="D17" s="2244" t="s">
        <v>1931</v>
      </c>
      <c r="E17" s="2245" t="s">
        <v>1932</v>
      </c>
      <c r="F17" s="2246"/>
      <c r="G17" s="2247"/>
      <c r="H17" s="2248" t="s">
        <v>1944</v>
      </c>
      <c r="I17" s="2249" t="s">
        <v>1929</v>
      </c>
      <c r="J17" s="1393"/>
      <c r="K17" s="3449" t="s">
        <v>1945</v>
      </c>
      <c r="L17" s="3450"/>
      <c r="M17" s="3451"/>
      <c r="N17" s="3449" t="s">
        <v>1946</v>
      </c>
      <c r="O17" s="3450"/>
      <c r="P17" s="3451"/>
      <c r="R17" s="2227" t="s">
        <v>1947</v>
      </c>
      <c r="S17" s="64"/>
    </row>
    <row r="18" spans="1:19" ht="14.4">
      <c r="A18" s="2237"/>
      <c r="B18" s="2250"/>
      <c r="C18" s="2251"/>
      <c r="D18" s="2252"/>
      <c r="E18" s="2253" t="s">
        <v>1948</v>
      </c>
      <c r="F18" s="2254" t="s">
        <v>1949</v>
      </c>
      <c r="G18" s="2255" t="s">
        <v>1950</v>
      </c>
      <c r="H18" s="1263" t="s">
        <v>1951</v>
      </c>
      <c r="I18" s="2256" t="s">
        <v>1952</v>
      </c>
      <c r="J18" s="1393"/>
      <c r="K18" s="1263" t="s">
        <v>1953</v>
      </c>
      <c r="L18" s="2257" t="s">
        <v>1954</v>
      </c>
      <c r="M18" s="1047" t="s">
        <v>1955</v>
      </c>
      <c r="N18" s="1263" t="s">
        <v>1953</v>
      </c>
      <c r="O18" s="2257" t="s">
        <v>1954</v>
      </c>
      <c r="P18" s="1047" t="s">
        <v>1955</v>
      </c>
      <c r="R18" s="1248" t="s">
        <v>1956</v>
      </c>
      <c r="S18" s="1248" t="s">
        <v>1957</v>
      </c>
    </row>
    <row r="19" spans="1:19" ht="14.4">
      <c r="A19" s="2258"/>
      <c r="B19" s="50" t="s">
        <v>1930</v>
      </c>
      <c r="C19" s="2963" t="s">
        <v>3062</v>
      </c>
      <c r="D19" s="48">
        <f>ROUND($D$3*E19/$E$3,2)</f>
        <v>634.52</v>
      </c>
      <c r="E19" s="56">
        <f t="shared" ref="E19:E26" si="1">SUM(F19:G19)</f>
        <v>6074.74</v>
      </c>
      <c r="F19" s="57"/>
      <c r="G19" s="58">
        <f>'数据-基础表'!I5</f>
        <v>6074.74</v>
      </c>
      <c r="H19" s="723">
        <f>ROUND($D$3*I19/$E$3,2)</f>
        <v>8.6300000000000008</v>
      </c>
      <c r="I19" s="51">
        <f t="shared" ref="I19:I26" si="2">IF($I$17="自定义",P19,M19)</f>
        <v>82.64</v>
      </c>
      <c r="J19" s="1393"/>
      <c r="K19" s="1392">
        <f t="shared" ref="K19:K26" si="3">ROUND(E$28*E19/E$27,2)</f>
        <v>82.64</v>
      </c>
      <c r="L19" s="1248">
        <f t="shared" ref="L19:L26" si="4">ROUND(IF(COUNTIF(C19,"*住宅*")&gt;0,E$29*E19/E$32,0),2)</f>
        <v>0</v>
      </c>
      <c r="M19" s="1404">
        <f>K19+L19</f>
        <v>82.64</v>
      </c>
      <c r="N19" s="2259"/>
      <c r="O19" s="2260"/>
      <c r="P19" s="1404">
        <f>N19+O19</f>
        <v>0</v>
      </c>
      <c r="R19" s="1248">
        <f t="shared" ref="R19:S26" si="5">D19+H19</f>
        <v>643.15</v>
      </c>
      <c r="S19" s="1249">
        <f t="shared" si="5"/>
        <v>6157.38</v>
      </c>
    </row>
    <row r="20" spans="1:19" ht="14.4">
      <c r="A20" s="2261"/>
      <c r="B20" s="50" t="s">
        <v>1958</v>
      </c>
      <c r="C20" s="2963" t="s">
        <v>3063</v>
      </c>
      <c r="D20" s="48">
        <f t="shared" ref="D20:D26" si="6">ROUND($D$3*E20/$E$3,2)</f>
        <v>2203.91</v>
      </c>
      <c r="E20" s="56">
        <f t="shared" si="1"/>
        <v>21099.64</v>
      </c>
      <c r="F20" s="57">
        <f>'数据-基础表'!K5</f>
        <v>16984.89</v>
      </c>
      <c r="G20" s="58">
        <f>'数据-基础表'!O17</f>
        <v>4114.75</v>
      </c>
      <c r="H20" s="723">
        <f t="shared" ref="H20:H26" si="7">ROUND($D$3*I20/$E$3,2)</f>
        <v>29.98</v>
      </c>
      <c r="I20" s="51">
        <f t="shared" si="2"/>
        <v>287.02999999999997</v>
      </c>
      <c r="J20" s="1393"/>
      <c r="K20" s="1392">
        <f t="shared" si="3"/>
        <v>287.02999999999997</v>
      </c>
      <c r="L20" s="1248">
        <f t="shared" si="4"/>
        <v>0</v>
      </c>
      <c r="M20" s="1404">
        <f t="shared" ref="M20:M26" si="8">K20+L20</f>
        <v>287.02999999999997</v>
      </c>
      <c r="N20" s="2259"/>
      <c r="O20" s="2260"/>
      <c r="P20" s="1404">
        <f t="shared" ref="P20:P26" si="9">N20+O20</f>
        <v>0</v>
      </c>
      <c r="R20" s="1248">
        <f t="shared" si="5"/>
        <v>2233.89</v>
      </c>
      <c r="S20" s="1249">
        <f t="shared" si="5"/>
        <v>21386.67</v>
      </c>
    </row>
    <row r="21" spans="1:19" ht="14.4">
      <c r="A21" s="2261"/>
      <c r="B21" s="50" t="s">
        <v>1958</v>
      </c>
      <c r="C21" s="2963" t="s">
        <v>3086</v>
      </c>
      <c r="D21" s="48">
        <f t="shared" si="6"/>
        <v>1714.03</v>
      </c>
      <c r="E21" s="56">
        <f t="shared" si="1"/>
        <v>16409.68</v>
      </c>
      <c r="F21" s="2965">
        <f>租约!J104</f>
        <v>16409.68</v>
      </c>
      <c r="G21" s="58"/>
      <c r="H21" s="723">
        <f t="shared" si="7"/>
        <v>23.32</v>
      </c>
      <c r="I21" s="51">
        <f t="shared" si="2"/>
        <v>223.23</v>
      </c>
      <c r="J21" s="1393"/>
      <c r="K21" s="1392">
        <f t="shared" si="3"/>
        <v>223.23</v>
      </c>
      <c r="L21" s="1248">
        <f t="shared" si="4"/>
        <v>0</v>
      </c>
      <c r="M21" s="1404">
        <f t="shared" si="8"/>
        <v>223.23</v>
      </c>
      <c r="N21" s="2259"/>
      <c r="O21" s="2260"/>
      <c r="P21" s="1404">
        <f t="shared" si="9"/>
        <v>0</v>
      </c>
      <c r="R21" s="1248">
        <f t="shared" si="5"/>
        <v>1737.35</v>
      </c>
      <c r="S21" s="1249">
        <f t="shared" si="5"/>
        <v>16632.91</v>
      </c>
    </row>
    <row r="22" spans="1:19" ht="14.4">
      <c r="A22" s="2261"/>
      <c r="B22" s="50" t="s">
        <v>1958</v>
      </c>
      <c r="C22" s="60" t="s">
        <v>3087</v>
      </c>
      <c r="D22" s="48">
        <f t="shared" si="6"/>
        <v>612.47</v>
      </c>
      <c r="E22" s="56">
        <f t="shared" si="1"/>
        <v>5863.5999999999985</v>
      </c>
      <c r="F22" s="2966">
        <f>'数据-基础表'!M5-'数据-汇总表'!F21</f>
        <v>5863.5999999999985</v>
      </c>
      <c r="G22" s="62"/>
      <c r="H22" s="723">
        <f t="shared" si="7"/>
        <v>8.33</v>
      </c>
      <c r="I22" s="51">
        <f t="shared" si="2"/>
        <v>79.77</v>
      </c>
      <c r="J22" s="1393"/>
      <c r="K22" s="1392">
        <f t="shared" si="3"/>
        <v>79.77</v>
      </c>
      <c r="L22" s="1248">
        <f t="shared" si="4"/>
        <v>0</v>
      </c>
      <c r="M22" s="1404">
        <f t="shared" si="8"/>
        <v>79.77</v>
      </c>
      <c r="N22" s="2259"/>
      <c r="O22" s="2260"/>
      <c r="P22" s="1404">
        <f t="shared" si="9"/>
        <v>0</v>
      </c>
      <c r="R22" s="1248">
        <f t="shared" si="5"/>
        <v>620.80000000000007</v>
      </c>
      <c r="S22" s="1249">
        <f t="shared" si="5"/>
        <v>5943.369999999999</v>
      </c>
    </row>
    <row r="23" spans="1:19" ht="14.4">
      <c r="A23" s="2261"/>
      <c r="B23" s="50" t="s">
        <v>1958</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ht="14.4">
      <c r="A24" s="2261"/>
      <c r="B24" s="50" t="s">
        <v>1958</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ht="14.4">
      <c r="A25" s="2261"/>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ht="14.4">
      <c r="A26" s="2261"/>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28.2" thickBot="1">
      <c r="A27" s="2261"/>
      <c r="B27" s="48"/>
      <c r="C27" s="2264" t="s">
        <v>1959</v>
      </c>
      <c r="D27" s="1394">
        <f>SUM(D19:D26)</f>
        <v>5164.93</v>
      </c>
      <c r="E27" s="1395">
        <f>IF(SUM(E19:E26)='数据-基础表'!BA5,SUM(E19:E26),IF(F27="地上面积有误","面积有误","地下面积有误"))</f>
        <v>49447.659999999996</v>
      </c>
      <c r="F27" s="1394">
        <f>IF(SUM(F19:F26)=E8,SUM(F19:F26),"地上面积有误")</f>
        <v>39258.17</v>
      </c>
      <c r="G27" s="1396">
        <f>SUM(G19:G26)</f>
        <v>10189.49</v>
      </c>
      <c r="H27" s="1397">
        <f>SUM(H19:H26)</f>
        <v>70.260000000000005</v>
      </c>
      <c r="I27" s="1398">
        <f>SUM(I19:I26)</f>
        <v>672.67</v>
      </c>
      <c r="J27" s="1393"/>
      <c r="K27" s="1401">
        <f t="shared" ref="K27:P27" si="10">SUM(K19:K26)</f>
        <v>672.67</v>
      </c>
      <c r="L27" s="1402">
        <f t="shared" si="10"/>
        <v>0</v>
      </c>
      <c r="M27" s="1405">
        <f t="shared" si="10"/>
        <v>672.67</v>
      </c>
      <c r="N27" s="1401">
        <f t="shared" si="10"/>
        <v>0</v>
      </c>
      <c r="O27" s="1402">
        <f t="shared" si="10"/>
        <v>0</v>
      </c>
      <c r="P27" s="1403">
        <f t="shared" si="10"/>
        <v>0</v>
      </c>
      <c r="R27" s="1250" t="str">
        <f>IF(SUM(R19:R26)=$D$3,SUM(R19:R26),SUM(R19:R26)&amp;"误差"&amp;ROUND(SUM(R19:R26)-$D$3,2))</f>
        <v>5235.19误差-0.01</v>
      </c>
      <c r="S27" s="1248" t="str">
        <f>IF(SUM(S19:S26)=$E$3,SUM(S19:S26),SUM(S19:S26)&amp;"误差"&amp;ROUND(SUM(S19:S26)-E3,2))</f>
        <v>50120.33误差0.01</v>
      </c>
    </row>
    <row r="28" spans="1:19" ht="14.4">
      <c r="A28" s="2261"/>
      <c r="B28" s="50" t="s">
        <v>1960</v>
      </c>
      <c r="C28" s="1260" t="s">
        <v>1961</v>
      </c>
      <c r="D28" s="48">
        <f>ROUND($D$3*E28/$E$3,2)</f>
        <v>70.260000000000005</v>
      </c>
      <c r="E28" s="56">
        <f>SUM(F28:G28)</f>
        <v>672.66000000000008</v>
      </c>
      <c r="F28" s="64">
        <f>'数据-基础表'!BQ5+'数据-基础表'!BS5</f>
        <v>0</v>
      </c>
      <c r="G28" s="65">
        <f>'数据-基础表'!BR5+'数据-基础表'!BT5</f>
        <v>672.66000000000008</v>
      </c>
      <c r="H28" s="1393"/>
      <c r="I28" s="1393"/>
      <c r="J28" s="1393"/>
      <c r="K28" s="1393"/>
      <c r="L28" s="1393"/>
      <c r="M28" s="1393"/>
      <c r="N28" s="1393"/>
      <c r="O28" s="1393"/>
      <c r="P28" s="1393"/>
    </row>
    <row r="29" spans="1:19" ht="14.4">
      <c r="A29" s="2261"/>
      <c r="B29" s="50" t="s">
        <v>1960</v>
      </c>
      <c r="C29" s="2265"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4.4">
      <c r="A30" s="2261"/>
      <c r="B30" s="50"/>
      <c r="C30" s="2266" t="s">
        <v>1959</v>
      </c>
      <c r="D30" s="1394">
        <f>SUM(D28:D29)</f>
        <v>70.260000000000005</v>
      </c>
      <c r="E30" s="1394">
        <f>SUM(E28:E29)</f>
        <v>672.66000000000008</v>
      </c>
      <c r="F30" s="1394">
        <f>SUM(F28:F29)</f>
        <v>0</v>
      </c>
      <c r="G30" s="1396">
        <f>SUM(G28:G29)</f>
        <v>672.66000000000008</v>
      </c>
      <c r="H30" s="1393"/>
      <c r="I30" s="1393"/>
      <c r="J30" s="1393"/>
      <c r="K30" s="1393"/>
      <c r="L30" s="1393"/>
      <c r="M30" s="1393"/>
      <c r="N30" s="1393"/>
      <c r="O30" s="1393"/>
      <c r="P30" s="1393"/>
    </row>
    <row r="31" spans="1:19" ht="15" thickBot="1">
      <c r="A31" s="2267"/>
      <c r="B31" s="2268"/>
      <c r="C31" s="1008" t="s">
        <v>1963</v>
      </c>
      <c r="D31" s="729">
        <f>D27+D30</f>
        <v>5235.1900000000005</v>
      </c>
      <c r="E31" s="729">
        <f>E27+E30</f>
        <v>50120.32</v>
      </c>
      <c r="F31" s="730">
        <f>F27+F30</f>
        <v>39258.17</v>
      </c>
      <c r="G31" s="731">
        <f>G27+G30</f>
        <v>10862.15</v>
      </c>
      <c r="H31" s="1393"/>
      <c r="I31" s="1393"/>
      <c r="J31" s="1393"/>
      <c r="K31" s="1393"/>
      <c r="L31" s="1393"/>
      <c r="M31" s="1393"/>
      <c r="N31" s="1393"/>
      <c r="O31" s="1393"/>
      <c r="P31" s="1393"/>
    </row>
    <row r="32" spans="1:19" ht="14.4">
      <c r="A32" s="2232"/>
      <c r="B32" s="2232" t="s">
        <v>1964</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2" sqref="N22"/>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13.44140625" style="2273" customWidth="1"/>
    <col min="22" max="22" width="6.33203125" style="2273" customWidth="1"/>
    <col min="23" max="25" width="6.77734375" style="2273" customWidth="1"/>
    <col min="26" max="26" width="10.109375" style="2273" customWidth="1"/>
    <col min="27"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1965</v>
      </c>
      <c r="B1" s="732"/>
      <c r="C1" s="1582"/>
      <c r="D1" s="227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 thickBot="1">
      <c r="A2" s="2274" t="s">
        <v>1966</v>
      </c>
      <c r="B2" s="1267">
        <f>项目基本情况!D3</f>
        <v>43458</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4.4" thickBot="1">
      <c r="A3" s="2030"/>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57.6">
      <c r="A5" s="2287" t="s">
        <v>1973</v>
      </c>
      <c r="B5" s="2288" t="s">
        <v>1974</v>
      </c>
      <c r="C5" s="2289" t="s">
        <v>1975</v>
      </c>
      <c r="D5" s="2290" t="s">
        <v>1976</v>
      </c>
      <c r="E5" s="1269" t="s">
        <v>1977</v>
      </c>
      <c r="F5" s="2291" t="s">
        <v>1978</v>
      </c>
      <c r="G5" s="1269" t="s">
        <v>1979</v>
      </c>
      <c r="H5" s="1269" t="s">
        <v>1980</v>
      </c>
      <c r="I5" s="1269" t="s">
        <v>1981</v>
      </c>
      <c r="J5" s="2292" t="s">
        <v>1982</v>
      </c>
      <c r="K5" s="2293" t="s">
        <v>1983</v>
      </c>
      <c r="L5" s="2294" t="s">
        <v>1984</v>
      </c>
      <c r="M5" s="2295" t="s">
        <v>1985</v>
      </c>
      <c r="N5" s="2296" t="s">
        <v>3064</v>
      </c>
      <c r="O5" s="2294" t="s">
        <v>1986</v>
      </c>
      <c r="P5" s="2297" t="s">
        <v>1987</v>
      </c>
      <c r="Q5" s="69" t="s">
        <v>1988</v>
      </c>
      <c r="R5" s="2298" t="s">
        <v>1989</v>
      </c>
      <c r="S5" s="2299" t="s">
        <v>1990</v>
      </c>
      <c r="T5" s="2300" t="s">
        <v>1991</v>
      </c>
      <c r="U5" s="1268" t="s">
        <v>1992</v>
      </c>
      <c r="V5" s="1269" t="s">
        <v>1993</v>
      </c>
      <c r="W5" s="1269" t="s">
        <v>1994</v>
      </c>
      <c r="X5" s="71"/>
      <c r="Y5" s="70" t="s">
        <v>1995</v>
      </c>
      <c r="Z5" s="2301" t="s">
        <v>1992</v>
      </c>
      <c r="AA5" s="1269" t="s">
        <v>1993</v>
      </c>
      <c r="AB5" s="1269" t="s">
        <v>1994</v>
      </c>
      <c r="AC5" s="71"/>
      <c r="AD5" s="71" t="s">
        <v>1995</v>
      </c>
      <c r="AE5" s="1268" t="s">
        <v>1996</v>
      </c>
      <c r="AF5" s="1269" t="s">
        <v>1997</v>
      </c>
      <c r="AG5" s="70" t="s">
        <v>1998</v>
      </c>
      <c r="AH5" s="1268" t="s">
        <v>1999</v>
      </c>
      <c r="AI5" s="2301" t="s">
        <v>2000</v>
      </c>
      <c r="AJ5" s="2301" t="s">
        <v>2001</v>
      </c>
      <c r="AK5" s="1269" t="s">
        <v>2002</v>
      </c>
      <c r="AL5" s="1269" t="s">
        <v>2003</v>
      </c>
      <c r="AM5" s="70" t="s">
        <v>2004</v>
      </c>
      <c r="AN5" s="2302" t="s">
        <v>2005</v>
      </c>
      <c r="AO5" s="2073" t="s">
        <v>2006</v>
      </c>
      <c r="AP5" s="1250"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4">
      <c r="A6" s="2304" t="str">
        <f>'数据-汇总表'!C19</f>
        <v>车库</v>
      </c>
      <c r="B6" s="2305" t="str">
        <f>IF(A6=0,"","经营性")</f>
        <v>经营性</v>
      </c>
      <c r="C6" s="2964" t="s">
        <v>3079</v>
      </c>
      <c r="D6" s="1052">
        <f>SUMIF(项目基本情况!D$12:I$12,C6,项目基本情况!D$14:I$14)</f>
        <v>50</v>
      </c>
      <c r="E6" s="1049">
        <f>IF(B6="","",SUMIF(项目基本情况!D$12:I$12,C6,项目基本情况!D$13:I$13))</f>
        <v>57383</v>
      </c>
      <c r="F6" s="72">
        <f>SUMIF(项目基本情况!D$12:I$12,C6,项目基本情况!D$15:I$15)</f>
        <v>38.15</v>
      </c>
      <c r="G6" s="73">
        <f t="shared" ref="G6:G13" ca="1" si="0">IF(ISERROR(ROUND(POWER(1+H6,D6-F6)*(POWER(1+H6,F6)-1)/(POWER(1+H6,D6)-1),3)),0,ROUND(POWER(1+H6,D6-F6)*(POWER(1+H6,F6)-1)/(POWER(1+H6,D6)-1),3))</f>
        <v>0.92900000000000005</v>
      </c>
      <c r="H6" s="802">
        <f ca="1">H9</f>
        <v>5.1999999999999998E-2</v>
      </c>
      <c r="I6" s="802">
        <v>5.6000000000000001E-2</v>
      </c>
      <c r="J6" s="74">
        <v>8.5000000000000006E-2</v>
      </c>
      <c r="K6" s="1252">
        <f>SUMIF('数据-汇总表'!C$19:C$33,A6,'数据-汇总表'!E$19:E$33)</f>
        <v>6074.74</v>
      </c>
      <c r="L6" s="803">
        <v>3500</v>
      </c>
      <c r="M6" s="75">
        <f t="shared" ref="M6:M14" si="1">ROUND(K6*L6/10000,0)</f>
        <v>2126</v>
      </c>
      <c r="N6" s="801">
        <f>ROUND(1-4/60,2)</f>
        <v>0.93</v>
      </c>
      <c r="O6" s="75" t="str">
        <f>IF($N$5="成新度","——",ROUND(M6*N6,0))</f>
        <v>——</v>
      </c>
      <c r="P6" s="76" t="str">
        <f>IF($N$5="成新度","——",M6-O6)</f>
        <v>——</v>
      </c>
      <c r="Q6" s="804">
        <v>0.05</v>
      </c>
      <c r="R6" s="77">
        <f ca="1">SUMIF('数据-汇总表'!C$19:C$33,A6,'数据-汇总表'!R$19:R$27)</f>
        <v>643.15</v>
      </c>
      <c r="S6" s="54">
        <f>IF('数据-汇总表'!$I$17="按面积比例",SUMIF('数据-汇总表'!C$19:C$33,A6,'数据-汇总表'!K$19:K$33),SUMIF('数据-汇总表'!C$19:C$33,A6,'数据-汇总表'!N$19:N$33))</f>
        <v>82.64</v>
      </c>
      <c r="T6" s="1444">
        <f>ROUND($L$14*S6/10000,0)</f>
        <v>29</v>
      </c>
      <c r="U6" s="78">
        <v>1200</v>
      </c>
      <c r="V6" s="79">
        <v>0.03</v>
      </c>
      <c r="W6" s="79">
        <v>0.1</v>
      </c>
      <c r="X6" s="1262"/>
      <c r="Y6" s="80">
        <f>N6</f>
        <v>0.93</v>
      </c>
      <c r="Z6" s="81"/>
      <c r="AA6" s="74"/>
      <c r="AB6" s="74"/>
      <c r="AC6" s="1262"/>
      <c r="AD6" s="82"/>
      <c r="AE6" s="1263">
        <f ca="1">IF(AN6="",0,SUMIF(INDIRECT("'"&amp;AN6&amp;"'"&amp;"!E:E"),$AE$5,INDIRECT("'"&amp;AN6&amp;"'"&amp;"!F:F")))</f>
        <v>38.15</v>
      </c>
      <c r="AF6" s="1805"/>
      <c r="AG6" s="147">
        <f>IF(AF6="",0,AE6-AF6)</f>
        <v>0</v>
      </c>
      <c r="AH6" s="83">
        <f>128</f>
        <v>128</v>
      </c>
      <c r="AI6" s="85">
        <v>12</v>
      </c>
      <c r="AJ6" s="86"/>
      <c r="AK6" s="87">
        <v>1.4999999999999999E-2</v>
      </c>
      <c r="AL6" s="88">
        <v>1.5E-3</v>
      </c>
      <c r="AM6" s="89">
        <v>0.01</v>
      </c>
      <c r="AN6" s="2307" t="s">
        <v>3076</v>
      </c>
      <c r="AO6" s="55">
        <f ca="1">SUMIF(INDIRECT("'"&amp;AN6&amp;"'"&amp;"!A:A"),"总价",INDIRECT("'"&amp;AN6&amp;"'"&amp;"!B:B"))</f>
        <v>2096</v>
      </c>
      <c r="AP6" s="2308">
        <f>IF(C6="住宅",K6*L6,0)</f>
        <v>0</v>
      </c>
      <c r="AQ6" s="55">
        <f>ROUND($L$14*$N$14*S6/10000,0)</f>
        <v>27</v>
      </c>
      <c r="AR6" s="55">
        <f>ROUND($L$14*(1-$N$14)*S6/10000,0)</f>
        <v>2</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4">
      <c r="A7" s="2304" t="str">
        <f>'数据-汇总表'!C20</f>
        <v>酒店</v>
      </c>
      <c r="B7" s="2305" t="str">
        <f t="shared" ref="B7:B13" si="2">IF(A7=0,"","经营性")</f>
        <v>经营性</v>
      </c>
      <c r="C7" s="2964" t="s">
        <v>3078</v>
      </c>
      <c r="D7" s="1052">
        <f>SUMIF(项目基本情况!D$12:I$12,C7,项目基本情况!D$14:I$14)</f>
        <v>40</v>
      </c>
      <c r="E7" s="1049">
        <f>IF(B7="","",SUMIF(项目基本情况!D$12:I$12,C7,项目基本情况!D$13:I$13))</f>
        <v>53730</v>
      </c>
      <c r="F7" s="72">
        <f>SUMIF(项目基本情况!D$12:I$12,C7,项目基本情况!D$15:I$15)</f>
        <v>28.14</v>
      </c>
      <c r="G7" s="73">
        <f t="shared" ca="1" si="0"/>
        <v>0.88</v>
      </c>
      <c r="H7" s="802">
        <f ca="1">基准地价修正商业!M17</f>
        <v>5.3999999999999999E-2</v>
      </c>
      <c r="I7" s="3242">
        <v>0.06</v>
      </c>
      <c r="J7" s="74">
        <v>8.5000000000000006E-2</v>
      </c>
      <c r="K7" s="1252">
        <f>SUMIF('数据-汇总表'!C$19:C$33,A7,'数据-汇总表'!E$19:E$33)</f>
        <v>21099.64</v>
      </c>
      <c r="L7" s="803">
        <v>6000</v>
      </c>
      <c r="M7" s="75">
        <f t="shared" si="1"/>
        <v>12660</v>
      </c>
      <c r="N7" s="801">
        <f t="shared" ref="N7:N9" si="3">ROUND(1-4/60,2)</f>
        <v>0.93</v>
      </c>
      <c r="O7" s="75" t="str">
        <f t="shared" ref="O7:O14" si="4">IF($N$5="成新度","——",ROUND(M7*N7,0))</f>
        <v>——</v>
      </c>
      <c r="P7" s="76" t="str">
        <f t="shared" ref="P7:P14" si="5">IF($N$5="成新度","——",M7-O7)</f>
        <v>——</v>
      </c>
      <c r="Q7" s="804">
        <v>0.2</v>
      </c>
      <c r="R7" s="77">
        <f ca="1">SUMIF('数据-汇总表'!C$19:C$33,A7,'数据-汇总表'!R$19:R$27)</f>
        <v>2233.89</v>
      </c>
      <c r="S7" s="54">
        <f>IF('数据-汇总表'!$I$17="按面积比例",SUMIF('数据-汇总表'!C$19:C$33,A7,'数据-汇总表'!K$19:K$33),SUMIF('数据-汇总表'!C$19:C$33,A7,'数据-汇总表'!N$19:N$33))</f>
        <v>287.02999999999997</v>
      </c>
      <c r="T7" s="1444">
        <f t="shared" ref="T7:T13" si="6">ROUND($L$14*S7/10000,0)</f>
        <v>100</v>
      </c>
      <c r="U7" s="78">
        <f>酒店收入计算!E26*10000</f>
        <v>17680000</v>
      </c>
      <c r="V7" s="79">
        <v>3.5000000000000003E-2</v>
      </c>
      <c r="W7" s="79">
        <v>0</v>
      </c>
      <c r="X7" s="1262"/>
      <c r="Y7" s="80">
        <f t="shared" ref="Y7:Y8" si="7">N7</f>
        <v>0.93</v>
      </c>
      <c r="Z7" s="81"/>
      <c r="AA7" s="74"/>
      <c r="AB7" s="74"/>
      <c r="AC7" s="1262"/>
      <c r="AD7" s="82"/>
      <c r="AE7" s="1263">
        <f t="shared" ref="AE7:AE13" ca="1" si="8">IF(AN7="",0,SUMIF(INDIRECT("'"&amp;AN7&amp;"'"&amp;"!E:E"),$AE$5,INDIRECT("'"&amp;AN7&amp;"'"&amp;"!F:F")))</f>
        <v>28.14</v>
      </c>
      <c r="AF7" s="1805"/>
      <c r="AG7" s="147">
        <f t="shared" ref="AG7:AG13" si="9">IF(AF7="",0,AE7-AF7)</f>
        <v>0</v>
      </c>
      <c r="AH7" s="83">
        <v>1</v>
      </c>
      <c r="AI7" s="85">
        <v>1</v>
      </c>
      <c r="AJ7" s="86"/>
      <c r="AK7" s="3243">
        <v>0.01</v>
      </c>
      <c r="AL7" s="88">
        <v>1.5E-3</v>
      </c>
      <c r="AM7" s="3244">
        <v>5.0000000000000001E-3</v>
      </c>
      <c r="AN7" s="2307" t="s">
        <v>3074</v>
      </c>
      <c r="AO7" s="55">
        <f t="shared" ref="AO7:AO13" ca="1" si="10">SUMIF(INDIRECT("'"&amp;AN7&amp;"'"&amp;"!A:A"),"总价",INDIRECT("'"&amp;AN7&amp;"'"&amp;"!B:B"))</f>
        <v>25889</v>
      </c>
      <c r="AP7" s="2308">
        <f t="shared" ref="AP7:AP13" si="11">IF(C7="住宅",K7*L7,0)</f>
        <v>0</v>
      </c>
      <c r="AQ7" s="55">
        <f t="shared" ref="AQ7:AQ13" si="12">ROUND($L$14*$N$14*S7/10000,0)</f>
        <v>93</v>
      </c>
      <c r="AR7" s="55">
        <f t="shared" ref="AR7:AR13" si="13">ROUND($L$14*(1-$N$14)*S7/10000,0)</f>
        <v>7</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3.8">
      <c r="A8" s="2304" t="str">
        <f>'数据-汇总表'!C21</f>
        <v>办公-出租</v>
      </c>
      <c r="B8" s="2305" t="str">
        <f t="shared" si="2"/>
        <v>经营性</v>
      </c>
      <c r="C8" s="2306" t="s">
        <v>27</v>
      </c>
      <c r="D8" s="1052">
        <f>SUMIF(项目基本情况!D$12:I$12,C8,项目基本情况!D$14:I$14)</f>
        <v>50</v>
      </c>
      <c r="E8" s="1049">
        <f>IF(B8="","",SUMIF(项目基本情况!D$12:I$12,C8,项目基本情况!D$13:I$13))</f>
        <v>57383</v>
      </c>
      <c r="F8" s="72">
        <f>SUMIF(项目基本情况!D$12:I$12,C8,项目基本情况!D$15:I$15)</f>
        <v>38.15</v>
      </c>
      <c r="G8" s="73">
        <f t="shared" ca="1" si="0"/>
        <v>0.92900000000000005</v>
      </c>
      <c r="H8" s="802">
        <f ca="1">基准地价修正办公!N17</f>
        <v>5.1999999999999998E-2</v>
      </c>
      <c r="I8" s="802">
        <v>5.6000000000000001E-2</v>
      </c>
      <c r="J8" s="74">
        <v>8.5000000000000006E-2</v>
      </c>
      <c r="K8" s="1252">
        <f>SUMIF('数据-汇总表'!C$19:C$33,A8,'数据-汇总表'!E$19:E$33)</f>
        <v>16409.68</v>
      </c>
      <c r="L8" s="803">
        <v>4500</v>
      </c>
      <c r="M8" s="75">
        <f>ROUND(K8*L8/10000,0)</f>
        <v>7384</v>
      </c>
      <c r="N8" s="801">
        <f t="shared" si="3"/>
        <v>0.93</v>
      </c>
      <c r="O8" s="75" t="str">
        <f t="shared" si="4"/>
        <v>——</v>
      </c>
      <c r="P8" s="76" t="str">
        <f t="shared" si="5"/>
        <v>——</v>
      </c>
      <c r="Q8" s="804">
        <v>0.25</v>
      </c>
      <c r="R8" s="77">
        <f ca="1">SUMIF('数据-汇总表'!C$19:C$33,A8,'数据-汇总表'!R$19:R$27)</f>
        <v>1737.35</v>
      </c>
      <c r="S8" s="54">
        <f>IF('数据-汇总表'!$I$17="按面积比例",SUMIF('数据-汇总表'!C$19:C$33,A8,'数据-汇总表'!K$19:K$33),SUMIF('数据-汇总表'!C$19:C$33,A8,'数据-汇总表'!N$19:N$33))</f>
        <v>223.23</v>
      </c>
      <c r="T8" s="1444">
        <f t="shared" si="6"/>
        <v>78</v>
      </c>
      <c r="U8" s="81">
        <f>ROUND(租约!Q104,0)</f>
        <v>50567387</v>
      </c>
      <c r="V8" s="805">
        <v>0</v>
      </c>
      <c r="W8" s="805">
        <v>0</v>
      </c>
      <c r="X8" s="1262"/>
      <c r="Y8" s="80">
        <f t="shared" si="7"/>
        <v>0.93</v>
      </c>
      <c r="Z8" s="81">
        <f>ROUND(U9*(1+AA8)^AF8*365*K8,1)</f>
        <v>71161341.900000006</v>
      </c>
      <c r="AA8" s="74">
        <v>3.5000000000000003E-2</v>
      </c>
      <c r="AB8" s="74">
        <v>0.08</v>
      </c>
      <c r="AC8" s="1262"/>
      <c r="AD8" s="82">
        <f>ROUND(1-9/60,2)</f>
        <v>0.85</v>
      </c>
      <c r="AE8" s="1263">
        <f t="shared" ca="1" si="8"/>
        <v>38.15</v>
      </c>
      <c r="AF8" s="1805">
        <f>租约!B111</f>
        <v>5.01</v>
      </c>
      <c r="AG8" s="147">
        <f t="shared" ca="1" si="9"/>
        <v>33.14</v>
      </c>
      <c r="AH8" s="806">
        <v>1</v>
      </c>
      <c r="AI8" s="85">
        <v>1</v>
      </c>
      <c r="AJ8" s="86"/>
      <c r="AK8" s="807">
        <v>1.4999999999999999E-2</v>
      </c>
      <c r="AL8" s="808">
        <v>1.5E-3</v>
      </c>
      <c r="AM8" s="809">
        <v>0.01</v>
      </c>
      <c r="AN8" s="2307" t="s">
        <v>3300</v>
      </c>
      <c r="AO8" s="55">
        <f t="shared" ca="1" si="10"/>
        <v>107843</v>
      </c>
      <c r="AP8" s="2308">
        <f t="shared" si="11"/>
        <v>0</v>
      </c>
      <c r="AQ8" s="55">
        <f t="shared" si="12"/>
        <v>73</v>
      </c>
      <c r="AR8" s="55">
        <f t="shared" si="13"/>
        <v>5</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3.8">
      <c r="A9" s="2304" t="str">
        <f>'数据-汇总表'!C22</f>
        <v>办公-未出租</v>
      </c>
      <c r="B9" s="2305" t="str">
        <f t="shared" si="2"/>
        <v>经营性</v>
      </c>
      <c r="C9" s="2306" t="s">
        <v>27</v>
      </c>
      <c r="D9" s="1052">
        <f>SUMIF(项目基本情况!D$12:I$12,C9,项目基本情况!D$14:I$14)</f>
        <v>50</v>
      </c>
      <c r="E9" s="1049">
        <f>IF(B9="","",SUMIF(项目基本情况!D$12:I$12,C9,项目基本情况!D$13:I$13))</f>
        <v>57383</v>
      </c>
      <c r="F9" s="72">
        <f>SUMIF(项目基本情况!D$12:I$12,C9,项目基本情况!D$15:I$15)</f>
        <v>38.15</v>
      </c>
      <c r="G9" s="73">
        <f t="shared" ca="1" si="0"/>
        <v>0.92900000000000005</v>
      </c>
      <c r="H9" s="802">
        <f ca="1">H8</f>
        <v>5.1999999999999998E-2</v>
      </c>
      <c r="I9" s="802">
        <v>5.6000000000000001E-2</v>
      </c>
      <c r="J9" s="74">
        <v>8.5000000000000006E-2</v>
      </c>
      <c r="K9" s="1252">
        <f>SUMIF('数据-汇总表'!C$19:C$33,A9,'数据-汇总表'!E$19:E$33)</f>
        <v>5863.5999999999985</v>
      </c>
      <c r="L9" s="803">
        <v>4500</v>
      </c>
      <c r="M9" s="75">
        <f t="shared" si="1"/>
        <v>2639</v>
      </c>
      <c r="N9" s="801">
        <f t="shared" si="3"/>
        <v>0.93</v>
      </c>
      <c r="O9" s="75" t="str">
        <f t="shared" si="4"/>
        <v>——</v>
      </c>
      <c r="P9" s="76" t="str">
        <f t="shared" si="5"/>
        <v>——</v>
      </c>
      <c r="Q9" s="90">
        <v>0.25</v>
      </c>
      <c r="R9" s="77">
        <f ca="1">SUMIF('数据-汇总表'!C$19:C$33,A9,'数据-汇总表'!R$19:R$27)</f>
        <v>620.80000000000007</v>
      </c>
      <c r="S9" s="54">
        <f>IF('数据-汇总表'!$I$17="按面积比例",SUMIF('数据-汇总表'!C$19:C$33,A9,'数据-汇总表'!K$19:K$33),SUMIF('数据-汇总表'!C$19:C$33,A9,'数据-汇总表'!N$19:N$33))</f>
        <v>79.77</v>
      </c>
      <c r="T9" s="1444">
        <f t="shared" si="6"/>
        <v>28</v>
      </c>
      <c r="U9" s="78">
        <v>10</v>
      </c>
      <c r="V9" s="79">
        <v>3.5000000000000003E-2</v>
      </c>
      <c r="W9" s="79">
        <v>0.08</v>
      </c>
      <c r="X9" s="1262"/>
      <c r="Y9" s="80">
        <v>0.93</v>
      </c>
      <c r="Z9" s="81"/>
      <c r="AA9" s="74"/>
      <c r="AB9" s="74"/>
      <c r="AC9" s="1262"/>
      <c r="AD9" s="82"/>
      <c r="AE9" s="1263">
        <f t="shared" ca="1" si="8"/>
        <v>38.15</v>
      </c>
      <c r="AF9" s="1805"/>
      <c r="AG9" s="147">
        <f t="shared" si="9"/>
        <v>0</v>
      </c>
      <c r="AH9" s="83"/>
      <c r="AI9" s="85">
        <v>365</v>
      </c>
      <c r="AJ9" s="86"/>
      <c r="AK9" s="807">
        <v>1.4999999999999999E-2</v>
      </c>
      <c r="AL9" s="808">
        <v>1.5E-3</v>
      </c>
      <c r="AM9" s="809">
        <v>0.01</v>
      </c>
      <c r="AN9" s="2307" t="s">
        <v>3298</v>
      </c>
      <c r="AO9" s="55">
        <f t="shared" ca="1" si="10"/>
        <v>39317</v>
      </c>
      <c r="AP9" s="2308">
        <f t="shared" si="11"/>
        <v>0</v>
      </c>
      <c r="AQ9" s="55">
        <f t="shared" si="12"/>
        <v>26</v>
      </c>
      <c r="AR9" s="55">
        <f t="shared" si="13"/>
        <v>2</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3.8">
      <c r="A10" s="2304">
        <f>'数据-汇总表'!C23</f>
        <v>0</v>
      </c>
      <c r="B10" s="2305" t="str">
        <f t="shared" si="2"/>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0"/>
        <v>0</v>
      </c>
      <c r="H10" s="74"/>
      <c r="I10" s="74"/>
      <c r="J10" s="74"/>
      <c r="K10" s="1252">
        <f>SUMIF('数据-汇总表'!C$19:C$33,A10,'数据-汇总表'!E$19:E$33)</f>
        <v>0</v>
      </c>
      <c r="L10" s="803"/>
      <c r="M10" s="75">
        <f t="shared" si="1"/>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4">
        <f t="shared" si="6"/>
        <v>0</v>
      </c>
      <c r="U10" s="78"/>
      <c r="V10" s="79"/>
      <c r="W10" s="79"/>
      <c r="X10" s="1262"/>
      <c r="Y10" s="80"/>
      <c r="Z10" s="81"/>
      <c r="AA10" s="74"/>
      <c r="AB10" s="74"/>
      <c r="AC10" s="1262"/>
      <c r="AD10" s="82"/>
      <c r="AE10" s="1263">
        <f t="shared" ca="1" si="8"/>
        <v>0</v>
      </c>
      <c r="AF10" s="1805"/>
      <c r="AG10" s="147">
        <f t="shared" si="9"/>
        <v>0</v>
      </c>
      <c r="AH10" s="83"/>
      <c r="AI10" s="85"/>
      <c r="AJ10" s="86"/>
      <c r="AK10" s="87"/>
      <c r="AL10" s="88"/>
      <c r="AM10" s="89"/>
      <c r="AN10" s="2307"/>
      <c r="AO10" s="55" t="e">
        <f t="shared" ca="1" si="10"/>
        <v>#REF!</v>
      </c>
      <c r="AP10" s="2308">
        <f t="shared" si="11"/>
        <v>0</v>
      </c>
      <c r="AQ10" s="55">
        <f t="shared" si="12"/>
        <v>0</v>
      </c>
      <c r="AR10" s="55">
        <f t="shared" si="13"/>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3.8">
      <c r="A11" s="2304">
        <f>'数据-汇总表'!C24</f>
        <v>0</v>
      </c>
      <c r="B11" s="2305" t="str">
        <f t="shared" si="2"/>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0"/>
        <v>0</v>
      </c>
      <c r="H11" s="74"/>
      <c r="I11" s="74"/>
      <c r="J11" s="74"/>
      <c r="K11" s="1252">
        <f>SUMIF('数据-汇总表'!C$19:C$33,A11,'数据-汇总表'!E$19:E$33)</f>
        <v>0</v>
      </c>
      <c r="L11" s="91"/>
      <c r="M11" s="75">
        <f t="shared" si="1"/>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4">
        <f t="shared" si="6"/>
        <v>0</v>
      </c>
      <c r="U11" s="83"/>
      <c r="V11" s="74"/>
      <c r="W11" s="74"/>
      <c r="X11" s="1262"/>
      <c r="Y11" s="80"/>
      <c r="Z11" s="93"/>
      <c r="AA11" s="74"/>
      <c r="AB11" s="74"/>
      <c r="AC11" s="1262"/>
      <c r="AD11" s="82"/>
      <c r="AE11" s="1263">
        <f t="shared" ca="1" si="8"/>
        <v>0</v>
      </c>
      <c r="AF11" s="1805"/>
      <c r="AG11" s="147">
        <f t="shared" si="9"/>
        <v>0</v>
      </c>
      <c r="AH11" s="83"/>
      <c r="AI11" s="85"/>
      <c r="AJ11" s="86"/>
      <c r="AK11" s="94"/>
      <c r="AL11" s="95"/>
      <c r="AM11" s="96"/>
      <c r="AN11" s="2307"/>
      <c r="AO11" s="55" t="e">
        <f t="shared" ca="1" si="10"/>
        <v>#REF!</v>
      </c>
      <c r="AP11" s="2308">
        <f t="shared" si="11"/>
        <v>0</v>
      </c>
      <c r="AQ11" s="55">
        <f t="shared" si="12"/>
        <v>0</v>
      </c>
      <c r="AR11" s="55">
        <f t="shared" si="13"/>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3.8">
      <c r="A12" s="2304">
        <f>'数据-汇总表'!C25</f>
        <v>0</v>
      </c>
      <c r="B12" s="2305" t="str">
        <f t="shared" si="2"/>
        <v/>
      </c>
      <c r="C12" s="2306"/>
      <c r="D12" s="1052">
        <f>SUMIF(项目基本情况!D$12:I$12,C12,项目基本情况!D$14:I$14)</f>
        <v>0</v>
      </c>
      <c r="E12" s="1049" t="str">
        <f>IF(B12="","",SUMIF(项目基本情况!D$12:I$12,C12,项目基本情况!D$13:I$13))</f>
        <v/>
      </c>
      <c r="F12" s="72">
        <f>SUMIF(项目基本情况!D$12:I$12,C12,项目基本情况!D$15:I$15)</f>
        <v>0</v>
      </c>
      <c r="G12" s="73">
        <f t="shared" si="0"/>
        <v>0</v>
      </c>
      <c r="H12" s="74"/>
      <c r="I12" s="74"/>
      <c r="J12" s="74"/>
      <c r="K12" s="1252">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4">
        <f t="shared" si="6"/>
        <v>0</v>
      </c>
      <c r="U12" s="83"/>
      <c r="V12" s="74"/>
      <c r="W12" s="74"/>
      <c r="X12" s="1262"/>
      <c r="Y12" s="80"/>
      <c r="Z12" s="93"/>
      <c r="AA12" s="74"/>
      <c r="AB12" s="74"/>
      <c r="AC12" s="1262"/>
      <c r="AD12" s="82"/>
      <c r="AE12" s="1263">
        <f t="shared" ca="1" si="8"/>
        <v>0</v>
      </c>
      <c r="AF12" s="1805"/>
      <c r="AG12" s="147">
        <f t="shared" si="9"/>
        <v>0</v>
      </c>
      <c r="AH12" s="83"/>
      <c r="AI12" s="85"/>
      <c r="AJ12" s="86"/>
      <c r="AK12" s="94"/>
      <c r="AL12" s="95"/>
      <c r="AM12" s="96"/>
      <c r="AN12" s="2307"/>
      <c r="AO12" s="55" t="e">
        <f t="shared" ca="1" si="10"/>
        <v>#REF!</v>
      </c>
      <c r="AP12" s="2308">
        <f t="shared" si="11"/>
        <v>0</v>
      </c>
      <c r="AQ12" s="55">
        <f t="shared" si="12"/>
        <v>0</v>
      </c>
      <c r="AR12" s="55">
        <f t="shared" si="13"/>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3.8">
      <c r="A13" s="2304">
        <f>'数据-汇总表'!C26</f>
        <v>0</v>
      </c>
      <c r="B13" s="2305" t="str">
        <f t="shared" si="2"/>
        <v/>
      </c>
      <c r="C13" s="2306"/>
      <c r="D13" s="1052">
        <f>SUMIF(项目基本情况!D$12:I$12,C13,项目基本情况!D$14:I$14)</f>
        <v>0</v>
      </c>
      <c r="E13" s="1049" t="str">
        <f>IF(B13="","",SUMIF(项目基本情况!D$12:I$12,C13,项目基本情况!D$13:I$13))</f>
        <v/>
      </c>
      <c r="F13" s="72">
        <f>SUMIF(项目基本情况!D$12:I$12,C13,项目基本情况!D$15:I$15)</f>
        <v>0</v>
      </c>
      <c r="G13" s="73">
        <f t="shared" si="0"/>
        <v>0</v>
      </c>
      <c r="H13" s="74"/>
      <c r="I13" s="74"/>
      <c r="J13" s="74"/>
      <c r="K13" s="1252">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4">
        <f t="shared" si="6"/>
        <v>0</v>
      </c>
      <c r="U13" s="78"/>
      <c r="V13" s="79"/>
      <c r="W13" s="79"/>
      <c r="X13" s="1262"/>
      <c r="Y13" s="80"/>
      <c r="Z13" s="81"/>
      <c r="AA13" s="74"/>
      <c r="AB13" s="74"/>
      <c r="AC13" s="1262"/>
      <c r="AD13" s="82"/>
      <c r="AE13" s="1263">
        <f t="shared" ca="1" si="8"/>
        <v>0</v>
      </c>
      <c r="AF13" s="1805"/>
      <c r="AG13" s="147">
        <f t="shared" si="9"/>
        <v>0</v>
      </c>
      <c r="AH13" s="83"/>
      <c r="AI13" s="85"/>
      <c r="AJ13" s="86"/>
      <c r="AK13" s="87"/>
      <c r="AL13" s="88"/>
      <c r="AM13" s="89"/>
      <c r="AN13" s="2307"/>
      <c r="AO13" s="55" t="e">
        <f t="shared" ca="1" si="10"/>
        <v>#REF!</v>
      </c>
      <c r="AP13" s="2308">
        <f t="shared" si="11"/>
        <v>0</v>
      </c>
      <c r="AQ13" s="55">
        <f t="shared" si="12"/>
        <v>0</v>
      </c>
      <c r="AR13" s="55">
        <f t="shared" si="13"/>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4">
      <c r="A14" s="2309" t="s">
        <v>2010</v>
      </c>
      <c r="B14" s="2305" t="s">
        <v>2011</v>
      </c>
      <c r="C14" s="2310" t="s">
        <v>2010</v>
      </c>
      <c r="D14" s="1052"/>
      <c r="E14" s="1049"/>
      <c r="F14" s="72"/>
      <c r="G14" s="73"/>
      <c r="H14" s="1251"/>
      <c r="I14" s="1251"/>
      <c r="J14" s="1251"/>
      <c r="K14" s="1252">
        <f>SUMIF('数据-汇总表'!C$19:C$33,A14,'数据-汇总表'!E$19:E$33)</f>
        <v>672.66000000000008</v>
      </c>
      <c r="L14" s="91">
        <v>3500</v>
      </c>
      <c r="M14" s="75">
        <f t="shared" si="1"/>
        <v>235</v>
      </c>
      <c r="N14" s="92">
        <v>0.93</v>
      </c>
      <c r="O14" s="75" t="str">
        <f t="shared" si="4"/>
        <v>——</v>
      </c>
      <c r="P14" s="76" t="str">
        <f t="shared" si="5"/>
        <v>——</v>
      </c>
      <c r="Q14" s="1255"/>
      <c r="R14" s="77"/>
      <c r="S14" s="54"/>
      <c r="T14" s="1444"/>
      <c r="U14" s="723"/>
      <c r="V14" s="1257"/>
      <c r="W14" s="1257"/>
      <c r="X14" s="1258"/>
      <c r="Y14" s="1259"/>
      <c r="Z14" s="1260"/>
      <c r="AA14" s="1261"/>
      <c r="AB14" s="1261"/>
      <c r="AC14" s="1262"/>
      <c r="AD14" s="1258"/>
      <c r="AE14" s="1263"/>
      <c r="AF14" s="55"/>
      <c r="AG14" s="147"/>
      <c r="AH14" s="1263"/>
      <c r="AI14" s="1816"/>
      <c r="AJ14" s="773"/>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8.8">
      <c r="A15" s="2309" t="s">
        <v>2012</v>
      </c>
      <c r="B15" s="2305" t="s">
        <v>2011</v>
      </c>
      <c r="C15" s="2310"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6"/>
      <c r="AJ15" s="773"/>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 thickBot="1">
      <c r="A16" s="2311" t="s">
        <v>2014</v>
      </c>
      <c r="B16" s="97"/>
      <c r="C16" s="1006"/>
      <c r="D16" s="2312"/>
      <c r="E16" s="97"/>
      <c r="F16" s="97"/>
      <c r="G16" s="98">
        <f ca="1">ROUND(SUMPRODUCT(G6:G13,K6:K13)/SUMPRODUCT((G6:G13&gt;0)*(K6:K13)),3)</f>
        <v>0.90800000000000003</v>
      </c>
      <c r="H16" s="99">
        <f ca="1">ROUND(SUMPRODUCT(H6:H13,K6:K13)/SUMPRODUCT((H6:H13&gt;0)*(K6:K13)),3)</f>
        <v>5.2999999999999999E-2</v>
      </c>
      <c r="I16" s="100"/>
      <c r="J16" s="100"/>
      <c r="K16" s="101">
        <f>SUM(K6:K15)</f>
        <v>50120.32</v>
      </c>
      <c r="L16" s="102">
        <f>ROUND(M16*10000/SUM(K6:K14),0)</f>
        <v>4997</v>
      </c>
      <c r="M16" s="102">
        <f>SUM(M6:M14)</f>
        <v>25044</v>
      </c>
      <c r="N16" s="103">
        <f>ROUND(SUMPRODUCT(M6:M14,N6:N14)/M16,3)</f>
        <v>0.93</v>
      </c>
      <c r="O16" s="102">
        <f>SUM(O6:O14)</f>
        <v>0</v>
      </c>
      <c r="P16" s="102">
        <f>SUM(P6:P14)</f>
        <v>0</v>
      </c>
      <c r="Q16" s="104">
        <f>ROUND(SUMPRODUCT(Q6:Q13,K6:K13)/SUMPRODUCT((Q6:Q13&gt;0)*(K6:K13)),2)</f>
        <v>0.2</v>
      </c>
      <c r="R16" s="1256">
        <f ca="1">SUM(R6:R13)</f>
        <v>5235.1899999999996</v>
      </c>
      <c r="S16" s="105">
        <f>SUM(S6:S13)</f>
        <v>672.67</v>
      </c>
      <c r="T16" s="106">
        <f>IF(SUMIF(T6:T13,"&lt;9E307")=M14,SUMIF(T6:T13,"&lt;9E307"),"有误，请检查")</f>
        <v>235</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2"/>
      <c r="D17" s="2271"/>
      <c r="E17" s="227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8"/>
      <c r="C18" s="2275"/>
      <c r="D18" s="2276"/>
      <c r="E18" s="2275"/>
      <c r="F18" s="2275"/>
      <c r="G18" s="2275"/>
      <c r="H18" s="2275"/>
      <c r="I18" s="2275"/>
      <c r="J18" s="227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4">
      <c r="A19" s="2314" t="s">
        <v>2016</v>
      </c>
      <c r="B19" s="112">
        <v>0</v>
      </c>
      <c r="C19" s="2275" t="s">
        <v>2017</v>
      </c>
      <c r="D19" s="2276"/>
      <c r="E19" s="2275"/>
      <c r="F19" s="2275"/>
      <c r="G19" s="2275"/>
      <c r="H19" s="2275"/>
      <c r="I19" s="2275"/>
      <c r="J19" s="227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4">
      <c r="A20" s="2315" t="s">
        <v>2018</v>
      </c>
      <c r="B20" s="113">
        <v>2</v>
      </c>
      <c r="C20" s="2275" t="s">
        <v>2019</v>
      </c>
      <c r="D20" s="2276"/>
      <c r="E20" s="2275"/>
      <c r="F20" s="2275"/>
      <c r="G20" s="2275"/>
      <c r="H20" s="2275"/>
      <c r="I20" s="2275"/>
      <c r="J20" s="227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4">
      <c r="A21" s="2316" t="s">
        <v>2020</v>
      </c>
      <c r="B21" s="113">
        <v>2</v>
      </c>
      <c r="C21" s="2275"/>
      <c r="D21" s="2276"/>
      <c r="E21" s="2275"/>
      <c r="F21" s="2275"/>
      <c r="G21" s="2275"/>
      <c r="H21" s="2275"/>
      <c r="I21" s="2275"/>
      <c r="J21" s="2275"/>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4">
      <c r="A22" s="2315" t="s">
        <v>2021</v>
      </c>
      <c r="B22" s="114">
        <f>B19+B20</f>
        <v>2</v>
      </c>
      <c r="C22" s="2275"/>
      <c r="D22" s="2276"/>
      <c r="E22" s="2275"/>
      <c r="F22" s="2275"/>
      <c r="G22" s="2275"/>
      <c r="H22" s="2275"/>
      <c r="I22" s="2275"/>
      <c r="J22" s="2275"/>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4">
      <c r="A23" s="2316" t="s">
        <v>2022</v>
      </c>
      <c r="B23" s="114">
        <f>B19+B21</f>
        <v>2</v>
      </c>
      <c r="C23" s="2275"/>
      <c r="D23" s="2276"/>
      <c r="E23" s="2275"/>
      <c r="F23" s="2275"/>
      <c r="G23" s="2275"/>
      <c r="H23" s="2275"/>
      <c r="I23" s="2275"/>
      <c r="J23" s="2275"/>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2023</v>
      </c>
      <c r="B24" s="115">
        <f>B20-B21</f>
        <v>0</v>
      </c>
      <c r="C24" s="2275"/>
      <c r="D24" s="2276"/>
      <c r="E24" s="2275"/>
      <c r="F24" s="2275"/>
      <c r="G24" s="2275"/>
      <c r="H24" s="2275"/>
      <c r="I24" s="2275"/>
      <c r="J24" s="2275"/>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4.4" thickBot="1">
      <c r="A25" s="2030"/>
      <c r="B25" s="2278"/>
      <c r="C25" s="2275"/>
      <c r="D25" s="2276"/>
      <c r="E25" s="2275"/>
      <c r="F25" s="2275"/>
      <c r="G25" s="2275"/>
      <c r="H25" s="2275"/>
      <c r="I25" s="2275"/>
      <c r="J25" s="2275"/>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2024</v>
      </c>
      <c r="B26" s="2318" t="s">
        <v>2025</v>
      </c>
      <c r="C26" s="2319" t="s">
        <v>2026</v>
      </c>
      <c r="D26" s="2276"/>
      <c r="E26" s="2275"/>
      <c r="F26" s="2275"/>
      <c r="G26" s="2275"/>
      <c r="H26" s="2275"/>
      <c r="I26" s="2275"/>
      <c r="J26" s="227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8.8">
      <c r="A27" s="2320" t="s">
        <v>2027</v>
      </c>
      <c r="B27" s="116">
        <v>160</v>
      </c>
      <c r="C27" s="1765" t="s">
        <v>2028</v>
      </c>
      <c r="D27" s="2321"/>
      <c r="E27" s="1582">
        <f ca="1">基准地价修正办公!O62</f>
        <v>188044</v>
      </c>
      <c r="F27" s="1428"/>
      <c r="G27" s="2275"/>
      <c r="H27" s="2275"/>
      <c r="I27" s="2275"/>
      <c r="J27" s="2275"/>
      <c r="K27" s="168"/>
      <c r="L27" s="168"/>
      <c r="M27" s="1582"/>
      <c r="N27" s="1582"/>
      <c r="O27" s="1582"/>
      <c r="P27" s="1582"/>
      <c r="Q27" s="1582"/>
      <c r="R27" s="1582"/>
      <c r="S27" s="1582"/>
      <c r="T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8.8">
      <c r="A28" s="2323" t="s">
        <v>2029</v>
      </c>
      <c r="B28" s="119">
        <v>200</v>
      </c>
      <c r="C28" s="2324"/>
      <c r="D28" s="2321"/>
      <c r="E28" s="1428"/>
      <c r="F28" s="1428"/>
      <c r="G28" s="2275"/>
      <c r="H28" s="2275"/>
      <c r="I28" s="2275"/>
      <c r="J28" s="227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9.4" thickBot="1">
      <c r="A29" s="2325" t="s">
        <v>2030</v>
      </c>
      <c r="B29" s="121">
        <f>ROUND(B28*K16/10000,0)</f>
        <v>1002</v>
      </c>
      <c r="C29" s="1765" t="s">
        <v>2031</v>
      </c>
      <c r="D29" s="2321"/>
      <c r="E29" s="1428"/>
      <c r="F29" s="1428"/>
      <c r="G29" s="2275"/>
      <c r="H29" s="2275"/>
      <c r="I29" s="2275"/>
      <c r="J29" s="227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8.8">
      <c r="A30" s="2326" t="s">
        <v>2032</v>
      </c>
      <c r="B30" s="724">
        <v>200</v>
      </c>
      <c r="C30" s="2324"/>
      <c r="D30" s="2321"/>
      <c r="E30" s="1428"/>
      <c r="F30" s="1428"/>
      <c r="G30" s="2275"/>
      <c r="H30" s="2275"/>
      <c r="I30" s="2275"/>
      <c r="J30" s="227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8.8">
      <c r="A31" s="2323" t="s">
        <v>2033</v>
      </c>
      <c r="B31" s="120">
        <f>B30-B32</f>
        <v>200</v>
      </c>
      <c r="C31" s="1765"/>
      <c r="D31" s="2321"/>
      <c r="E31" s="1428"/>
      <c r="F31" s="1428"/>
      <c r="G31" s="2275"/>
      <c r="H31" s="2275"/>
      <c r="I31" s="2275"/>
      <c r="J31" s="227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9.4" thickBot="1">
      <c r="A32" s="2327" t="s">
        <v>2034</v>
      </c>
      <c r="B32" s="725">
        <v>0</v>
      </c>
      <c r="C32" s="2324"/>
      <c r="D32" s="2276"/>
      <c r="E32" s="2275"/>
      <c r="F32" s="2275"/>
      <c r="G32" s="2275"/>
      <c r="H32" s="2275"/>
      <c r="I32" s="2275"/>
      <c r="J32" s="227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4">
      <c r="A33" s="2320" t="s">
        <v>2035</v>
      </c>
      <c r="B33" s="726">
        <v>0.04</v>
      </c>
      <c r="C33" s="1764" t="s">
        <v>2036</v>
      </c>
      <c r="D33" s="2276"/>
      <c r="E33" s="2275"/>
      <c r="F33" s="2275"/>
      <c r="G33" s="2275"/>
      <c r="H33" s="2275"/>
      <c r="I33" s="2275"/>
      <c r="J33" s="227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4">
      <c r="A34" s="2323" t="s">
        <v>2037</v>
      </c>
      <c r="B34" s="122">
        <v>0</v>
      </c>
      <c r="C34" s="1764" t="s">
        <v>2038</v>
      </c>
      <c r="D34" s="2276" t="s">
        <v>2039</v>
      </c>
      <c r="E34" s="732"/>
      <c r="F34" s="2275"/>
      <c r="G34" s="2275"/>
      <c r="H34" s="2275"/>
      <c r="I34" s="2275"/>
      <c r="J34" s="227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4">
      <c r="A35" s="2323" t="s">
        <v>2040</v>
      </c>
      <c r="B35" s="119">
        <v>200</v>
      </c>
      <c r="C35" s="1764" t="s">
        <v>2041</v>
      </c>
      <c r="D35" s="2321"/>
      <c r="E35" s="1428"/>
      <c r="F35" s="1428"/>
      <c r="G35" s="2275"/>
      <c r="H35" s="2275"/>
      <c r="I35" s="2275"/>
      <c r="J35" s="227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2042</v>
      </c>
      <c r="B36" s="123">
        <v>1.4999999999999999E-2</v>
      </c>
      <c r="C36" s="1764" t="s">
        <v>2043</v>
      </c>
      <c r="D36" s="2276"/>
      <c r="E36" s="2275"/>
      <c r="F36" s="2275"/>
      <c r="G36" s="2275"/>
      <c r="H36" s="2275"/>
      <c r="I36" s="2275"/>
      <c r="J36" s="227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4">
      <c r="A37" s="2326" t="s">
        <v>2044</v>
      </c>
      <c r="B37" s="124">
        <v>0.02</v>
      </c>
      <c r="C37" s="1764" t="s">
        <v>2045</v>
      </c>
      <c r="D37" s="2276"/>
      <c r="E37" s="2275"/>
      <c r="F37" s="2275"/>
      <c r="G37" s="2275"/>
      <c r="H37" s="2275"/>
      <c r="I37" s="2275"/>
      <c r="J37" s="227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4">
      <c r="A38" s="2323" t="s">
        <v>2046</v>
      </c>
      <c r="B38" s="122">
        <v>0.02</v>
      </c>
      <c r="C38" s="1764" t="s">
        <v>2045</v>
      </c>
      <c r="D38" s="2276"/>
      <c r="E38" s="2275"/>
      <c r="F38" s="2275"/>
      <c r="G38" s="2275"/>
      <c r="H38" s="2275"/>
      <c r="I38" s="2275"/>
      <c r="J38" s="227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4">
      <c r="A39" s="2327" t="s">
        <v>2047</v>
      </c>
      <c r="B39" s="362">
        <f ca="1">存贷款利率!I1</f>
        <v>1.4999999999999999E-2</v>
      </c>
      <c r="C39" s="1764"/>
      <c r="D39" s="2276"/>
      <c r="E39" s="2275"/>
      <c r="F39" s="2275"/>
      <c r="G39" s="2275"/>
      <c r="H39" s="2275"/>
      <c r="I39" s="2275"/>
      <c r="J39" s="227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2048</v>
      </c>
      <c r="B40" s="1301">
        <f ca="1">存贷款利率!G1</f>
        <v>4.7500000000000001E-2</v>
      </c>
      <c r="C40" s="1764" t="s">
        <v>2049</v>
      </c>
      <c r="D40" s="1582"/>
      <c r="E40" s="2276"/>
      <c r="F40" s="2275"/>
      <c r="G40" s="2275"/>
      <c r="H40" s="2275"/>
      <c r="I40" s="2275"/>
      <c r="J40" s="227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4">
      <c r="A41" s="2320" t="s">
        <v>2050</v>
      </c>
      <c r="B41" s="125">
        <f>B42+B43</f>
        <v>5.6000000000000001E-2</v>
      </c>
      <c r="C41" s="1765"/>
      <c r="D41" s="1582"/>
      <c r="E41" s="2276"/>
      <c r="F41" s="2275"/>
      <c r="G41" s="2275"/>
      <c r="H41" s="2275"/>
      <c r="I41" s="2275"/>
      <c r="J41" s="227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4">
      <c r="A42" s="2328" t="s">
        <v>2051</v>
      </c>
      <c r="B42" s="126">
        <v>0.05</v>
      </c>
      <c r="C42" s="2329">
        <f>IF(B2&lt;DATE(2016,5,1),0,B42)</f>
        <v>0.05</v>
      </c>
      <c r="D42" s="2276"/>
      <c r="E42" s="2275"/>
      <c r="F42" s="2275"/>
      <c r="G42" s="2275"/>
      <c r="H42" s="2275"/>
      <c r="I42" s="2275"/>
      <c r="J42" s="227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4">
      <c r="A43" s="2328" t="s">
        <v>2052</v>
      </c>
      <c r="B43" s="127">
        <f>B42*(B44+B45+B46)+B47</f>
        <v>6.000000000000001E-3</v>
      </c>
      <c r="C43" s="1765"/>
      <c r="D43" s="2276"/>
      <c r="E43" s="2275"/>
      <c r="F43" s="2275"/>
      <c r="G43" s="2275"/>
      <c r="H43" s="2275"/>
      <c r="I43" s="2275"/>
      <c r="J43" s="227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4">
      <c r="A44" s="2330" t="s">
        <v>2053</v>
      </c>
      <c r="B44" s="128">
        <v>7.0000000000000007E-2</v>
      </c>
      <c r="C44" s="1764" t="s">
        <v>2054</v>
      </c>
      <c r="D44" s="2276"/>
      <c r="E44" s="2275"/>
      <c r="F44" s="2275"/>
      <c r="G44" s="2275"/>
      <c r="H44" s="2275"/>
      <c r="I44" s="2275"/>
      <c r="J44" s="227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4">
      <c r="A45" s="2330" t="s">
        <v>2055</v>
      </c>
      <c r="B45" s="126">
        <v>0.03</v>
      </c>
      <c r="C45" s="1765" t="s">
        <v>2056</v>
      </c>
      <c r="D45" s="2276"/>
      <c r="E45" s="2275"/>
      <c r="F45" s="2275"/>
      <c r="G45" s="2275"/>
      <c r="H45" s="2275"/>
      <c r="I45" s="2275"/>
      <c r="J45" s="227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4">
      <c r="A46" s="2330" t="s">
        <v>2057</v>
      </c>
      <c r="B46" s="126">
        <v>0.02</v>
      </c>
      <c r="C46" s="1765" t="s">
        <v>2058</v>
      </c>
      <c r="D46" s="2276"/>
      <c r="E46" s="2275"/>
      <c r="F46" s="2275"/>
      <c r="G46" s="2275"/>
      <c r="H46" s="2275"/>
      <c r="I46" s="2275"/>
      <c r="J46" s="227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2059</v>
      </c>
      <c r="B47" s="129"/>
      <c r="C47" s="1765" t="s">
        <v>2060</v>
      </c>
      <c r="D47" s="2276"/>
      <c r="E47" s="2275"/>
      <c r="F47" s="2275"/>
      <c r="G47" s="2275"/>
      <c r="H47" s="2275"/>
      <c r="I47" s="2275"/>
      <c r="J47" s="227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4">
      <c r="A48" s="2332" t="s">
        <v>2061</v>
      </c>
      <c r="B48" s="130">
        <v>0.03</v>
      </c>
      <c r="C48" s="1772" t="s">
        <v>2062</v>
      </c>
      <c r="D48" s="2276"/>
      <c r="E48" s="2275"/>
      <c r="F48" s="2275"/>
      <c r="G48" s="2275"/>
      <c r="H48" s="2275"/>
      <c r="I48" s="2275"/>
      <c r="J48" s="227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2063</v>
      </c>
      <c r="B49" s="126">
        <v>5.0000000000000001E-4</v>
      </c>
      <c r="C49" s="1772" t="s">
        <v>2064</v>
      </c>
      <c r="D49" s="2276"/>
      <c r="E49" s="2275"/>
      <c r="F49" s="2275"/>
      <c r="G49" s="2275"/>
      <c r="H49" s="2275"/>
      <c r="I49" s="2275"/>
      <c r="J49" s="227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4">
      <c r="A50" s="2333" t="s">
        <v>2065</v>
      </c>
      <c r="B50" s="131">
        <v>1.2E-2</v>
      </c>
      <c r="C50" s="1428"/>
      <c r="D50" s="2276"/>
      <c r="E50" s="2275"/>
      <c r="F50" s="2275"/>
      <c r="G50" s="2275"/>
      <c r="H50" s="2275"/>
      <c r="I50" s="2275"/>
      <c r="J50" s="227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2066</v>
      </c>
      <c r="B51" s="132">
        <v>0.12</v>
      </c>
      <c r="C51" s="1428"/>
      <c r="D51" s="2276"/>
      <c r="E51" s="2275"/>
      <c r="F51" s="2275"/>
      <c r="G51" s="2275"/>
      <c r="H51" s="2275"/>
      <c r="I51" s="2275"/>
      <c r="J51" s="227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4">
      <c r="A52" s="2333" t="s">
        <v>2067</v>
      </c>
      <c r="B52" s="133">
        <f>SUMIF(A54:A63,B53,B54:B63)</f>
        <v>12</v>
      </c>
      <c r="C52" s="1428"/>
      <c r="D52" s="2276"/>
      <c r="E52" s="2275"/>
      <c r="F52" s="2275"/>
      <c r="G52" s="2275"/>
      <c r="H52" s="2275"/>
      <c r="I52" s="2275"/>
      <c r="J52" s="227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8.8">
      <c r="A53" s="2323" t="s">
        <v>2068</v>
      </c>
      <c r="B53" s="2334" t="s">
        <v>137</v>
      </c>
      <c r="C53" s="1428" t="s">
        <v>2069</v>
      </c>
      <c r="D53" s="2335" t="s">
        <v>2070</v>
      </c>
      <c r="E53" s="2275"/>
      <c r="F53" s="2275"/>
      <c r="G53" s="2275"/>
      <c r="H53" s="2275"/>
      <c r="I53" s="2275"/>
      <c r="J53" s="227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4">
      <c r="A54" s="2336" t="s">
        <v>2071</v>
      </c>
      <c r="B54" s="84"/>
      <c r="C54" s="1428">
        <v>30</v>
      </c>
      <c r="D54" s="2276"/>
      <c r="E54" s="2275"/>
      <c r="F54" s="2275"/>
      <c r="G54" s="2275"/>
      <c r="H54" s="2275"/>
      <c r="I54" s="2275"/>
      <c r="J54" s="227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4">
      <c r="A55" s="2336" t="s">
        <v>2072</v>
      </c>
      <c r="B55" s="84"/>
      <c r="C55" s="1428">
        <v>24</v>
      </c>
      <c r="D55" s="2276"/>
      <c r="E55" s="2275"/>
      <c r="F55" s="2275"/>
      <c r="G55" s="2275"/>
      <c r="H55" s="2275"/>
      <c r="I55" s="2337"/>
      <c r="J55" s="227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4">
      <c r="A56" s="2336" t="s">
        <v>2073</v>
      </c>
      <c r="B56" s="84"/>
      <c r="C56" s="1428">
        <v>18</v>
      </c>
      <c r="D56" s="2276"/>
      <c r="E56" s="2275"/>
      <c r="F56" s="2275"/>
      <c r="G56" s="2275"/>
      <c r="H56" s="2275"/>
      <c r="I56" s="2275"/>
      <c r="J56" s="227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4">
      <c r="A57" s="2336" t="s">
        <v>2074</v>
      </c>
      <c r="B57" s="84">
        <v>12</v>
      </c>
      <c r="C57" s="1428">
        <v>12</v>
      </c>
      <c r="D57" s="2276"/>
      <c r="E57" s="2275"/>
      <c r="F57" s="2275"/>
      <c r="G57" s="2275"/>
      <c r="H57" s="2275"/>
      <c r="I57" s="2275"/>
      <c r="J57" s="227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4">
      <c r="A58" s="2336" t="s">
        <v>2075</v>
      </c>
      <c r="B58" s="84"/>
      <c r="C58" s="1428">
        <v>3</v>
      </c>
      <c r="D58" s="2276"/>
      <c r="E58" s="2275"/>
      <c r="F58" s="2275"/>
      <c r="G58" s="2275"/>
      <c r="H58" s="2275"/>
      <c r="I58" s="2275"/>
      <c r="J58" s="227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4">
      <c r="A59" s="2336" t="s">
        <v>2076</v>
      </c>
      <c r="B59" s="84"/>
      <c r="C59" s="1428">
        <v>1.5</v>
      </c>
      <c r="D59" s="2276"/>
      <c r="E59" s="2275"/>
      <c r="F59" s="2275"/>
      <c r="G59" s="2275"/>
      <c r="H59" s="2275"/>
      <c r="I59" s="2275"/>
      <c r="J59" s="227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4">
      <c r="A60" s="2336" t="s">
        <v>2077</v>
      </c>
      <c r="B60" s="84"/>
      <c r="C60" s="2275"/>
      <c r="D60" s="2276"/>
      <c r="E60" s="2275"/>
      <c r="F60" s="2275"/>
      <c r="G60" s="2275"/>
      <c r="H60" s="2275"/>
      <c r="I60" s="2275"/>
      <c r="J60" s="227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4">
      <c r="A61" s="2336" t="s">
        <v>2078</v>
      </c>
      <c r="B61" s="84"/>
      <c r="C61" s="2275"/>
      <c r="D61" s="2276"/>
      <c r="E61" s="2275"/>
      <c r="F61" s="2275"/>
      <c r="G61" s="2275"/>
      <c r="H61" s="2275"/>
      <c r="I61" s="2275"/>
      <c r="J61" s="227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4">
      <c r="A62" s="2336" t="s">
        <v>2079</v>
      </c>
      <c r="B62" s="84"/>
      <c r="C62" s="2275"/>
      <c r="D62" s="2276"/>
      <c r="E62" s="2275"/>
      <c r="F62" s="2275"/>
      <c r="G62" s="2275"/>
      <c r="H62" s="2275"/>
      <c r="I62" s="2275"/>
      <c r="J62" s="227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2080</v>
      </c>
      <c r="B63" s="134"/>
      <c r="C63" s="2275"/>
      <c r="D63" s="2276"/>
      <c r="E63" s="2275"/>
      <c r="F63" s="2275"/>
      <c r="G63" s="2275"/>
      <c r="H63" s="2275"/>
      <c r="I63" s="2275"/>
      <c r="J63" s="227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8"/>
      <c r="L64" s="798"/>
    </row>
    <row r="65" spans="1:12" s="965" customFormat="1">
      <c r="A65" s="2339"/>
      <c r="D65" s="2340"/>
      <c r="K65" s="798"/>
      <c r="L65" s="798"/>
    </row>
    <row r="66" spans="1:12" s="965" customFormat="1">
      <c r="A66" s="2339"/>
      <c r="D66" s="2340"/>
      <c r="K66" s="798"/>
      <c r="L66" s="798"/>
    </row>
    <row r="67" spans="1:12" s="965" customFormat="1">
      <c r="A67" s="2339"/>
      <c r="D67" s="2340"/>
      <c r="K67" s="798"/>
      <c r="L67" s="798"/>
    </row>
    <row r="68" spans="1:12" s="965" customFormat="1">
      <c r="A68" s="2339"/>
      <c r="D68" s="2340"/>
      <c r="K68" s="798"/>
      <c r="L68" s="798"/>
    </row>
    <row r="69" spans="1:12" s="965" customFormat="1">
      <c r="A69" s="2339"/>
      <c r="D69" s="2340"/>
      <c r="K69" s="798"/>
      <c r="L69" s="798"/>
    </row>
    <row r="70" spans="1:12" s="965" customFormat="1">
      <c r="A70" s="2339"/>
      <c r="D70" s="2340"/>
      <c r="K70" s="798"/>
      <c r="L70" s="798"/>
    </row>
    <row r="71" spans="1:12" s="965" customFormat="1">
      <c r="A71" s="2339"/>
      <c r="D71" s="2340"/>
      <c r="K71" s="798"/>
      <c r="L71" s="798"/>
    </row>
    <row r="72" spans="1:12" s="965" customFormat="1">
      <c r="A72" s="2339"/>
      <c r="D72" s="2340"/>
      <c r="K72" s="798"/>
      <c r="L72" s="798"/>
    </row>
    <row r="73" spans="1:12" s="965" customFormat="1">
      <c r="A73" s="2339"/>
      <c r="D73" s="2340"/>
      <c r="K73" s="798"/>
      <c r="L73" s="798"/>
    </row>
    <row r="74" spans="1:12" s="965" customFormat="1">
      <c r="A74" s="2339"/>
      <c r="D74" s="2340"/>
      <c r="K74" s="798"/>
      <c r="L74" s="798"/>
    </row>
    <row r="75" spans="1:12" s="965" customFormat="1">
      <c r="A75" s="2339"/>
      <c r="D75" s="2340"/>
      <c r="K75" s="798"/>
      <c r="L75" s="798"/>
    </row>
    <row r="76" spans="1:12" s="965" customFormat="1">
      <c r="A76" s="2339"/>
      <c r="D76" s="2340"/>
      <c r="K76" s="798"/>
      <c r="L76" s="798"/>
    </row>
    <row r="77" spans="1:12" s="965" customFormat="1">
      <c r="A77" s="2339"/>
      <c r="D77" s="2340"/>
      <c r="K77" s="798"/>
      <c r="L77" s="798"/>
    </row>
    <row r="78" spans="1:12" s="965" customFormat="1">
      <c r="A78" s="2339"/>
      <c r="D78" s="2340"/>
      <c r="K78" s="798"/>
      <c r="L78" s="798"/>
    </row>
    <row r="79" spans="1:12" s="965" customFormat="1">
      <c r="A79" s="2339"/>
      <c r="D79" s="2340"/>
      <c r="K79" s="798"/>
      <c r="L79" s="798"/>
    </row>
    <row r="80" spans="1:12" s="965" customFormat="1">
      <c r="A80" s="2339"/>
      <c r="D80" s="2340"/>
      <c r="K80" s="798"/>
      <c r="L80" s="798"/>
    </row>
    <row r="81" spans="1:12" s="965" customFormat="1">
      <c r="A81" s="2339"/>
      <c r="D81" s="2340"/>
      <c r="K81" s="798"/>
      <c r="L81" s="798"/>
    </row>
    <row r="82" spans="1:12" s="965" customFormat="1">
      <c r="A82" s="2339"/>
      <c r="D82" s="2340"/>
      <c r="K82" s="798"/>
      <c r="L82" s="798"/>
    </row>
    <row r="83" spans="1:12" s="965" customFormat="1">
      <c r="A83" s="2339"/>
      <c r="D83" s="2340"/>
      <c r="K83" s="798"/>
      <c r="L83" s="798"/>
    </row>
    <row r="84" spans="1:12" s="965" customFormat="1">
      <c r="A84" s="2339"/>
      <c r="D84" s="2340"/>
      <c r="K84" s="798"/>
      <c r="L84" s="798"/>
    </row>
    <row r="85" spans="1:12" s="965" customFormat="1">
      <c r="A85" s="2339"/>
      <c r="D85" s="2340"/>
      <c r="K85" s="798"/>
      <c r="L85" s="798"/>
    </row>
    <row r="86" spans="1:12" s="965" customFormat="1">
      <c r="A86" s="2339"/>
      <c r="D86" s="2340"/>
      <c r="K86" s="798"/>
      <c r="L86" s="798"/>
    </row>
    <row r="87" spans="1:12" s="965" customFormat="1">
      <c r="A87" s="2339"/>
      <c r="D87" s="2340"/>
      <c r="K87" s="798"/>
      <c r="L87" s="798"/>
    </row>
    <row r="88" spans="1:12" s="965" customFormat="1">
      <c r="A88" s="2339"/>
      <c r="D88" s="2340"/>
      <c r="K88" s="798"/>
      <c r="L88" s="798"/>
    </row>
    <row r="89" spans="1:12" s="965" customFormat="1">
      <c r="A89" s="2339"/>
      <c r="D89" s="2340"/>
      <c r="K89" s="798"/>
      <c r="L89" s="798"/>
    </row>
    <row r="90" spans="1:12" s="965" customFormat="1">
      <c r="A90" s="2339"/>
      <c r="D90" s="2340"/>
      <c r="K90" s="798"/>
      <c r="L90" s="798"/>
    </row>
    <row r="91" spans="1:12" s="965" customFormat="1">
      <c r="A91" s="2339"/>
      <c r="D91" s="2340"/>
      <c r="K91" s="798"/>
      <c r="L91" s="798"/>
    </row>
    <row r="92" spans="1:12" s="965" customFormat="1">
      <c r="A92" s="2339"/>
      <c r="D92" s="2340"/>
      <c r="K92" s="798"/>
      <c r="L92" s="798"/>
    </row>
    <row r="93" spans="1:12" s="965" customFormat="1">
      <c r="A93" s="2339"/>
      <c r="D93" s="2340"/>
      <c r="K93" s="798"/>
      <c r="L93" s="798"/>
    </row>
    <row r="94" spans="1:12" s="965" customFormat="1">
      <c r="A94" s="2339"/>
      <c r="D94" s="2340"/>
      <c r="K94" s="798"/>
      <c r="L94" s="798"/>
    </row>
    <row r="95" spans="1:12" s="965" customFormat="1">
      <c r="A95" s="2339"/>
      <c r="D95" s="2340"/>
      <c r="K95" s="798"/>
      <c r="L95" s="798"/>
    </row>
    <row r="96" spans="1:12" s="965" customFormat="1">
      <c r="A96" s="2339"/>
      <c r="D96" s="2340"/>
      <c r="K96" s="798"/>
      <c r="L96" s="798"/>
    </row>
    <row r="97" spans="1:12" s="965" customFormat="1">
      <c r="A97" s="2339"/>
      <c r="D97" s="2340"/>
      <c r="K97" s="798"/>
      <c r="L97" s="798"/>
    </row>
    <row r="98" spans="1:12" s="965" customFormat="1">
      <c r="A98" s="2339"/>
      <c r="D98" s="2340"/>
      <c r="K98" s="798"/>
      <c r="L98" s="798"/>
    </row>
    <row r="99" spans="1:12" s="965" customFormat="1">
      <c r="A99" s="2339"/>
      <c r="D99" s="2340"/>
      <c r="K99" s="798"/>
      <c r="L99" s="798"/>
    </row>
    <row r="100" spans="1:12" s="965" customFormat="1">
      <c r="A100" s="2339"/>
      <c r="D100" s="2340"/>
      <c r="K100" s="798"/>
      <c r="L100" s="798"/>
    </row>
    <row r="101" spans="1:12" s="965" customFormat="1">
      <c r="A101" s="2339"/>
      <c r="D101" s="2340"/>
      <c r="K101" s="798"/>
      <c r="L101" s="798"/>
    </row>
    <row r="102" spans="1:12" s="965" customFormat="1">
      <c r="A102" s="2339"/>
      <c r="D102" s="2340"/>
      <c r="K102" s="798"/>
      <c r="L102" s="798"/>
    </row>
    <row r="103" spans="1:12" s="965" customFormat="1">
      <c r="A103" s="2339"/>
      <c r="D103" s="2340"/>
      <c r="K103" s="798"/>
      <c r="L103" s="798"/>
    </row>
    <row r="104" spans="1:12" s="965" customFormat="1">
      <c r="A104" s="2339"/>
      <c r="D104" s="2340"/>
      <c r="K104" s="798"/>
      <c r="L104" s="798"/>
    </row>
    <row r="105" spans="1:12" s="965" customFormat="1">
      <c r="A105" s="2339"/>
      <c r="D105" s="2340"/>
      <c r="K105" s="798"/>
      <c r="L105" s="798"/>
    </row>
    <row r="106" spans="1:12" s="965" customFormat="1">
      <c r="A106" s="2339"/>
      <c r="D106" s="2340"/>
      <c r="K106" s="798"/>
      <c r="L106" s="798"/>
    </row>
    <row r="107" spans="1:12" s="965" customFormat="1">
      <c r="A107" s="2339"/>
      <c r="D107" s="2340"/>
      <c r="K107" s="798"/>
      <c r="L107" s="798"/>
    </row>
    <row r="108" spans="1:12" s="965" customFormat="1">
      <c r="A108" s="2339"/>
      <c r="D108" s="2340"/>
      <c r="K108" s="798"/>
      <c r="L108" s="798"/>
    </row>
    <row r="109" spans="1:12" s="965" customFormat="1">
      <c r="A109" s="2339"/>
      <c r="D109" s="2340"/>
      <c r="K109" s="798"/>
      <c r="L109" s="798"/>
    </row>
    <row r="110" spans="1:12" s="965" customFormat="1">
      <c r="A110" s="2339"/>
      <c r="D110" s="2340"/>
      <c r="K110" s="798"/>
      <c r="L110" s="798"/>
    </row>
    <row r="111" spans="1:12" s="965" customFormat="1">
      <c r="A111" s="2339"/>
      <c r="D111" s="2340"/>
      <c r="K111" s="798"/>
      <c r="L111" s="798"/>
    </row>
    <row r="112" spans="1:12" s="965" customFormat="1">
      <c r="A112" s="2339"/>
      <c r="D112" s="2340"/>
      <c r="K112" s="798"/>
      <c r="L112" s="798"/>
    </row>
    <row r="113" spans="1:12" s="965" customFormat="1">
      <c r="A113" s="2339"/>
      <c r="D113" s="2340"/>
      <c r="K113" s="798"/>
      <c r="L113" s="798"/>
    </row>
    <row r="114" spans="1:12" s="965" customFormat="1">
      <c r="A114" s="2339"/>
      <c r="D114" s="2340"/>
      <c r="K114" s="798"/>
      <c r="L114" s="798"/>
    </row>
    <row r="115" spans="1:12" s="965" customFormat="1">
      <c r="A115" s="2339"/>
      <c r="D115" s="2340"/>
      <c r="K115" s="798"/>
      <c r="L115" s="798"/>
    </row>
    <row r="116" spans="1:12" s="965" customFormat="1">
      <c r="A116" s="2339"/>
      <c r="D116" s="2340"/>
      <c r="K116" s="798"/>
      <c r="L116" s="798"/>
    </row>
    <row r="117" spans="1:12" s="965" customFormat="1">
      <c r="A117" s="2339"/>
      <c r="D117" s="2340"/>
      <c r="K117" s="798"/>
      <c r="L117" s="798"/>
    </row>
    <row r="118" spans="1:12" s="965" customFormat="1">
      <c r="A118" s="2339"/>
      <c r="D118" s="2340"/>
      <c r="K118" s="798"/>
      <c r="L118" s="798"/>
    </row>
    <row r="119" spans="1:12" s="965" customFormat="1">
      <c r="A119" s="2339"/>
      <c r="D119" s="2340"/>
      <c r="K119" s="798"/>
      <c r="L119" s="798"/>
    </row>
    <row r="120" spans="1:12" s="965" customFormat="1">
      <c r="A120" s="2339"/>
      <c r="D120" s="2340"/>
      <c r="K120" s="798"/>
      <c r="L120" s="798"/>
    </row>
    <row r="121" spans="1:12" s="965" customFormat="1">
      <c r="A121" s="2339"/>
      <c r="D121" s="2340"/>
      <c r="K121" s="798"/>
      <c r="L121" s="798"/>
    </row>
    <row r="122" spans="1:12" s="965" customFormat="1">
      <c r="A122" s="2339"/>
      <c r="D122" s="2340"/>
      <c r="K122" s="798"/>
      <c r="L122" s="798"/>
    </row>
    <row r="123" spans="1:12" s="965" customFormat="1">
      <c r="A123" s="2339"/>
      <c r="D123" s="2340"/>
      <c r="K123" s="798"/>
      <c r="L123" s="798"/>
    </row>
    <row r="124" spans="1:12" s="965" customFormat="1">
      <c r="A124" s="2339"/>
      <c r="D124" s="2340"/>
      <c r="K124" s="798"/>
      <c r="L124" s="798"/>
    </row>
    <row r="125" spans="1:12" s="965" customFormat="1">
      <c r="A125" s="2339"/>
      <c r="D125" s="2340"/>
      <c r="K125" s="798"/>
      <c r="L125" s="798"/>
    </row>
    <row r="126" spans="1:12" s="965" customFormat="1">
      <c r="A126" s="2339"/>
      <c r="D126" s="2340"/>
      <c r="K126" s="798"/>
      <c r="L126" s="798"/>
    </row>
    <row r="127" spans="1:12" s="965" customFormat="1">
      <c r="A127" s="2339"/>
      <c r="D127" s="2340"/>
      <c r="K127" s="798"/>
      <c r="L127" s="798"/>
    </row>
    <row r="128" spans="1:12" s="965" customFormat="1">
      <c r="A128" s="2339"/>
      <c r="D128" s="2340"/>
      <c r="K128" s="798"/>
      <c r="L128" s="798"/>
    </row>
    <row r="129" spans="1:12" s="965" customFormat="1">
      <c r="A129" s="2339"/>
      <c r="D129" s="2340"/>
      <c r="K129" s="798"/>
      <c r="L129" s="798"/>
    </row>
    <row r="130" spans="1:12" s="965" customFormat="1">
      <c r="A130" s="2339"/>
      <c r="D130" s="2340"/>
      <c r="K130" s="798"/>
      <c r="L130" s="798"/>
    </row>
    <row r="131" spans="1:12" s="965" customFormat="1">
      <c r="A131" s="2339"/>
      <c r="D131" s="2340"/>
      <c r="K131" s="798"/>
      <c r="L131" s="798"/>
    </row>
    <row r="132" spans="1:12" s="965" customFormat="1">
      <c r="A132" s="2339"/>
      <c r="D132" s="2340"/>
      <c r="K132" s="798"/>
      <c r="L132" s="798"/>
    </row>
    <row r="133" spans="1:12" s="965"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3.8"/>
  <cols>
    <col min="1" max="1" width="9.44140625" style="2367"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6"/>
    <col min="30" max="16384" width="9" style="2367"/>
  </cols>
  <sheetData>
    <row r="1" spans="1:29" s="2360" customFormat="1" ht="18" thickBot="1">
      <c r="A1" s="3464" t="s">
        <v>2081</v>
      </c>
      <c r="B1" s="3465"/>
      <c r="C1" s="3465"/>
      <c r="D1" s="3465"/>
      <c r="E1" s="3465"/>
      <c r="F1" s="3465"/>
      <c r="G1" s="346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2082</v>
      </c>
      <c r="D2" s="2364"/>
      <c r="E2" s="2365"/>
      <c r="F2" s="2284"/>
      <c r="G2" s="2363" t="s">
        <v>2083</v>
      </c>
      <c r="H2" s="2366"/>
      <c r="I2" s="2366"/>
      <c r="J2" s="2366"/>
      <c r="K2" s="2366"/>
      <c r="L2" s="2366"/>
      <c r="M2" s="2366"/>
      <c r="N2" s="2366"/>
      <c r="O2" s="2366"/>
      <c r="P2" s="2366"/>
      <c r="Q2" s="2366"/>
      <c r="R2" s="2366"/>
    </row>
    <row r="3" spans="1:29" ht="57.6" hidden="1">
      <c r="A3" s="415" t="s">
        <v>2084</v>
      </c>
      <c r="B3" s="1269" t="s">
        <v>2085</v>
      </c>
      <c r="C3" s="2368" t="s">
        <v>2086</v>
      </c>
      <c r="D3" s="2369"/>
      <c r="E3" s="431" t="s">
        <v>2084</v>
      </c>
      <c r="F3" s="2370" t="s">
        <v>2087</v>
      </c>
      <c r="G3" s="2371" t="s">
        <v>2088</v>
      </c>
      <c r="H3" s="2366"/>
      <c r="I3" s="2366"/>
      <c r="J3" s="2366"/>
      <c r="K3" s="2366"/>
      <c r="L3" s="2366"/>
      <c r="M3" s="2366"/>
      <c r="N3" s="2366"/>
      <c r="O3" s="2366"/>
      <c r="P3" s="2366"/>
      <c r="Q3" s="2366"/>
      <c r="R3" s="2366"/>
    </row>
    <row r="4" spans="1:29" ht="43.2">
      <c r="A4" s="431"/>
      <c r="B4" s="1796" t="s">
        <v>2089</v>
      </c>
      <c r="C4" s="3089" t="s">
        <v>3306</v>
      </c>
      <c r="D4" s="2369"/>
      <c r="E4" s="2372"/>
      <c r="F4" s="42" t="s">
        <v>2090</v>
      </c>
      <c r="G4" s="2373" t="s">
        <v>2091</v>
      </c>
      <c r="H4" s="2366"/>
      <c r="I4" s="2366"/>
      <c r="J4" s="2366"/>
      <c r="K4" s="2366"/>
      <c r="L4" s="2366"/>
      <c r="M4" s="2366"/>
      <c r="N4" s="2366"/>
      <c r="O4" s="2366"/>
      <c r="P4" s="2366"/>
      <c r="Q4" s="2366"/>
      <c r="R4" s="2366"/>
    </row>
    <row r="5" spans="1:29" ht="57.6">
      <c r="A5" s="431"/>
      <c r="B5" s="1796" t="s">
        <v>2092</v>
      </c>
      <c r="C5" s="3089" t="s">
        <v>3307</v>
      </c>
      <c r="D5" s="2369"/>
      <c r="E5" s="2372"/>
      <c r="F5" s="1796" t="s">
        <v>2093</v>
      </c>
      <c r="G5" s="2373" t="s">
        <v>2094</v>
      </c>
      <c r="H5" s="2366"/>
      <c r="I5" s="2366"/>
      <c r="J5" s="2366"/>
      <c r="K5" s="2366"/>
      <c r="L5" s="2366"/>
      <c r="M5" s="2366"/>
      <c r="N5" s="2366"/>
      <c r="O5" s="2366"/>
      <c r="P5" s="2366"/>
      <c r="Q5" s="2366"/>
      <c r="R5" s="2366"/>
    </row>
    <row r="6" spans="1:29" ht="115.2">
      <c r="A6" s="431"/>
      <c r="B6" s="1796" t="s">
        <v>2095</v>
      </c>
      <c r="C6" s="3090" t="s">
        <v>3308</v>
      </c>
      <c r="D6" s="2369"/>
      <c r="E6" s="2372"/>
      <c r="F6" s="1796" t="s">
        <v>2096</v>
      </c>
      <c r="G6" s="2373" t="s">
        <v>2097</v>
      </c>
      <c r="H6" s="2366"/>
      <c r="I6" s="2366"/>
      <c r="J6" s="2366"/>
      <c r="K6" s="2366"/>
      <c r="L6" s="2366"/>
      <c r="M6" s="2366"/>
      <c r="N6" s="2366"/>
      <c r="O6" s="2366"/>
      <c r="P6" s="2366"/>
      <c r="Q6" s="2366"/>
      <c r="R6" s="2366"/>
    </row>
    <row r="7" spans="1:29" ht="43.8" thickBot="1">
      <c r="A7" s="431"/>
      <c r="B7" s="1796" t="s">
        <v>2093</v>
      </c>
      <c r="C7" s="3090" t="s">
        <v>3309</v>
      </c>
      <c r="D7" s="2374"/>
      <c r="E7" s="2375"/>
      <c r="F7" s="2376" t="s">
        <v>2098</v>
      </c>
      <c r="G7" s="2377" t="s">
        <v>2099</v>
      </c>
      <c r="H7" s="2366"/>
      <c r="I7" s="2366"/>
      <c r="J7" s="2366"/>
      <c r="K7" s="2366"/>
      <c r="L7" s="2366"/>
      <c r="M7" s="2366"/>
      <c r="N7" s="2366"/>
      <c r="O7" s="2366"/>
      <c r="P7" s="2366"/>
      <c r="Q7" s="2366"/>
      <c r="R7" s="2366"/>
    </row>
    <row r="8" spans="1:29" ht="28.8">
      <c r="A8" s="431"/>
      <c r="B8" s="1796" t="s">
        <v>2096</v>
      </c>
      <c r="C8" s="3090" t="s">
        <v>3310</v>
      </c>
      <c r="D8" s="2374"/>
      <c r="E8" s="2374"/>
      <c r="F8" s="1134"/>
      <c r="G8" s="1134"/>
      <c r="H8" s="2366"/>
      <c r="I8" s="2366"/>
      <c r="J8" s="2366"/>
      <c r="K8" s="2366"/>
      <c r="L8" s="2366"/>
      <c r="M8" s="2366"/>
      <c r="N8" s="2366"/>
      <c r="O8" s="2366"/>
      <c r="P8" s="2366"/>
      <c r="Q8" s="2366"/>
      <c r="R8" s="2366"/>
    </row>
    <row r="9" spans="1:29" ht="57.6">
      <c r="A9" s="431"/>
      <c r="B9" s="1796" t="s">
        <v>2100</v>
      </c>
      <c r="C9" s="3089" t="s">
        <v>3311</v>
      </c>
      <c r="D9" s="2369"/>
      <c r="E9" s="2374"/>
      <c r="F9" s="1134"/>
      <c r="G9" s="1134"/>
      <c r="H9" s="2366"/>
      <c r="I9" s="2366"/>
      <c r="J9" s="2366"/>
      <c r="K9" s="2366"/>
      <c r="L9" s="2366"/>
      <c r="M9" s="2366"/>
      <c r="N9" s="2366"/>
      <c r="O9" s="2366"/>
      <c r="P9" s="2366"/>
      <c r="Q9" s="2366"/>
      <c r="R9" s="2366"/>
    </row>
    <row r="10" spans="1:29" s="117" customFormat="1" ht="15" thickBot="1">
      <c r="A10" s="2378"/>
      <c r="B10" s="2379" t="s">
        <v>2101</v>
      </c>
      <c r="C10" s="2380"/>
      <c r="D10" s="2369"/>
      <c r="E10" s="2369"/>
      <c r="F10" s="1134"/>
      <c r="G10" s="1134"/>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c r="A11" s="2384"/>
      <c r="B11" s="2374"/>
      <c r="C11" s="2369"/>
      <c r="D11" s="2369"/>
      <c r="E11" s="2369"/>
      <c r="F11" s="2374"/>
      <c r="G11" s="1152"/>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7.399999999999999">
      <c r="A12" s="2384"/>
      <c r="B12" s="2374"/>
      <c r="C12" s="2369"/>
      <c r="D12" s="2385"/>
      <c r="E12" s="2369"/>
      <c r="F12" s="2374"/>
      <c r="G12" s="1152"/>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8" thickBot="1">
      <c r="A13" s="2391" t="s">
        <v>2102</v>
      </c>
      <c r="B13" s="2385"/>
      <c r="C13" s="2385"/>
      <c r="D13" s="2392"/>
      <c r="E13" s="2385"/>
      <c r="F13" s="2385"/>
      <c r="G13" s="2385"/>
    </row>
    <row r="14" spans="1:29" ht="15" thickBot="1">
      <c r="A14" s="2396"/>
      <c r="B14" s="2397"/>
      <c r="C14" s="2398" t="s">
        <v>2103</v>
      </c>
      <c r="D14" s="2369"/>
      <c r="E14" s="2399"/>
      <c r="F14" s="2399"/>
      <c r="G14" s="2363" t="s">
        <v>2104</v>
      </c>
    </row>
    <row r="15" spans="1:29" ht="55.2">
      <c r="A15" s="68" t="s">
        <v>2105</v>
      </c>
      <c r="B15" s="1268" t="s">
        <v>2085</v>
      </c>
      <c r="C15" s="2400" t="str">
        <f>C3</f>
        <v>估价对象周边居住用地比例、居住小区规模和社区发展完善程度，综合评价居住社区成熟度一般</v>
      </c>
      <c r="D15" s="2369"/>
      <c r="E15" s="2401" t="s">
        <v>2106</v>
      </c>
      <c r="F15" s="1268" t="s">
        <v>2107</v>
      </c>
      <c r="G15" s="135" t="str">
        <f>G3</f>
        <v>估价对象位于XX开发区，园区建设成熟度XX，产业集聚程度XX</v>
      </c>
    </row>
    <row r="16" spans="1:29" ht="41.4">
      <c r="A16" s="645"/>
      <c r="B16" s="2402" t="s">
        <v>2089</v>
      </c>
      <c r="C16" s="2403" t="str">
        <f>C4</f>
        <v>估价对象位于东直门商圈，周边商业氛围成熟，人流量大，商业繁华度好</v>
      </c>
      <c r="D16" s="2369"/>
      <c r="E16" s="2404"/>
      <c r="F16" s="2405" t="s">
        <v>2090</v>
      </c>
      <c r="G16" s="136" t="str">
        <f>G4</f>
        <v>估价对象周边道路状况、公共交通通达情况、停车便捷程度，综合评价交通便捷度较好</v>
      </c>
    </row>
    <row r="17" spans="1:18" ht="55.2">
      <c r="A17" s="645"/>
      <c r="B17" s="2402" t="s">
        <v>2092</v>
      </c>
      <c r="C17" s="2403" t="str">
        <f>C5</f>
        <v>估价对象位于东直门商圈，周边办公楼项目较多，入驻率高，办公集聚程度较好</v>
      </c>
      <c r="D17" s="2374"/>
      <c r="E17" s="2404"/>
      <c r="F17" s="2405" t="s">
        <v>2108</v>
      </c>
      <c r="G17" s="1570"/>
    </row>
    <row r="18" spans="1:18" ht="110.4">
      <c r="A18" s="645"/>
      <c r="B18" s="2405" t="s">
        <v>2095</v>
      </c>
      <c r="C18" s="136" t="str">
        <f>C6</f>
        <v>估价对象周边道路状况较好（机场高速、香河园路）、公共交通较通达（2、机场线东直门站，18路、916路香河园路，359、915路东直门外站）、停车便捷程度，综合评价交通便捷度较好</v>
      </c>
      <c r="D18" s="2374"/>
      <c r="E18" s="2404"/>
      <c r="F18" s="2405" t="s">
        <v>2098</v>
      </c>
      <c r="G18" s="136" t="str">
        <f>G7</f>
        <v>该园区内是否有污染型企业，绿化情况，卫生条件，整体环境状况判断</v>
      </c>
    </row>
    <row r="19" spans="1:18" ht="27.6">
      <c r="A19" s="645"/>
      <c r="B19" s="2405" t="s">
        <v>2109</v>
      </c>
      <c r="C19" s="3091" t="s">
        <v>3313</v>
      </c>
      <c r="D19" s="2369"/>
      <c r="E19" s="2404"/>
      <c r="F19" s="1796" t="s">
        <v>2093</v>
      </c>
      <c r="G19" s="136" t="str">
        <f>G5</f>
        <v>估价对象所在区域公共配套设施齐备情况</v>
      </c>
    </row>
    <row r="20" spans="1:18" ht="55.2">
      <c r="A20" s="645"/>
      <c r="B20" s="2405" t="s">
        <v>2110</v>
      </c>
      <c r="C20" s="2403" t="str">
        <f>C9</f>
        <v>区域自然环境：廉政文化公园；人文环境：自来水博物馆；综合评价环境状况较好</v>
      </c>
      <c r="D20" s="2374"/>
      <c r="E20" s="2404"/>
      <c r="F20" s="1796" t="s">
        <v>2111</v>
      </c>
      <c r="G20" s="136" t="str">
        <f>G6</f>
        <v>估价对象所在区域基础设施水平</v>
      </c>
    </row>
    <row r="21" spans="1:18" ht="27.6">
      <c r="A21" s="645"/>
      <c r="B21" s="1796" t="s">
        <v>2093</v>
      </c>
      <c r="C21" s="136" t="str">
        <f>C7</f>
        <v>估价对象所在区域公共配套设施齐备</v>
      </c>
      <c r="D21" s="2369"/>
      <c r="E21" s="2404"/>
      <c r="F21" s="2405" t="s">
        <v>2112</v>
      </c>
      <c r="G21" s="2406"/>
    </row>
    <row r="22" spans="1:18" ht="13.5" customHeight="1">
      <c r="A22" s="645"/>
      <c r="B22" s="1796" t="s">
        <v>2096</v>
      </c>
      <c r="C22" s="136" t="str">
        <f>C8</f>
        <v>估价对象所在区域基础设施水平较高</v>
      </c>
      <c r="D22" s="2369"/>
      <c r="E22" s="2404"/>
      <c r="F22" s="2405" t="s">
        <v>2101</v>
      </c>
      <c r="G22" s="1570"/>
    </row>
    <row r="23" spans="1:18" s="2366" customFormat="1" ht="15" thickBot="1">
      <c r="A23" s="645"/>
      <c r="B23" s="2405" t="s">
        <v>2112</v>
      </c>
      <c r="C23" s="2406" t="s">
        <v>3312</v>
      </c>
      <c r="D23" s="2393"/>
      <c r="E23" s="2407"/>
      <c r="F23" s="2408" t="s">
        <v>2113</v>
      </c>
      <c r="G23" s="2409"/>
      <c r="H23" s="2393"/>
      <c r="I23" s="2394"/>
      <c r="J23" s="2393"/>
      <c r="K23" s="2393"/>
      <c r="L23" s="2394"/>
      <c r="M23" s="2393"/>
      <c r="N23" s="2393"/>
      <c r="O23" s="2394"/>
      <c r="P23" s="2393"/>
      <c r="Q23" s="2393"/>
      <c r="R23" s="2395"/>
    </row>
    <row r="24" spans="1:18" s="2366" customFormat="1" ht="1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2"/>
  <sheetViews>
    <sheetView workbookViewId="0">
      <selection activeCell="D14" sqref="D14"/>
    </sheetView>
  </sheetViews>
  <sheetFormatPr defaultColWidth="9" defaultRowHeight="14.4"/>
  <cols>
    <col min="1" max="1" width="23.33203125" style="1739" customWidth="1"/>
    <col min="2" max="6" width="15.77734375" style="1739" customWidth="1"/>
    <col min="7" max="7" width="12" style="1739" customWidth="1"/>
    <col min="8" max="8" width="10.109375" style="1739" customWidth="1"/>
    <col min="9" max="9" width="9.77734375" style="1739" customWidth="1"/>
    <col min="10" max="16384" width="9" style="1739"/>
  </cols>
  <sheetData>
    <row r="1" spans="1:10" ht="16.2">
      <c r="A1" s="1744" t="s">
        <v>1365</v>
      </c>
      <c r="B1" s="1744">
        <f>SUM(B14:B23)</f>
        <v>50120.32</v>
      </c>
      <c r="C1" s="1743"/>
      <c r="D1" s="1743"/>
      <c r="E1" s="1743"/>
      <c r="F1" s="1743"/>
      <c r="G1" s="1741"/>
    </row>
    <row r="2" spans="1:10" ht="16.2">
      <c r="A2" s="1744" t="s">
        <v>1353</v>
      </c>
      <c r="B2" s="1744">
        <f>SUM(C14:C23)</f>
        <v>5235.2</v>
      </c>
      <c r="C2" s="1743"/>
      <c r="D2" s="1743"/>
      <c r="E2" s="1743"/>
      <c r="F2" s="1743"/>
      <c r="G2" s="1741"/>
    </row>
    <row r="3" spans="1:10" ht="15.6">
      <c r="A3" s="1744" t="s">
        <v>1362</v>
      </c>
      <c r="B3" s="1745">
        <f>项目基本情况!D3</f>
        <v>43458</v>
      </c>
      <c r="C3" s="1743"/>
      <c r="D3" s="1743"/>
      <c r="E3" s="1743"/>
      <c r="F3" s="1743"/>
      <c r="G3" s="1741"/>
    </row>
    <row r="4" spans="1:10" ht="31.2">
      <c r="A4" s="1744" t="s">
        <v>1361</v>
      </c>
      <c r="B4" s="1744" t="s">
        <v>1360</v>
      </c>
      <c r="C4" s="1744" t="s">
        <v>1359</v>
      </c>
      <c r="D4" s="1744" t="s">
        <v>1358</v>
      </c>
      <c r="E4" s="1743"/>
      <c r="F4" s="1741">
        <f ca="1">D14+D15+D16</f>
        <v>188044</v>
      </c>
      <c r="G4" s="1741">
        <f ca="1">ROUND(F4/B1*10000,0)</f>
        <v>37519</v>
      </c>
    </row>
    <row r="5" spans="1:10" ht="15.6">
      <c r="A5" s="1744" t="s">
        <v>1357</v>
      </c>
      <c r="B5" s="1744">
        <f ca="1">SUM(D14:D23)</f>
        <v>188044</v>
      </c>
      <c r="C5" s="1744">
        <f ca="1">ROUND(B5*10000/$B$1,0)</f>
        <v>37519</v>
      </c>
      <c r="D5" s="1744">
        <f ca="1">ROUND(B5*10000/$B$2,0)</f>
        <v>359192</v>
      </c>
      <c r="E5" s="1743"/>
      <c r="F5" s="1741"/>
      <c r="G5" s="1741"/>
    </row>
    <row r="6" spans="1:10" ht="15.6">
      <c r="A6" s="1744" t="s">
        <v>1356</v>
      </c>
      <c r="B6" s="1744">
        <f ca="1">SUM(G14:G23)</f>
        <v>188044</v>
      </c>
      <c r="C6" s="1744">
        <f ca="1">ROUND(B6*10000/$B$1,0)</f>
        <v>37519</v>
      </c>
      <c r="D6" s="1744">
        <f ca="1">ROUND(B6*10000/$B$2,0)</f>
        <v>359192</v>
      </c>
      <c r="E6" s="1743"/>
      <c r="F6" s="1741">
        <f ca="1">'成本法 (3)'!C52+'成本法 (2)'!C52+[1]成本法!$C$52</f>
        <v>207394</v>
      </c>
      <c r="G6" s="1741"/>
    </row>
    <row r="7" spans="1:10" ht="15.6">
      <c r="A7" s="1744" t="s">
        <v>1364</v>
      </c>
      <c r="B7" s="1744">
        <f>SUM(H14:H23)</f>
        <v>0</v>
      </c>
      <c r="C7" s="1744">
        <f>ROUND(B7*10000/$B$1,0)</f>
        <v>0</v>
      </c>
      <c r="D7" s="1744">
        <f>ROUND(B7*10000/$B$2,0)</f>
        <v>0</v>
      </c>
      <c r="E7" s="1743"/>
      <c r="F7" s="1741">
        <f ca="1">'成本法 (3)'!C31+'成本法 (2)'!C31+[1]成本法!$C$31</f>
        <v>171975</v>
      </c>
      <c r="G7" s="3237">
        <f ca="1">ROUND(F7/F6,4)</f>
        <v>0.82920000000000005</v>
      </c>
      <c r="H7" s="1739">
        <f ca="1">ROUND(F4*G7,0)</f>
        <v>155926</v>
      </c>
      <c r="I7" s="1739">
        <f ca="1">ROUND(H7*10000/'数据-汇总表'!E3,0)</f>
        <v>31110</v>
      </c>
    </row>
    <row r="8" spans="1:10" ht="15.6">
      <c r="A8" s="1744" t="s">
        <v>1285</v>
      </c>
      <c r="B8" s="1744">
        <f>SUM(I14:I23)</f>
        <v>0</v>
      </c>
      <c r="C8" s="1744">
        <f>ROUND(B8*10000/$B$1,0)</f>
        <v>0</v>
      </c>
      <c r="D8" s="1744">
        <f>ROUND(B8*10000/$B$2,0)</f>
        <v>0</v>
      </c>
      <c r="E8" s="1743"/>
      <c r="F8" s="1741">
        <f ca="1">'成本法 (3)'!C51+'成本法 (2)'!C51+[1]成本法!$C$51</f>
        <v>35419</v>
      </c>
      <c r="G8" s="3237">
        <f ca="1">1-G7</f>
        <v>0.17079999999999995</v>
      </c>
      <c r="H8" s="1739">
        <f ca="1">F4-H7</f>
        <v>32118</v>
      </c>
      <c r="I8" s="1739">
        <f ca="1">G4-I7</f>
        <v>6409</v>
      </c>
    </row>
    <row r="9" spans="1:10" ht="15.6">
      <c r="A9" s="1744" t="s">
        <v>1355</v>
      </c>
      <c r="B9" s="1746"/>
      <c r="C9" s="1743"/>
      <c r="D9" s="1743" t="s">
        <v>3345</v>
      </c>
      <c r="E9" s="1743">
        <f t="shared" ref="E9:F11" si="0">D14</f>
        <v>130670</v>
      </c>
      <c r="F9" s="1739">
        <f t="shared" si="0"/>
        <v>58667</v>
      </c>
    </row>
    <row r="10" spans="1:10" ht="15.6">
      <c r="A10" s="1744" t="s">
        <v>1354</v>
      </c>
      <c r="B10" s="1746"/>
      <c r="C10" s="1743"/>
      <c r="D10" s="1743" t="s">
        <v>3346</v>
      </c>
      <c r="E10" s="1743">
        <f t="shared" ca="1" si="0"/>
        <v>52554</v>
      </c>
      <c r="F10" s="1741">
        <f ca="1">E15</f>
        <v>24908</v>
      </c>
      <c r="G10" s="3238">
        <f ca="1">E10*10000/('数据-汇总表'!F20+0.5*'数据-汇总表'!G20)</f>
        <v>27598.607623620406</v>
      </c>
      <c r="H10" s="3239"/>
    </row>
    <row r="11" spans="1:10" ht="15.6">
      <c r="A11" s="1744" t="s">
        <v>1370</v>
      </c>
      <c r="B11" s="1746"/>
      <c r="C11" s="1743"/>
      <c r="D11" s="1743" t="s">
        <v>3347</v>
      </c>
      <c r="E11" s="1743">
        <f t="shared" ca="1" si="0"/>
        <v>4820</v>
      </c>
      <c r="F11" s="1741">
        <f t="shared" ca="1" si="0"/>
        <v>7934</v>
      </c>
      <c r="G11" s="3240">
        <v>128</v>
      </c>
      <c r="H11" s="3241">
        <f ca="1">E11/G11</f>
        <v>37.65625</v>
      </c>
    </row>
    <row r="12" spans="1:10" ht="15.6">
      <c r="A12" s="1743"/>
      <c r="B12" s="1743"/>
      <c r="C12" s="1743"/>
      <c r="D12" s="1743" t="s">
        <v>3348</v>
      </c>
      <c r="E12" s="1743">
        <f ca="1">E9+E10+E11</f>
        <v>188044</v>
      </c>
      <c r="F12" s="1741">
        <f ca="1">G4</f>
        <v>37519</v>
      </c>
      <c r="G12" s="1741"/>
    </row>
    <row r="13" spans="1:10" ht="46.8">
      <c r="A13" s="1749" t="s">
        <v>1369</v>
      </c>
      <c r="B13" s="1742" t="s">
        <v>1366</v>
      </c>
      <c r="C13" s="1742" t="s">
        <v>1368</v>
      </c>
      <c r="D13" s="1742" t="s">
        <v>1367</v>
      </c>
      <c r="E13" s="1744" t="s">
        <v>1359</v>
      </c>
      <c r="F13" s="1744" t="s">
        <v>1358</v>
      </c>
      <c r="G13" s="1742" t="s">
        <v>1352</v>
      </c>
      <c r="H13" s="1742" t="s">
        <v>1363</v>
      </c>
      <c r="I13" s="1742" t="s">
        <v>1351</v>
      </c>
      <c r="J13" s="1741"/>
    </row>
    <row r="14" spans="1:10" ht="15.6">
      <c r="A14" s="1740" t="s">
        <v>1350</v>
      </c>
      <c r="B14" s="1742">
        <f>'数据-基础表'!M5</f>
        <v>22273.279999999999</v>
      </c>
      <c r="C14" s="1742">
        <f>结果表!C118</f>
        <v>5235.2</v>
      </c>
      <c r="D14" s="1742">
        <f>[1]结果表!$G$19</f>
        <v>130670</v>
      </c>
      <c r="E14" s="1742">
        <f>ROUND(D14*10000/B14,0)</f>
        <v>58667</v>
      </c>
      <c r="F14" s="1742">
        <f>ROUND(D14*10000/C14,0)</f>
        <v>249599</v>
      </c>
      <c r="G14" s="1742">
        <f>D14</f>
        <v>130670</v>
      </c>
      <c r="H14" s="1742" t="str">
        <f>结果表!D124</f>
        <v>——</v>
      </c>
      <c r="I14" s="1742" t="str">
        <f>结果表!D126</f>
        <v>——</v>
      </c>
      <c r="J14" s="1741"/>
    </row>
    <row r="15" spans="1:10" ht="15.6">
      <c r="A15" s="1740" t="s">
        <v>1349</v>
      </c>
      <c r="B15" s="1747">
        <f>'数据-基础表'!K5+'数据-基础表'!O5</f>
        <v>21099.64</v>
      </c>
      <c r="C15" s="1747"/>
      <c r="D15" s="1747">
        <f ca="1">'结果表 (2)'!G19</f>
        <v>52554</v>
      </c>
      <c r="E15" s="1742">
        <f t="shared" ref="E15:E23" ca="1" si="1">ROUND(D15*10000/B15,0)</f>
        <v>24908</v>
      </c>
      <c r="F15" s="1742" t="e">
        <f t="shared" ref="F15:F23" ca="1" si="2">ROUND(D15*10000/C15,0)</f>
        <v>#DIV/0!</v>
      </c>
      <c r="G15" s="1748">
        <f ca="1">D15</f>
        <v>52554</v>
      </c>
      <c r="H15" s="1748"/>
      <c r="I15" s="1747"/>
      <c r="J15" s="1741"/>
    </row>
    <row r="16" spans="1:10" ht="15.6">
      <c r="A16" s="1740" t="s">
        <v>1348</v>
      </c>
      <c r="B16" s="1747">
        <f>'数据-基础表'!I5</f>
        <v>6074.74</v>
      </c>
      <c r="C16" s="1747"/>
      <c r="D16" s="1747">
        <f ca="1">'结果表 (3)'!G19</f>
        <v>4820</v>
      </c>
      <c r="E16" s="1742">
        <f t="shared" ca="1" si="1"/>
        <v>7934</v>
      </c>
      <c r="F16" s="1742" t="e">
        <f t="shared" ca="1" si="2"/>
        <v>#DIV/0!</v>
      </c>
      <c r="G16" s="1748">
        <f ca="1">D16</f>
        <v>4820</v>
      </c>
      <c r="H16" s="1748"/>
      <c r="I16" s="1747"/>
    </row>
    <row r="17" spans="1:9" ht="15.6">
      <c r="A17" s="1740" t="s">
        <v>1347</v>
      </c>
      <c r="B17" s="1747">
        <v>672.66</v>
      </c>
      <c r="C17" s="1747"/>
      <c r="D17" s="1747"/>
      <c r="E17" s="1742">
        <f t="shared" si="1"/>
        <v>0</v>
      </c>
      <c r="F17" s="1742" t="e">
        <f t="shared" si="2"/>
        <v>#DIV/0!</v>
      </c>
      <c r="G17" s="1748"/>
      <c r="H17" s="1748"/>
      <c r="I17" s="1747"/>
    </row>
    <row r="18" spans="1:9" ht="15.6">
      <c r="A18" s="1740" t="s">
        <v>1346</v>
      </c>
      <c r="B18" s="1747"/>
      <c r="C18" s="1747"/>
      <c r="D18" s="1747"/>
      <c r="E18" s="1742" t="e">
        <f t="shared" si="1"/>
        <v>#DIV/0!</v>
      </c>
      <c r="F18" s="1742" t="e">
        <f t="shared" si="2"/>
        <v>#DIV/0!</v>
      </c>
      <c r="G18" s="1747"/>
      <c r="H18" s="1747"/>
      <c r="I18" s="1747"/>
    </row>
    <row r="19" spans="1:9" ht="15.6">
      <c r="A19" s="1740" t="s">
        <v>1345</v>
      </c>
      <c r="B19" s="1747"/>
      <c r="C19" s="1747"/>
      <c r="D19" s="1747"/>
      <c r="E19" s="1742" t="e">
        <f t="shared" si="1"/>
        <v>#DIV/0!</v>
      </c>
      <c r="F19" s="1742" t="e">
        <f t="shared" si="2"/>
        <v>#DIV/0!</v>
      </c>
      <c r="G19" s="1747"/>
      <c r="H19" s="1747"/>
      <c r="I19" s="1747"/>
    </row>
    <row r="20" spans="1:9" ht="15.6">
      <c r="A20" s="1740" t="s">
        <v>1344</v>
      </c>
      <c r="B20" s="1747"/>
      <c r="C20" s="1747"/>
      <c r="D20" s="1747"/>
      <c r="E20" s="1742" t="e">
        <f t="shared" si="1"/>
        <v>#DIV/0!</v>
      </c>
      <c r="F20" s="1742" t="e">
        <f t="shared" si="2"/>
        <v>#DIV/0!</v>
      </c>
      <c r="G20" s="1747"/>
      <c r="H20" s="1747"/>
      <c r="I20" s="1747"/>
    </row>
    <row r="21" spans="1:9" ht="15.6">
      <c r="A21" s="1740" t="s">
        <v>1343</v>
      </c>
      <c r="B21" s="1747"/>
      <c r="C21" s="1747"/>
      <c r="D21" s="1747"/>
      <c r="E21" s="1742" t="e">
        <f t="shared" si="1"/>
        <v>#DIV/0!</v>
      </c>
      <c r="F21" s="1742" t="e">
        <f t="shared" si="2"/>
        <v>#DIV/0!</v>
      </c>
      <c r="G21" s="1747"/>
      <c r="H21" s="1747"/>
      <c r="I21" s="1747"/>
    </row>
    <row r="22" spans="1:9" ht="15.6">
      <c r="A22" s="1740" t="s">
        <v>1342</v>
      </c>
      <c r="B22" s="1747"/>
      <c r="C22" s="1747"/>
      <c r="D22" s="1747"/>
      <c r="E22" s="1742" t="e">
        <f t="shared" si="1"/>
        <v>#DIV/0!</v>
      </c>
      <c r="F22" s="1742" t="e">
        <f t="shared" si="2"/>
        <v>#DIV/0!</v>
      </c>
      <c r="G22" s="1747"/>
      <c r="H22" s="1747"/>
      <c r="I22" s="1747"/>
    </row>
    <row r="23" spans="1:9" ht="15.6">
      <c r="A23" s="1740" t="s">
        <v>1341</v>
      </c>
      <c r="B23" s="1747"/>
      <c r="C23" s="1747"/>
      <c r="D23" s="1747"/>
      <c r="E23" s="1744" t="e">
        <f t="shared" si="1"/>
        <v>#DIV/0!</v>
      </c>
      <c r="F23" s="1744" t="e">
        <f t="shared" si="2"/>
        <v>#DIV/0!</v>
      </c>
      <c r="G23" s="1747"/>
      <c r="H23" s="1747"/>
      <c r="I23" s="1747"/>
    </row>
    <row r="25" spans="1:9">
      <c r="B25" s="1739">
        <f ca="1">'结果表 (2)'!F118+'结果表 (3)'!F118+[1]结果表!$F$118</f>
        <v>30027</v>
      </c>
      <c r="C25" s="1739">
        <f ca="1">'结果表 (2)'!D118+'结果表 (3)'!D118+[1]结果表!$D$118</f>
        <v>158017</v>
      </c>
      <c r="G25" s="1739">
        <f ca="1">G14+G15+G16</f>
        <v>188044</v>
      </c>
    </row>
    <row r="26" spans="1:9">
      <c r="B26" s="1739">
        <f ca="1">ROUND(B25/B1*10000,0)</f>
        <v>5991</v>
      </c>
      <c r="C26" s="1739">
        <f ca="1">C5-B26</f>
        <v>31528</v>
      </c>
    </row>
    <row r="27" spans="1:9">
      <c r="B27" s="1739">
        <f ca="1">B25/G25</f>
        <v>0.15968071302461126</v>
      </c>
    </row>
    <row r="30" spans="1:9">
      <c r="A30" s="1739">
        <f ca="1">'成本法 (2)'!C52+'成本法 (3)'!C52+[1]成本法!$C$52</f>
        <v>207394</v>
      </c>
      <c r="B30" s="1739">
        <f ca="1">'成本法 (2)'!C51+'成本法 (3)'!C51+[1]成本法!$C$51</f>
        <v>35419</v>
      </c>
      <c r="C30" s="1739">
        <f ca="1">A30-B30</f>
        <v>171975</v>
      </c>
    </row>
    <row r="31" spans="1:9">
      <c r="B31" s="3245">
        <f ca="1">ROUND(B30/A30,4)</f>
        <v>0.17080000000000001</v>
      </c>
      <c r="C31" s="3245">
        <f ca="1">1-B31</f>
        <v>0.82919999999999994</v>
      </c>
    </row>
    <row r="32" spans="1:9">
      <c r="B32" s="1739">
        <f ca="1">ROUND(G25*B31,0)</f>
        <v>32118</v>
      </c>
      <c r="C32" s="1739">
        <f ca="1">G25-B32</f>
        <v>155926</v>
      </c>
    </row>
  </sheetData>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6" customWidth="1"/>
    <col min="2" max="9" width="10" style="1016" customWidth="1"/>
    <col min="10" max="16384" width="9" style="1016"/>
  </cols>
  <sheetData>
    <row r="36" spans="1:9">
      <c r="A36" s="1015" t="s">
        <v>818</v>
      </c>
      <c r="B36" s="1015" t="s">
        <v>819</v>
      </c>
    </row>
    <row r="37" spans="1:9" ht="27.75" customHeight="1">
      <c r="A37" s="1015"/>
      <c r="B37" s="3247" t="str">
        <f>项目基本情况!B1</f>
        <v>北京市东城区香河园街1号11号楼房地产抵押价值预评估</v>
      </c>
      <c r="C37" s="3247"/>
      <c r="D37" s="3247"/>
      <c r="E37" s="3247"/>
      <c r="F37" s="3247"/>
      <c r="G37" s="3247"/>
      <c r="H37" s="3247"/>
      <c r="I37" s="3247"/>
    </row>
    <row r="38" spans="1:9">
      <c r="A38" s="1017"/>
      <c r="B38" s="1017"/>
    </row>
    <row r="39" spans="1:9">
      <c r="A39" s="1015" t="s">
        <v>818</v>
      </c>
      <c r="B39" s="1015" t="s">
        <v>820</v>
      </c>
    </row>
    <row r="40" spans="1:9">
      <c r="A40" s="1015"/>
      <c r="B40" s="1943" t="str">
        <f>项目基本情况!B5</f>
        <v>北京万国城酒店运营管理有限公司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c r="B46" s="1943" t="str">
        <f ca="1">项目基本情况!K4</f>
        <v>欧红伟（注册号：1120000080)、崔锴（注册号：1120100036)</v>
      </c>
    </row>
    <row r="47" spans="1:9">
      <c r="A47" s="1015"/>
      <c r="B47" s="1015" t="str">
        <f>项目基本情况!K5</f>
        <v/>
      </c>
    </row>
    <row r="48" spans="1:9">
      <c r="A48" s="1015" t="s">
        <v>818</v>
      </c>
      <c r="B48" s="1015" t="s">
        <v>824</v>
      </c>
    </row>
    <row r="49" spans="2:2">
      <c r="B49" s="1943" t="str">
        <f>"康正预评字"&amp;项目基本情况!B2&amp;"号"</f>
        <v>康正预评字2018-1-0895-P01DYGJ1号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18" sqref="E118"/>
    </sheetView>
  </sheetViews>
  <sheetFormatPr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09375" style="795" bestFit="1" customWidth="1"/>
    <col min="14" max="26" width="12.6640625" style="795"/>
    <col min="27" max="35" width="12.6640625" style="2421"/>
    <col min="36" max="16384" width="12.6640625" style="2422"/>
  </cols>
  <sheetData>
    <row r="1" spans="1:12" ht="21.75" customHeight="1" thickBot="1">
      <c r="A1" s="2224" t="s">
        <v>2115</v>
      </c>
      <c r="B1" s="2416"/>
      <c r="C1" s="2417"/>
      <c r="D1" s="2416"/>
      <c r="E1" s="2416"/>
      <c r="F1" s="2418" t="s">
        <v>2116</v>
      </c>
      <c r="G1" s="2069" t="s">
        <v>3305</v>
      </c>
      <c r="H1" s="2419" t="str">
        <f>IF(G1="现房","——","估价对象范围")</f>
        <v>——</v>
      </c>
      <c r="I1" s="2420"/>
    </row>
    <row r="2" spans="1:12" ht="21.75" customHeight="1" thickBot="1">
      <c r="A2" s="3538" t="str">
        <f>项目基本情况!S2</f>
        <v>北京市东城区香河园街1号11号楼房地产</v>
      </c>
      <c r="B2" s="3539"/>
      <c r="C2" s="3539"/>
      <c r="D2" s="3539"/>
      <c r="E2" s="3539"/>
      <c r="F2" s="3539"/>
      <c r="G2" s="3539"/>
      <c r="H2" s="3539"/>
      <c r="I2" s="3540"/>
    </row>
    <row r="3" spans="1:12" ht="13.2">
      <c r="A3" s="3541" t="s">
        <v>2117</v>
      </c>
      <c r="B3" s="3542"/>
      <c r="C3" s="3542"/>
      <c r="D3" s="3542"/>
      <c r="E3" s="3542"/>
      <c r="F3" s="3542"/>
      <c r="G3" s="3542"/>
      <c r="H3" s="3542"/>
      <c r="I3" s="3542"/>
    </row>
    <row r="4" spans="1:12" ht="14.4">
      <c r="A4" s="2423" t="s">
        <v>2118</v>
      </c>
      <c r="B4" s="2424" t="s">
        <v>2119</v>
      </c>
      <c r="C4" s="2425" t="s">
        <v>3302</v>
      </c>
      <c r="D4" s="2425" t="s">
        <v>3303</v>
      </c>
      <c r="E4" s="3522" t="s">
        <v>2120</v>
      </c>
      <c r="F4" s="3535"/>
      <c r="G4" s="3535"/>
      <c r="H4" s="3535"/>
      <c r="I4" s="352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3.2">
      <c r="A5" s="3513" t="s">
        <v>2121</v>
      </c>
      <c r="B5" s="3439">
        <v>25</v>
      </c>
      <c r="C5" s="3543"/>
      <c r="D5" s="3531"/>
      <c r="E5" s="140" t="s">
        <v>2122</v>
      </c>
      <c r="F5" s="2427"/>
      <c r="G5" s="2427"/>
      <c r="H5" s="2427"/>
      <c r="I5" s="1832"/>
    </row>
    <row r="6" spans="1:12" ht="13.2">
      <c r="A6" s="3513"/>
      <c r="B6" s="3439"/>
      <c r="C6" s="3545"/>
      <c r="D6" s="3531"/>
      <c r="E6" s="140" t="s">
        <v>2123</v>
      </c>
      <c r="F6" s="2427"/>
      <c r="G6" s="2427"/>
      <c r="H6" s="2427"/>
      <c r="I6" s="1832"/>
    </row>
    <row r="7" spans="1:12" ht="13.2">
      <c r="A7" s="3513"/>
      <c r="B7" s="3439"/>
      <c r="C7" s="3544"/>
      <c r="D7" s="3531"/>
      <c r="E7" s="140" t="s">
        <v>2124</v>
      </c>
      <c r="F7" s="2427"/>
      <c r="G7" s="2427"/>
      <c r="H7" s="2427"/>
      <c r="I7" s="1832"/>
    </row>
    <row r="8" spans="1:12" ht="13.2">
      <c r="A8" s="3513" t="s">
        <v>2125</v>
      </c>
      <c r="B8" s="3439">
        <v>15</v>
      </c>
      <c r="C8" s="3543"/>
      <c r="D8" s="3531"/>
      <c r="E8" s="140" t="s">
        <v>2126</v>
      </c>
      <c r="F8" s="2427"/>
      <c r="G8" s="2427"/>
      <c r="H8" s="2427"/>
      <c r="I8" s="1832"/>
    </row>
    <row r="9" spans="1:12" ht="13.2">
      <c r="A9" s="3513"/>
      <c r="B9" s="3439"/>
      <c r="C9" s="3544"/>
      <c r="D9" s="3531"/>
      <c r="E9" s="140" t="s">
        <v>2127</v>
      </c>
      <c r="F9" s="2427"/>
      <c r="G9" s="2427"/>
      <c r="H9" s="2427"/>
      <c r="I9" s="1832"/>
    </row>
    <row r="10" spans="1:12" ht="13.2">
      <c r="A10" s="3513" t="s">
        <v>2128</v>
      </c>
      <c r="B10" s="3439">
        <v>15</v>
      </c>
      <c r="C10" s="3543"/>
      <c r="D10" s="3531"/>
      <c r="E10" s="140" t="s">
        <v>2129</v>
      </c>
      <c r="F10" s="2427"/>
      <c r="G10" s="2427"/>
      <c r="H10" s="2427"/>
      <c r="I10" s="1832"/>
    </row>
    <row r="11" spans="1:12" ht="13.2">
      <c r="A11" s="3513"/>
      <c r="B11" s="3439"/>
      <c r="C11" s="3544"/>
      <c r="D11" s="3531"/>
      <c r="E11" s="140" t="s">
        <v>2130</v>
      </c>
      <c r="F11" s="2427"/>
      <c r="G11" s="2427"/>
      <c r="H11" s="2427"/>
      <c r="I11" s="1832"/>
    </row>
    <row r="12" spans="1:12" ht="13.2">
      <c r="A12" s="3513" t="s">
        <v>2131</v>
      </c>
      <c r="B12" s="3439">
        <v>15</v>
      </c>
      <c r="C12" s="3543"/>
      <c r="D12" s="3531"/>
      <c r="E12" s="140" t="s">
        <v>2132</v>
      </c>
      <c r="F12" s="2427"/>
      <c r="G12" s="2427"/>
      <c r="H12" s="2427"/>
      <c r="I12" s="1832"/>
    </row>
    <row r="13" spans="1:12" ht="13.2">
      <c r="A13" s="3513"/>
      <c r="B13" s="3439"/>
      <c r="C13" s="3544"/>
      <c r="D13" s="3531"/>
      <c r="E13" s="140" t="s">
        <v>2133</v>
      </c>
      <c r="F13" s="2427"/>
      <c r="G13" s="2427"/>
      <c r="H13" s="2427"/>
      <c r="I13" s="1832"/>
    </row>
    <row r="14" spans="1:12" ht="13.2">
      <c r="A14" s="3513" t="s">
        <v>2134</v>
      </c>
      <c r="B14" s="3439">
        <v>30</v>
      </c>
      <c r="C14" s="3543">
        <v>5</v>
      </c>
      <c r="D14" s="3531">
        <v>5</v>
      </c>
      <c r="E14" s="140" t="s">
        <v>2135</v>
      </c>
      <c r="F14" s="2427"/>
      <c r="G14" s="2427"/>
      <c r="H14" s="2427"/>
      <c r="I14" s="1832"/>
    </row>
    <row r="15" spans="1:12" ht="13.2">
      <c r="A15" s="3513"/>
      <c r="B15" s="3439"/>
      <c r="C15" s="3545"/>
      <c r="D15" s="3531"/>
      <c r="E15" s="140" t="s">
        <v>2136</v>
      </c>
      <c r="F15" s="2427"/>
      <c r="G15" s="2427"/>
      <c r="H15" s="2427"/>
      <c r="I15" s="1832"/>
    </row>
    <row r="16" spans="1:12" ht="13.2">
      <c r="A16" s="3513"/>
      <c r="B16" s="3439"/>
      <c r="C16" s="3544"/>
      <c r="D16" s="3531"/>
      <c r="E16" s="140" t="s">
        <v>2137</v>
      </c>
      <c r="F16" s="2427"/>
      <c r="G16" s="2427"/>
      <c r="H16" s="2427"/>
      <c r="I16" s="1832"/>
    </row>
    <row r="17" spans="1:35" ht="14.4">
      <c r="A17" s="2428" t="s">
        <v>2138</v>
      </c>
      <c r="B17" s="64"/>
      <c r="C17" s="141">
        <f>SUM(C5:C16)</f>
        <v>5</v>
      </c>
      <c r="D17" s="141">
        <f>SUM(D5:D16)</f>
        <v>5</v>
      </c>
      <c r="E17" s="138"/>
      <c r="F17" s="138"/>
      <c r="G17" s="138"/>
      <c r="H17" s="138"/>
      <c r="I17" s="138"/>
      <c r="K17" s="2426"/>
      <c r="L17" s="2429" t="s">
        <v>2139</v>
      </c>
      <c r="M17" s="2429" t="s">
        <v>2140</v>
      </c>
    </row>
    <row r="18" spans="1:35" ht="1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50120.32</v>
      </c>
      <c r="M18" s="2426">
        <f>IF(C1="",'数据-汇总表'!E3,SUMIF(项目类型,C1,'数据-汇总表'!E17:E26))</f>
        <v>50120.32</v>
      </c>
    </row>
    <row r="19" spans="1:35" ht="14.4">
      <c r="A19" s="2432" t="s">
        <v>2143</v>
      </c>
      <c r="B19" s="2433" t="s">
        <v>2144</v>
      </c>
      <c r="C19" s="143">
        <f ca="1">SUMIF(INDIRECT("'"&amp;C4&amp;"'"&amp;"!A:A"),结果表!B19,INDIRECT("'"&amp;C4&amp;"'"&amp;"!B:B"))</f>
        <v>202151</v>
      </c>
      <c r="D19" s="144">
        <f ca="1">SUMIF(INDIRECT("'"&amp;D4&amp;"'"&amp;"!A:A"),结果表!B19,INDIRECT("'"&amp;D4&amp;"'"&amp;"!B:B"))</f>
        <v>175145</v>
      </c>
      <c r="E19" s="2432" t="s">
        <v>2145</v>
      </c>
      <c r="F19" s="2433" t="s">
        <v>2144</v>
      </c>
      <c r="G19" s="145">
        <f ca="1">ROUND(C19*$C$18+D19*$D$18,0)</f>
        <v>188648</v>
      </c>
      <c r="H19" s="2434" t="s">
        <v>2146</v>
      </c>
      <c r="I19" s="138"/>
      <c r="K19" s="2426" t="s">
        <v>2147</v>
      </c>
      <c r="L19" s="2426">
        <f>IF(C1="",'数据-汇总表'!D3,SUMIF(项目类型,C1,'数据-汇总表'!D17:D26)+SUMIF(项目类型,C1,'数据-汇总表'!H17:H27))</f>
        <v>5235.2</v>
      </c>
      <c r="M19" s="2426">
        <f>IF(C1="",'数据-汇总表'!D3,SUMIF(项目类型,C1,'数据-汇总表'!D17:D26))</f>
        <v>5235.2</v>
      </c>
    </row>
    <row r="20" spans="1:35" ht="14.4">
      <c r="A20" s="2435"/>
      <c r="B20" s="1248" t="s">
        <v>2148</v>
      </c>
      <c r="C20" s="146">
        <f ca="1">SUMIF(INDIRECT("'"&amp;C4&amp;"'"&amp;"!A:A"),结果表!B20,INDIRECT("'"&amp;C4&amp;"'"&amp;"!B:B"))</f>
        <v>40333</v>
      </c>
      <c r="D20" s="147">
        <f ca="1">SUMIF(INDIRECT("'"&amp;D4&amp;"'"&amp;"!A:A"),结果表!B20,INDIRECT("'"&amp;D4&amp;"'"&amp;"!B:B"))</f>
        <v>34945</v>
      </c>
      <c r="E20" s="2435"/>
      <c r="F20" s="1248" t="s">
        <v>2148</v>
      </c>
      <c r="G20" s="148">
        <f ca="1">ROUND(C20*$C$18+D20*$D$18,0)</f>
        <v>37639</v>
      </c>
      <c r="H20" s="981" t="s">
        <v>2149</v>
      </c>
      <c r="I20" s="138"/>
    </row>
    <row r="21" spans="1:35" ht="15" customHeight="1" thickBot="1">
      <c r="A21" s="1001"/>
      <c r="B21" s="2436" t="s">
        <v>2150</v>
      </c>
      <c r="C21" s="789">
        <f ca="1">ROUND(C19*10000/L19,0)</f>
        <v>386138</v>
      </c>
      <c r="D21" s="790">
        <f ca="1">ROUND(D19*10000/L19,0)</f>
        <v>334553</v>
      </c>
      <c r="E21" s="1001"/>
      <c r="F21" s="2436" t="s">
        <v>2150</v>
      </c>
      <c r="G21" s="149">
        <f ca="1">ROUND(G19*10000/L19,0)</f>
        <v>360345</v>
      </c>
      <c r="H21" s="2437" t="s">
        <v>2149</v>
      </c>
      <c r="I21" s="138"/>
    </row>
    <row r="22" spans="1:35" ht="15" thickBot="1">
      <c r="A22" s="2279" t="s">
        <v>2151</v>
      </c>
      <c r="B22" s="2438"/>
      <c r="C22" s="2439"/>
      <c r="D22" s="791">
        <f ca="1">IF(C19&lt;D19,D19/C19-1,C19/D19-1)</f>
        <v>0.15419224071483617</v>
      </c>
      <c r="E22" s="138"/>
      <c r="F22" s="138"/>
      <c r="G22" s="138"/>
      <c r="H22" s="138"/>
      <c r="I22" s="138"/>
    </row>
    <row r="23" spans="1:35" ht="13.8" thickBot="1">
      <c r="A23" s="2416"/>
      <c r="B23" s="2416"/>
      <c r="C23" s="2416"/>
      <c r="D23" s="2416"/>
      <c r="E23" s="138"/>
      <c r="F23" s="138"/>
      <c r="G23" s="138"/>
      <c r="H23" s="138"/>
      <c r="I23" s="138"/>
      <c r="J23" s="3234" t="s">
        <v>3336</v>
      </c>
      <c r="K23" s="795">
        <f ca="1">ROUND(结果表!G19*('收益法（汇总）'!B8+'收益法（汇总）'!B9)/'收益法（汇总）'!B2,0)</f>
        <v>158505</v>
      </c>
      <c r="L23" s="795">
        <f ca="1">ROUND(K23*10000/('数据-汇总表'!F21+'数据-汇总表'!F22),0)</f>
        <v>71164</v>
      </c>
      <c r="M23" s="795">
        <v>62500</v>
      </c>
      <c r="N23" s="795">
        <f>ROUND(M23*('数据-汇总表'!F21+'数据-汇总表'!F22)/10000,0)</f>
        <v>139208</v>
      </c>
    </row>
    <row r="24" spans="1:35" ht="14.4">
      <c r="A24" s="3552" t="s">
        <v>2152</v>
      </c>
      <c r="B24" s="2433" t="s">
        <v>2144</v>
      </c>
      <c r="C24" s="145">
        <f>IF(B30=0,0,D30)</f>
        <v>0</v>
      </c>
      <c r="D24" s="2440"/>
      <c r="E24" s="138"/>
      <c r="F24" s="138"/>
      <c r="G24" s="138"/>
      <c r="H24" s="138"/>
      <c r="I24" s="138"/>
      <c r="J24" s="3234" t="s">
        <v>3337</v>
      </c>
      <c r="K24" s="795">
        <f ca="1">ROUND(G19*'收益法（汇总）'!B7/'收益法（汇总）'!B2,0)</f>
        <v>27885</v>
      </c>
      <c r="L24" s="795">
        <f ca="1">ROUND(K24*10000/'数据-汇总表'!E20,0)</f>
        <v>13216</v>
      </c>
      <c r="M24" s="795">
        <v>20000</v>
      </c>
      <c r="N24" s="795">
        <f>ROUND(M24*('数据-汇总表'!F20+'数据-汇总表'!G20)/10000,0)</f>
        <v>42199</v>
      </c>
    </row>
    <row r="25" spans="1:35" ht="14.4">
      <c r="A25" s="3553"/>
      <c r="B25" s="1248" t="s">
        <v>2148</v>
      </c>
      <c r="C25" s="150">
        <f>IF(B30=0,0,C30)</f>
        <v>0</v>
      </c>
      <c r="D25" s="2441"/>
      <c r="E25" s="138"/>
      <c r="F25" s="138"/>
      <c r="G25" s="138"/>
      <c r="H25" s="138"/>
      <c r="I25" s="138"/>
      <c r="J25" s="3234" t="s">
        <v>3338</v>
      </c>
      <c r="K25" s="795">
        <f ca="1">G19-K23-K24</f>
        <v>2258</v>
      </c>
      <c r="L25" s="795">
        <f ca="1">ROUND(K25*10000/'数据-汇总表'!E19,0)</f>
        <v>3717</v>
      </c>
      <c r="N25" s="795">
        <f ca="1">L25</f>
        <v>3717</v>
      </c>
    </row>
    <row r="26" spans="1:35" ht="13.5" customHeight="1">
      <c r="A26" s="2442" t="s">
        <v>2153</v>
      </c>
      <c r="B26" s="151" t="s">
        <v>2154</v>
      </c>
      <c r="C26" s="151" t="s">
        <v>2155</v>
      </c>
      <c r="D26" s="152" t="s">
        <v>2156</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c r="J29" s="3234" t="s">
        <v>3337</v>
      </c>
      <c r="K29" s="795">
        <f>'数据-汇总表'!F20</f>
        <v>16984.89</v>
      </c>
      <c r="L29" s="795">
        <v>1</v>
      </c>
      <c r="M29" s="3235">
        <f ca="1">K24*10000/(K29+K30*L30)</f>
        <v>14643.741172596852</v>
      </c>
    </row>
    <row r="30" spans="1:35" ht="14.4">
      <c r="A30" s="151" t="s">
        <v>2157</v>
      </c>
      <c r="B30" s="151"/>
      <c r="C30" s="151"/>
      <c r="D30" s="151"/>
      <c r="E30" s="2925" t="s">
        <v>3032</v>
      </c>
      <c r="F30" s="138"/>
      <c r="G30" s="138"/>
      <c r="H30" s="138"/>
      <c r="I30" s="138"/>
      <c r="K30" s="795">
        <f>'数据-汇总表'!G20</f>
        <v>4114.75</v>
      </c>
      <c r="L30" s="795">
        <v>0.5</v>
      </c>
      <c r="M30" s="3235">
        <f ca="1">M29*L30</f>
        <v>7321.8705862984261</v>
      </c>
    </row>
    <row r="31" spans="1:35" s="2444" customFormat="1" ht="14.4"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2158</v>
      </c>
      <c r="B32" s="2446"/>
      <c r="C32" s="153">
        <f ca="1">IF(D32="总价",G19-C24,G20-C25)</f>
        <v>188648</v>
      </c>
      <c r="D32" s="2447" t="s">
        <v>2159</v>
      </c>
      <c r="E32" s="138"/>
      <c r="F32" s="138"/>
      <c r="G32" s="138"/>
      <c r="H32" s="138"/>
      <c r="I32" s="138"/>
    </row>
    <row r="33" spans="1:15" ht="14.4">
      <c r="A33" s="958" t="s">
        <v>2160</v>
      </c>
      <c r="B33" s="2448"/>
      <c r="C33" s="2449" t="s">
        <v>3304</v>
      </c>
      <c r="D33" s="2450" t="s">
        <v>3302</v>
      </c>
      <c r="E33" s="2451" t="s">
        <v>2161</v>
      </c>
      <c r="F33" s="2452" t="str">
        <f>IF(D32="楼面单价","取值（单价）","取值（总价）")</f>
        <v>取值（总价）</v>
      </c>
      <c r="G33" s="138"/>
      <c r="H33" s="138"/>
      <c r="I33" s="138"/>
    </row>
    <row r="34" spans="1:15" ht="14.4">
      <c r="A34" s="2453"/>
      <c r="B34" s="2454" t="s">
        <v>2162</v>
      </c>
      <c r="C34" s="157">
        <f ca="1">IF(C33="自定义",F34,C32-C35)</f>
        <v>156201</v>
      </c>
      <c r="D34" s="1056">
        <f ca="1">IF(C33="自定义",ROUND(C34/C32,3),IF(C33="收益比率",SUMIF(INDIRECT("'"&amp;D33&amp;"'"&amp;"!b:b"),"土地收益比率",INDIRECT("'"&amp;D33&amp;"'"&amp;"!c:c")),SUMIF(INDIRECT("'"&amp;D33&amp;"'"&amp;"!b:b"),"土地成本比率",INDIRECT("'"&amp;D33&amp;"'"&amp;"!c:c"))))</f>
        <v>0.82800000000000007</v>
      </c>
      <c r="E34" s="2455" t="s">
        <v>2163</v>
      </c>
      <c r="F34" s="1737"/>
      <c r="G34" s="138"/>
      <c r="H34" s="138"/>
      <c r="I34" s="138"/>
    </row>
    <row r="35" spans="1:15" ht="15" thickBot="1">
      <c r="A35" s="2456"/>
      <c r="B35" s="2457" t="s">
        <v>2164</v>
      </c>
      <c r="C35" s="1442">
        <f ca="1">IF(C33="自定义",F35,ROUND(C32*D35,0))</f>
        <v>32447</v>
      </c>
      <c r="D35" s="1443">
        <f ca="1">IF(C33="自定义",ROUND(C35/C32,3),IF(C33="收益比率",SUMIF(INDIRECT("'"&amp;D33&amp;"'"&amp;"!b:b"),"建筑物收益比率",INDIRECT("'"&amp;D33&amp;"'"&amp;"!c:c")),SUMIF(INDIRECT("'"&amp;D33&amp;"'"&amp;"!b:b"),"建筑物成本比率",INDIRECT("'"&amp;D33&amp;"'"&amp;"!c:c"))))</f>
        <v>0.17199999999999999</v>
      </c>
      <c r="E35" s="2458" t="s">
        <v>2165</v>
      </c>
      <c r="F35" s="163"/>
      <c r="G35" s="138"/>
      <c r="H35" s="138"/>
      <c r="I35" s="138"/>
    </row>
    <row r="36" spans="1:15" ht="15" thickBot="1">
      <c r="A36" s="3532" t="s">
        <v>2166</v>
      </c>
      <c r="B36" s="2459" t="s">
        <v>2167</v>
      </c>
      <c r="C36" s="154"/>
      <c r="D36" s="2460"/>
      <c r="E36" s="2461"/>
      <c r="F36" s="2462"/>
      <c r="G36" s="138"/>
      <c r="H36" s="138"/>
      <c r="I36" s="138"/>
    </row>
    <row r="37" spans="1:15" ht="15" thickBot="1">
      <c r="A37" s="3533"/>
      <c r="B37" s="2265" t="s">
        <v>2168</v>
      </c>
      <c r="C37" s="156"/>
      <c r="D37" s="1393"/>
      <c r="E37" s="1393"/>
      <c r="F37" s="2462"/>
      <c r="G37" s="138"/>
      <c r="H37" s="138"/>
      <c r="I37" s="138"/>
    </row>
    <row r="38" spans="1:15" ht="15" thickBot="1">
      <c r="A38" s="3534"/>
      <c r="B38" s="2463" t="s">
        <v>2169</v>
      </c>
      <c r="C38" s="727"/>
      <c r="D38" s="2464" t="s">
        <v>2170</v>
      </c>
      <c r="E38" s="1393"/>
      <c r="F38" s="2462"/>
      <c r="G38" s="138"/>
      <c r="H38" s="138"/>
      <c r="I38" s="138"/>
    </row>
    <row r="39" spans="1:15" ht="14.4">
      <c r="A39" s="2435" t="s">
        <v>2171</v>
      </c>
      <c r="B39" s="2465" t="s">
        <v>2172</v>
      </c>
      <c r="C39" s="2466" t="s">
        <v>2173</v>
      </c>
      <c r="D39" s="2466" t="s">
        <v>2174</v>
      </c>
      <c r="E39" s="2467" t="s">
        <v>2175</v>
      </c>
      <c r="F39" s="2462"/>
      <c r="G39" s="138"/>
      <c r="H39" s="138"/>
      <c r="I39" s="138"/>
    </row>
    <row r="40" spans="1:15" ht="13.8">
      <c r="A40" s="2468" t="s">
        <v>2176</v>
      </c>
      <c r="B40" s="158"/>
      <c r="C40" s="159"/>
      <c r="D40" s="159"/>
      <c r="E40" s="160"/>
      <c r="F40" s="2462"/>
      <c r="G40" s="138"/>
      <c r="H40" s="138"/>
      <c r="I40" s="138"/>
    </row>
    <row r="41" spans="1:15" ht="13.8">
      <c r="A41" s="2468" t="s">
        <v>2177</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4"/>
      <c r="B43" s="2164"/>
      <c r="C43" s="2164"/>
      <c r="D43" s="2164"/>
      <c r="E43" s="2164"/>
      <c r="F43" s="2470"/>
      <c r="G43" s="2470"/>
      <c r="H43" s="2470"/>
      <c r="I43" s="2471"/>
    </row>
    <row r="44" spans="1:15" ht="17.399999999999999">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549" t="s">
        <v>2180</v>
      </c>
      <c r="B45" s="3550"/>
      <c r="C45" s="3551"/>
      <c r="D45" s="164">
        <f ca="1">ROUND(H101*F45,0)</f>
        <v>188648</v>
      </c>
      <c r="E45" s="165" t="s">
        <v>2181</v>
      </c>
      <c r="F45" s="166">
        <v>1</v>
      </c>
      <c r="G45" s="167" t="s">
        <v>2182</v>
      </c>
      <c r="H45" s="138"/>
      <c r="I45" s="138"/>
      <c r="J45" s="3468" t="s">
        <v>2183</v>
      </c>
      <c r="K45" s="3468"/>
      <c r="L45" s="3468"/>
      <c r="M45" s="3468"/>
      <c r="N45" s="3468"/>
      <c r="O45" s="3468"/>
    </row>
    <row r="46" spans="1:15" ht="14.25" customHeight="1">
      <c r="A46" s="3546" t="s">
        <v>2184</v>
      </c>
      <c r="B46" s="3547"/>
      <c r="C46" s="3547"/>
      <c r="D46" s="3547"/>
      <c r="E46" s="3547"/>
      <c r="F46" s="3547"/>
      <c r="G46" s="3548"/>
      <c r="H46" s="2478"/>
      <c r="I46" s="168"/>
      <c r="J46" s="1810">
        <v>1</v>
      </c>
      <c r="K46" s="3468" t="s">
        <v>2185</v>
      </c>
      <c r="L46" s="3468"/>
      <c r="M46" s="3469"/>
      <c r="N46" s="3469"/>
      <c r="O46" s="3469"/>
    </row>
    <row r="47" spans="1:15" ht="12" customHeight="1">
      <c r="A47" s="169" t="s">
        <v>2186</v>
      </c>
      <c r="B47" s="170"/>
      <c r="C47" s="171"/>
      <c r="D47" s="172" t="s">
        <v>2187</v>
      </c>
      <c r="E47" s="24" t="s">
        <v>2188</v>
      </c>
      <c r="F47" s="173" t="s">
        <v>2189</v>
      </c>
      <c r="G47" s="174" t="s">
        <v>2190</v>
      </c>
      <c r="H47" s="2478"/>
      <c r="I47" s="168"/>
      <c r="J47" s="1810">
        <v>2</v>
      </c>
      <c r="K47" s="3468" t="s">
        <v>2191</v>
      </c>
      <c r="L47" s="3468"/>
      <c r="M47" s="3470">
        <f>'数据-取费表'!B2</f>
        <v>43458</v>
      </c>
      <c r="N47" s="3470"/>
      <c r="O47" s="3470"/>
    </row>
    <row r="48" spans="1:15" ht="26.4">
      <c r="A48" s="3536" t="s">
        <v>2192</v>
      </c>
      <c r="B48" s="3537"/>
      <c r="C48" s="3537"/>
      <c r="D48" s="140">
        <f>IF(H48="情况1",0,IF(H48="情况2",D52,IF(H48="情况3",D53,IF(H48="情况4",D54))))</f>
        <v>0</v>
      </c>
      <c r="E48" s="1799" t="str">
        <f>IF(H48="情况4","(销售额-原购置价)×税（费）率","销售额×税（费）率")</f>
        <v>销售额×税（费）率</v>
      </c>
      <c r="F48" s="175" t="str">
        <f>IF(H48="情况1","免征",'数据-取费表'!B41)</f>
        <v>免征</v>
      </c>
      <c r="G48" s="2479" t="s">
        <v>2193</v>
      </c>
      <c r="H48" s="2480" t="s">
        <v>2194</v>
      </c>
      <c r="I48" s="2478"/>
      <c r="J48" s="1810">
        <v>3</v>
      </c>
      <c r="K48" s="3468" t="s">
        <v>2195</v>
      </c>
      <c r="L48" s="3468"/>
      <c r="M48" s="3471">
        <f ca="1">H101</f>
        <v>188648</v>
      </c>
      <c r="N48" s="3471"/>
      <c r="O48" s="3471"/>
    </row>
    <row r="49" spans="1:35" ht="25.5" customHeight="1">
      <c r="A49" s="176" t="s">
        <v>2196</v>
      </c>
      <c r="B49" s="3516" t="s">
        <v>2197</v>
      </c>
      <c r="C49" s="3516"/>
      <c r="D49" s="177">
        <v>0</v>
      </c>
      <c r="E49" s="23" t="s">
        <v>2198</v>
      </c>
      <c r="F49" s="28" t="s">
        <v>34</v>
      </c>
      <c r="G49" s="3497"/>
      <c r="H49" s="138"/>
      <c r="I49" s="2481"/>
      <c r="J49" s="1810">
        <v>4</v>
      </c>
      <c r="K49" s="3468" t="str">
        <f>IF(项目基本情况!E8="房地产抵押价值","房地产抵押价值","抵押担保权已注销时的房地产抵押价值")</f>
        <v>房地产抵押价值</v>
      </c>
      <c r="L49" s="3468"/>
      <c r="M49" s="3471">
        <f ca="1">IF(项目基本情况!E8="房地产抵押价值",H107,H109)</f>
        <v>188648</v>
      </c>
      <c r="N49" s="3471"/>
      <c r="O49" s="3471"/>
    </row>
    <row r="50" spans="1:35" ht="25.5" customHeight="1">
      <c r="A50" s="178"/>
      <c r="B50" s="3516" t="s">
        <v>2199</v>
      </c>
      <c r="C50" s="3516"/>
      <c r="D50" s="179"/>
      <c r="E50" s="31"/>
      <c r="F50" s="180"/>
      <c r="G50" s="3498"/>
      <c r="H50" s="138"/>
      <c r="I50" s="2481"/>
      <c r="J50" s="3468" t="s">
        <v>2200</v>
      </c>
      <c r="K50" s="3468"/>
      <c r="L50" s="3468"/>
      <c r="M50" s="3468"/>
      <c r="N50" s="3468"/>
      <c r="O50" s="3468"/>
    </row>
    <row r="51" spans="1:35" ht="12" customHeight="1">
      <c r="A51" s="181"/>
      <c r="B51" s="3516" t="s">
        <v>2201</v>
      </c>
      <c r="C51" s="3516"/>
      <c r="D51" s="182"/>
      <c r="E51" s="30"/>
      <c r="F51" s="180"/>
      <c r="G51" s="3499"/>
      <c r="H51" s="138"/>
      <c r="I51" s="2481"/>
      <c r="J51" s="2482" t="s">
        <v>2202</v>
      </c>
      <c r="K51" s="3468" t="s">
        <v>2203</v>
      </c>
      <c r="L51" s="3468"/>
      <c r="M51" s="2482" t="s">
        <v>2204</v>
      </c>
      <c r="N51" s="2482" t="s">
        <v>2205</v>
      </c>
      <c r="O51" s="2482" t="s">
        <v>2206</v>
      </c>
    </row>
    <row r="52" spans="1:35" ht="24" customHeight="1">
      <c r="A52" s="183" t="s">
        <v>2207</v>
      </c>
      <c r="B52" s="3516" t="s">
        <v>2208</v>
      </c>
      <c r="C52" s="3516"/>
      <c r="D52" s="182">
        <f ca="1">ROUND(D45*'数据-取费表'!B41/(1+'数据-取费表'!C42),0)</f>
        <v>10061</v>
      </c>
      <c r="E52" s="11" t="s">
        <v>2209</v>
      </c>
      <c r="F52" s="184">
        <f>'数据-取费表'!B41</f>
        <v>5.6000000000000001E-2</v>
      </c>
      <c r="G52" s="2483"/>
      <c r="H52" s="138"/>
      <c r="I52" s="2481"/>
      <c r="J52" s="1810">
        <v>1</v>
      </c>
      <c r="K52" s="3491" t="s">
        <v>2210</v>
      </c>
      <c r="L52" s="3491"/>
      <c r="M52" s="1752">
        <f>D48</f>
        <v>0</v>
      </c>
      <c r="N52" s="1810" t="str">
        <f>E48</f>
        <v>销售额×税（费）率</v>
      </c>
      <c r="O52" s="1753" t="str">
        <f>F48</f>
        <v>免征</v>
      </c>
    </row>
    <row r="53" spans="1:35" ht="12" customHeight="1">
      <c r="A53" s="183" t="s">
        <v>2211</v>
      </c>
      <c r="B53" s="3517" t="s">
        <v>2212</v>
      </c>
      <c r="C53" s="3518"/>
      <c r="D53" s="182">
        <f ca="1">ROUND(D45*'数据-取费表'!B41/(1+'数据-取费表'!C42),0)</f>
        <v>10061</v>
      </c>
      <c r="E53" s="11" t="s">
        <v>2209</v>
      </c>
      <c r="F53" s="184">
        <f>'数据-取费表'!B41</f>
        <v>5.6000000000000001E-2</v>
      </c>
      <c r="G53" s="2483"/>
      <c r="H53" s="138"/>
      <c r="I53" s="2481"/>
      <c r="J53" s="1810">
        <v>2</v>
      </c>
      <c r="K53" s="3491" t="s">
        <v>2213</v>
      </c>
      <c r="L53" s="3491"/>
      <c r="M53" s="1752">
        <f t="shared" ref="M53:O54" ca="1" si="0">D55</f>
        <v>94</v>
      </c>
      <c r="N53" s="1810" t="str">
        <f t="shared" si="0"/>
        <v>销售额×税（费）率</v>
      </c>
      <c r="O53" s="1753">
        <f t="shared" si="0"/>
        <v>5.0000000000000001E-4</v>
      </c>
    </row>
    <row r="54" spans="1:35" ht="12" customHeight="1">
      <c r="A54" s="183" t="s">
        <v>2214</v>
      </c>
      <c r="B54" s="3517" t="s">
        <v>2215</v>
      </c>
      <c r="C54" s="3518"/>
      <c r="D54" s="182">
        <f ca="1">C68</f>
        <v>10061</v>
      </c>
      <c r="E54" s="30" t="s">
        <v>2216</v>
      </c>
      <c r="F54" s="184">
        <f>'数据-取费表'!B41</f>
        <v>5.6000000000000001E-2</v>
      </c>
      <c r="G54" s="2483"/>
      <c r="H54" s="2484"/>
      <c r="I54" s="2481"/>
      <c r="J54" s="1810">
        <v>3</v>
      </c>
      <c r="K54" s="3491" t="s">
        <v>2217</v>
      </c>
      <c r="L54" s="3491"/>
      <c r="M54" s="1752">
        <f t="shared" ca="1" si="0"/>
        <v>106775</v>
      </c>
      <c r="N54" s="1810" t="str">
        <f t="shared" si="0"/>
        <v>增值额×税（费）率</v>
      </c>
      <c r="O54" s="1754" t="str">
        <f t="shared" si="0"/>
        <v>——</v>
      </c>
    </row>
    <row r="55" spans="1:35" ht="24" customHeight="1">
      <c r="A55" s="3555" t="s">
        <v>2218</v>
      </c>
      <c r="B55" s="3537"/>
      <c r="C55" s="3537"/>
      <c r="D55" s="185">
        <f ca="1">IF(H55="个人住宅",0,ROUND(D45*I55,0))</f>
        <v>94</v>
      </c>
      <c r="E55" s="11" t="s">
        <v>2219</v>
      </c>
      <c r="F55" s="184">
        <f>IF(H55="正常",I55,"免征")</f>
        <v>5.0000000000000001E-4</v>
      </c>
      <c r="G55" s="2483"/>
      <c r="H55" s="2480" t="s">
        <v>2220</v>
      </c>
      <c r="I55" s="186">
        <f>'数据-取费表'!B49</f>
        <v>5.0000000000000001E-4</v>
      </c>
      <c r="J55" s="1810" t="str">
        <f>IF(H59="非个人房产","",4)</f>
        <v/>
      </c>
      <c r="K55" s="3491" t="str">
        <f>IF(H59="非个人房产","——","个人所得税")</f>
        <v>——</v>
      </c>
      <c r="L55" s="3491"/>
      <c r="M55" s="1755" t="str">
        <f>D59</f>
        <v>——</v>
      </c>
      <c r="N55" s="1808" t="str">
        <f>E59</f>
        <v>——</v>
      </c>
      <c r="O55" s="1756" t="str">
        <f>F59</f>
        <v>——</v>
      </c>
    </row>
    <row r="56" spans="1:35" ht="25.2">
      <c r="A56" s="3555" t="s">
        <v>2221</v>
      </c>
      <c r="B56" s="3537"/>
      <c r="C56" s="3537"/>
      <c r="D56" s="185">
        <f ca="1">IF(H56="个人住宅",D57,D58)</f>
        <v>106775</v>
      </c>
      <c r="E56" s="11" t="s">
        <v>2222</v>
      </c>
      <c r="F56" s="184" t="str">
        <f>IF(H56="正常",F58,"免征")</f>
        <v>——</v>
      </c>
      <c r="G56" s="2485" t="s">
        <v>2223</v>
      </c>
      <c r="H56" s="2486" t="s">
        <v>2220</v>
      </c>
      <c r="I56" s="2487"/>
      <c r="J56" s="1810" t="str">
        <f>IF(项目基本情况!K6="上海银行",IF(J55="",4,J55+1),"")</f>
        <v/>
      </c>
      <c r="K56" s="3474" t="str">
        <f>IF(项目基本情况!K6="上海银行","其他处置费用","")</f>
        <v/>
      </c>
      <c r="L56" s="3475"/>
      <c r="M56" s="1752" t="str">
        <f>IF(项目基本情况!K6="上海银行",M69,"")</f>
        <v/>
      </c>
      <c r="N56" s="3477" t="str">
        <f>IF(项目基本情况!K6="上海银行","包含处置中涉及的律师、诉讼、拍卖、评估等费用","")</f>
        <v/>
      </c>
      <c r="O56" s="3478"/>
    </row>
    <row r="57" spans="1:35" ht="13.2">
      <c r="A57" s="183" t="s">
        <v>2196</v>
      </c>
      <c r="B57" s="3522" t="s">
        <v>2224</v>
      </c>
      <c r="C57" s="3523"/>
      <c r="D57" s="187">
        <v>0</v>
      </c>
      <c r="E57" s="23" t="s">
        <v>2198</v>
      </c>
      <c r="F57" s="155"/>
      <c r="G57" s="2483"/>
      <c r="H57" s="2487"/>
      <c r="I57" s="2487"/>
      <c r="J57" s="3491">
        <f>IF(AND(J55="",J56=""),4,IF(项目基本情况!K6="上海银行",结果表!J56+1,结果表!J55+1))</f>
        <v>4</v>
      </c>
      <c r="K57" s="3491" t="s">
        <v>2225</v>
      </c>
      <c r="L57" s="2488" t="s">
        <v>2226</v>
      </c>
      <c r="M57" s="1757"/>
      <c r="N57" s="1758">
        <f ca="1">SUMIF(M52:M56,"&lt;9e307")</f>
        <v>106869</v>
      </c>
      <c r="O57" s="2489"/>
      <c r="P57" s="1751">
        <f ca="1">N57/M49</f>
        <v>0.56649951231924012</v>
      </c>
    </row>
    <row r="58" spans="1:35" ht="25.2">
      <c r="A58" s="183" t="s">
        <v>2207</v>
      </c>
      <c r="B58" s="3522" t="s">
        <v>2227</v>
      </c>
      <c r="C58" s="3535"/>
      <c r="D58" s="185">
        <f ca="1">IF(H58="转让取得",C81,C97)</f>
        <v>106775</v>
      </c>
      <c r="E58" s="11" t="s">
        <v>2222</v>
      </c>
      <c r="F58" s="24" t="s">
        <v>34</v>
      </c>
      <c r="G58" s="2483"/>
      <c r="H58" s="2486" t="s">
        <v>2228</v>
      </c>
      <c r="I58" s="2487"/>
      <c r="J58" s="3491"/>
      <c r="K58" s="3491"/>
      <c r="L58" s="2488" t="s">
        <v>2229</v>
      </c>
      <c r="M58" s="1759"/>
      <c r="N58" s="2490" t="str">
        <f ca="1">NUMBERSTRING(INT(N57*10000),2)&amp;"元整"</f>
        <v>壹拾亿陆仟捌佰陆拾玖万元整</v>
      </c>
      <c r="O58" s="2491"/>
    </row>
    <row r="59" spans="1:35" ht="24.6" thickBot="1">
      <c r="A59" s="3495" t="s">
        <v>2230</v>
      </c>
      <c r="B59" s="3496"/>
      <c r="C59" s="349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493">
        <f>J57+1</f>
        <v>5</v>
      </c>
      <c r="K59" s="3491" t="s">
        <v>2232</v>
      </c>
      <c r="L59" s="1810" t="s">
        <v>2226</v>
      </c>
      <c r="M59" s="1760"/>
      <c r="N59" s="1761">
        <f ca="1">M49-N57</f>
        <v>81779</v>
      </c>
      <c r="O59" s="2493"/>
    </row>
    <row r="60" spans="1:35" ht="12" customHeight="1">
      <c r="A60" s="2494"/>
      <c r="B60" s="2416"/>
      <c r="C60" s="2416"/>
      <c r="D60" s="2416"/>
      <c r="E60" s="2165"/>
      <c r="F60" s="2487"/>
      <c r="G60" s="2487"/>
      <c r="H60" s="2495"/>
      <c r="I60" s="138"/>
      <c r="J60" s="3494"/>
      <c r="K60" s="3491"/>
      <c r="L60" s="2488" t="s">
        <v>2229</v>
      </c>
      <c r="M60" s="1759"/>
      <c r="N60" s="2490" t="str">
        <f ca="1">NUMBERSTRING(INT(N59*10000),2)&amp;"元整"</f>
        <v>捌亿壹仟柒佰柒拾玖万元整</v>
      </c>
      <c r="O60" s="2491"/>
    </row>
    <row r="61" spans="1:35" ht="13.8" thickBot="1">
      <c r="A61" s="3554" t="s">
        <v>2233</v>
      </c>
      <c r="B61" s="3554"/>
      <c r="C61" s="3554"/>
      <c r="D61" s="3554"/>
      <c r="E61" s="3554"/>
      <c r="F61" s="2487"/>
      <c r="G61" s="2487"/>
      <c r="H61" s="2495"/>
      <c r="I61" s="138"/>
      <c r="J61" s="1810">
        <f>J59+1</f>
        <v>6</v>
      </c>
      <c r="K61" s="3491" t="s">
        <v>2234</v>
      </c>
      <c r="L61" s="3491"/>
      <c r="M61" s="1762"/>
      <c r="N61" s="1763">
        <f ca="1">ROUND(N59*10000/'数据-汇总表'!E3,0)</f>
        <v>16317</v>
      </c>
      <c r="O61" s="2496"/>
    </row>
    <row r="62" spans="1:35" ht="13.2">
      <c r="A62" s="3511" t="s">
        <v>2235</v>
      </c>
      <c r="B62" s="3512"/>
      <c r="C62" s="1802"/>
      <c r="D62" s="1802" t="s">
        <v>2236</v>
      </c>
      <c r="E62" s="192" t="s">
        <v>2237</v>
      </c>
      <c r="F62" s="2487"/>
      <c r="G62" s="2487"/>
      <c r="H62" s="2495"/>
      <c r="I62" s="138"/>
    </row>
    <row r="63" spans="1:35" ht="13.2">
      <c r="A63" s="203" t="s">
        <v>775</v>
      </c>
      <c r="B63" s="193" t="s">
        <v>2238</v>
      </c>
      <c r="C63" s="194">
        <f ca="1">ROUND((C64+C65)/(1+'数据-取费表'!C42),0)</f>
        <v>179665</v>
      </c>
      <c r="D63" s="195"/>
      <c r="E63" s="196"/>
      <c r="F63" s="2487"/>
      <c r="G63" s="2487"/>
      <c r="H63" s="2495"/>
      <c r="I63" s="138"/>
      <c r="J63" s="3476" t="s">
        <v>2239</v>
      </c>
      <c r="K63" s="2497" t="s">
        <v>2240</v>
      </c>
      <c r="L63" s="1750">
        <f ca="1">IF(M49&gt;10000,M49*0.5%,IF(AND(M49&gt;1000,M49&lt;=10000),M49*1%,IF(AND(M49&gt;100,M49&lt;=1000),M49*3%,IF(AND(M49&gt;10,M49&lt;=100),M49*5%,M49*8%))))</f>
        <v>943.24</v>
      </c>
      <c r="M63" s="24">
        <f ca="1">ROUND(L63,1)</f>
        <v>943.2</v>
      </c>
      <c r="Z63" s="2421"/>
      <c r="AI63" s="2422"/>
    </row>
    <row r="64" spans="1:35" ht="14.25" customHeight="1">
      <c r="A64" s="197" t="s">
        <v>770</v>
      </c>
      <c r="B64" s="198" t="s">
        <v>2241</v>
      </c>
      <c r="C64" s="199">
        <f ca="1">D45</f>
        <v>188648</v>
      </c>
      <c r="D64" s="200" t="s">
        <v>32</v>
      </c>
      <c r="E64" s="201"/>
      <c r="F64" s="2487"/>
      <c r="G64" s="2487"/>
      <c r="H64" s="2495"/>
      <c r="I64" s="138"/>
      <c r="J64" s="3476"/>
      <c r="K64" s="2497" t="s">
        <v>2242</v>
      </c>
      <c r="L64" s="1750">
        <f ca="1">IF(M49&gt;2000,M49*0.5%,IF(AND(M49&gt;1000,M49&lt;=2000),M49*0.6%,IF(AND(M49&gt;500,M49&lt;=1000),M49*0.7%,IF(AND(M49&gt;200,M49&lt;=500),M49*0.8%,IF(AND(M49&gt;100,M49&lt;=200),M49*0.9%,IF(AND(M49&gt;50,M49&lt;=100),M49*1%,IF(AND(M49&gt;20,M49&lt;=50),M49*1.5%,IF(AND(M49&gt;10,M49&lt;=20),M49*2%,IF(AND(M49&gt;1,M49&lt;=10),M49*2.5%)))))))))</f>
        <v>943.24</v>
      </c>
      <c r="M64" s="24">
        <f ca="1">ROUND(L64,1)</f>
        <v>943.2</v>
      </c>
      <c r="N64" s="138" t="s">
        <v>2243</v>
      </c>
      <c r="Z64" s="2421"/>
      <c r="AI64" s="2422"/>
    </row>
    <row r="65" spans="1:35" ht="14.25" customHeight="1">
      <c r="A65" s="197" t="s">
        <v>771</v>
      </c>
      <c r="B65" s="198" t="s">
        <v>2244</v>
      </c>
      <c r="C65" s="202"/>
      <c r="D65" s="200"/>
      <c r="E65" s="201"/>
      <c r="F65" s="2487"/>
      <c r="G65" s="2487"/>
      <c r="H65" s="2495"/>
      <c r="I65" s="138"/>
      <c r="J65" s="3476"/>
      <c r="K65" s="2497" t="s">
        <v>2245</v>
      </c>
      <c r="L65" s="1750">
        <f ca="1">IF(M49&gt;1000,M49*0.1%,IF(AND(M49&gt;500,M49&lt;=1000),M49*0.5%,IF(AND(M49&gt;50,M49&lt;=500),M49*1%,IF(AND(M49&gt;1,M49&lt;=50),M49*1.5%))))</f>
        <v>188.648</v>
      </c>
      <c r="M65" s="24">
        <f ca="1">ROUND(L65,1)</f>
        <v>188.6</v>
      </c>
      <c r="N65" s="138" t="s">
        <v>2243</v>
      </c>
      <c r="Z65" s="2421"/>
      <c r="AI65" s="2422"/>
    </row>
    <row r="66" spans="1:35" ht="14.25" customHeight="1">
      <c r="A66" s="203" t="s">
        <v>772</v>
      </c>
      <c r="B66" s="204" t="s">
        <v>2246</v>
      </c>
      <c r="C66" s="205"/>
      <c r="D66" s="206" t="s">
        <v>32</v>
      </c>
      <c r="E66" s="1774" t="s">
        <v>1371</v>
      </c>
      <c r="F66" s="2487"/>
      <c r="G66" s="2487"/>
      <c r="H66" s="2495"/>
      <c r="I66" s="138"/>
      <c r="J66" s="3476"/>
      <c r="K66" s="2497" t="s">
        <v>2247</v>
      </c>
      <c r="L66" s="1750">
        <f ca="1">M49*0.5%</f>
        <v>943.24</v>
      </c>
      <c r="M66" s="24">
        <f ca="1">IF(L66&gt;0.5,0.5,ROUND(L66,0))</f>
        <v>0.5</v>
      </c>
      <c r="N66" s="138" t="s">
        <v>2248</v>
      </c>
      <c r="Z66" s="2421"/>
      <c r="AI66" s="2422"/>
    </row>
    <row r="67" spans="1:35" ht="14.25" customHeight="1">
      <c r="A67" s="203" t="s">
        <v>773</v>
      </c>
      <c r="B67" s="204" t="s">
        <v>2249</v>
      </c>
      <c r="C67" s="207">
        <f ca="1">C63-C66</f>
        <v>179665</v>
      </c>
      <c r="D67" s="200" t="s">
        <v>32</v>
      </c>
      <c r="E67" s="201"/>
      <c r="F67" s="2487"/>
      <c r="G67" s="2487"/>
      <c r="H67" s="2495"/>
      <c r="I67" s="138"/>
      <c r="J67" s="3476"/>
      <c r="K67" s="2497" t="s">
        <v>2250</v>
      </c>
      <c r="L67" s="1750">
        <f ca="1">IF(M49&gt;=10000,(8.25+(M49-10000)*0.01%),IF(AND(M49&gt;=8000,M49&lt;10000),(7.85+(M49-8000)*0.02%),IF(AND(M49&gt;=5000,M49&lt;8000),(6.65+(M49-5000)*0.04%),IF(AND(M49&gt;=2000,M49&lt;5000),(4.25+(PM49-2000)*0.08%),IF(AND(M49&gt;=1000,M49&lt;2000),(2.75+(M49-1000)*0.15%),IF(AND(M49&gt;=100,M49&lt;1000),(0.5+(M49-100)*0.25%),IF(AND(M49&gt;0,M49&lt;100),M49*0.5%)))))))</f>
        <v>26.114800000000002</v>
      </c>
      <c r="M67" s="24">
        <f ca="1">ROUND(L67*0.9,1)</f>
        <v>23.5</v>
      </c>
      <c r="Z67" s="2421"/>
      <c r="AI67" s="2422"/>
    </row>
    <row r="68" spans="1:35" ht="14.25" customHeight="1" thickBot="1">
      <c r="A68" s="208" t="s">
        <v>774</v>
      </c>
      <c r="B68" s="209" t="s">
        <v>2251</v>
      </c>
      <c r="C68" s="210">
        <f ca="1">IF(C67&lt;=0,0,ROUND(C67*D68,0))</f>
        <v>10061</v>
      </c>
      <c r="D68" s="211">
        <f>'数据-取费表'!B41</f>
        <v>5.6000000000000001E-2</v>
      </c>
      <c r="E68" s="212"/>
      <c r="F68" s="2487"/>
      <c r="G68" s="2487"/>
      <c r="H68" s="2495"/>
      <c r="I68" s="138"/>
      <c r="J68" s="3476"/>
      <c r="K68" s="2497" t="s">
        <v>2252</v>
      </c>
      <c r="L68" s="1750">
        <f ca="1">IF(M49&gt;10000,M49*0.5%,IF(AND(M49&gt;5000,M49&lt;=10000),M49*1%,IF(AND(M49&gt;1000,M49&lt;=5000),M49*2%,IF(AND(M49&gt;200,M49&lt;=1000),M49*3%,M49*5%))))</f>
        <v>943.24</v>
      </c>
      <c r="M68" s="24">
        <f ca="1">ROUND(L68,1)</f>
        <v>943.2</v>
      </c>
      <c r="Z68" s="2421"/>
      <c r="AI68" s="2422"/>
    </row>
    <row r="69" spans="1:35" s="2444" customFormat="1" ht="16.5" customHeight="1">
      <c r="A69" s="2498"/>
      <c r="B69" s="2499"/>
      <c r="C69" s="2500"/>
      <c r="D69" s="2501"/>
      <c r="E69" s="2502"/>
      <c r="F69" s="2165"/>
      <c r="G69" s="2165"/>
      <c r="H69" s="2164"/>
      <c r="I69" s="2416"/>
      <c r="J69" s="3476"/>
      <c r="K69" s="2497" t="s">
        <v>2253</v>
      </c>
      <c r="L69" s="2503"/>
      <c r="M69" s="24">
        <f ca="1">ROUND(SUM(M63:M68),0)</f>
        <v>3042</v>
      </c>
      <c r="N69" s="1751">
        <f ca="1">M69/M49</f>
        <v>1.6125270344769092E-2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4" thickBot="1">
      <c r="A70" s="3520" t="s">
        <v>2254</v>
      </c>
      <c r="B70" s="3521"/>
      <c r="C70" s="3521"/>
      <c r="D70" s="3521"/>
      <c r="E70" s="3521"/>
      <c r="F70" s="3521"/>
      <c r="G70" s="3521"/>
      <c r="H70" s="352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511" t="s">
        <v>2235</v>
      </c>
      <c r="B71" s="3512"/>
      <c r="C71" s="1802"/>
      <c r="D71" s="1802"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775</v>
      </c>
      <c r="B72" s="204" t="s">
        <v>2255</v>
      </c>
      <c r="C72" s="207">
        <f ca="1">ROUND(D45/(1+'数据-取费表'!C42),0)</f>
        <v>179665</v>
      </c>
      <c r="D72" s="200" t="s">
        <v>32</v>
      </c>
      <c r="E72" s="1801"/>
      <c r="F72" s="1795"/>
      <c r="G72" s="179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772</v>
      </c>
      <c r="B73" s="173" t="s">
        <v>2256</v>
      </c>
      <c r="C73" s="207">
        <f ca="1">C74+C78</f>
        <v>1078</v>
      </c>
      <c r="D73" s="200" t="s">
        <v>32</v>
      </c>
      <c r="E73" s="1801"/>
      <c r="F73" s="1795"/>
      <c r="G73" s="179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1"/>
      <c r="F74" s="1795"/>
      <c r="G74" s="179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517" t="s">
        <v>2263</v>
      </c>
      <c r="F76" s="3516"/>
      <c r="G76" s="3516"/>
      <c r="H76" s="351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1078</v>
      </c>
      <c r="D78" s="226">
        <f>'数据-取费表'!B43</f>
        <v>6.000000000000001E-3</v>
      </c>
      <c r="E78" s="3508" t="s">
        <v>2268</v>
      </c>
      <c r="F78" s="3509"/>
      <c r="G78" s="3509"/>
      <c r="H78" s="351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779</v>
      </c>
      <c r="B79" s="204" t="s">
        <v>2269</v>
      </c>
      <c r="C79" s="207">
        <f ca="1">C72-C73</f>
        <v>178587</v>
      </c>
      <c r="D79" s="200" t="s">
        <v>32</v>
      </c>
      <c r="E79" s="1801"/>
      <c r="F79" s="1795"/>
      <c r="G79" s="179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165.66512059369202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781</v>
      </c>
      <c r="B81" s="209" t="s">
        <v>2271</v>
      </c>
      <c r="C81" s="228">
        <f ca="1">ROUND(IF(C79&lt;=0,0,IF(C80&gt;=200%,C79*60%-C73*35%,IF(C80&gt;=100%,C79*50%-C73*15%,IF(C80&gt;=50%,C79*40%-C73*5%,IF(C80&lt;50%,C79*30%,0))))),0)</f>
        <v>106775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520" t="s">
        <v>2272</v>
      </c>
      <c r="B83" s="3521"/>
      <c r="C83" s="3521"/>
      <c r="D83" s="3521"/>
      <c r="E83" s="3521"/>
      <c r="F83" s="3521"/>
      <c r="G83" s="3521"/>
      <c r="H83" s="352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511" t="s">
        <v>2235</v>
      </c>
      <c r="B84" s="3512"/>
      <c r="C84" s="1802"/>
      <c r="D84" s="1802"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c r="A85" s="203" t="s">
        <v>775</v>
      </c>
      <c r="B85" s="204" t="s">
        <v>2255</v>
      </c>
      <c r="C85" s="207">
        <f ca="1">ROUND(D45/(1+'数据-取费表'!C42),0)</f>
        <v>179665</v>
      </c>
      <c r="D85" s="200" t="s">
        <v>32</v>
      </c>
      <c r="E85" s="1801"/>
      <c r="F85" s="1795"/>
      <c r="G85" s="179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c r="A86" s="203" t="s">
        <v>772</v>
      </c>
      <c r="B86" s="173" t="s">
        <v>2256</v>
      </c>
      <c r="C86" s="207">
        <f ca="1">IF(H88="仅含出让金",C87+C90+C91+C92+C93+C94,C87+C91+C92+C93+C94)</f>
        <v>1078</v>
      </c>
      <c r="D86" s="235"/>
      <c r="E86" s="1801"/>
      <c r="F86" s="1795"/>
      <c r="G86" s="179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770</v>
      </c>
      <c r="B87" s="198" t="s">
        <v>2273</v>
      </c>
      <c r="C87" s="225">
        <f>C88+C89</f>
        <v>0</v>
      </c>
      <c r="D87" s="226"/>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c r="A88" s="217" t="s">
        <v>776</v>
      </c>
      <c r="B88" s="198" t="s">
        <v>2274</v>
      </c>
      <c r="C88" s="236"/>
      <c r="D88" s="226"/>
      <c r="E88" s="237" t="s">
        <v>2275</v>
      </c>
      <c r="F88" s="1798"/>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777</v>
      </c>
      <c r="B89" s="198" t="s">
        <v>2264</v>
      </c>
      <c r="C89" s="225">
        <f>ROUND(C88*D89,0)</f>
        <v>0</v>
      </c>
      <c r="D89" s="226">
        <f>'数据-取费表'!B48+'数据-取费表'!B49</f>
        <v>3.0499999999999999E-2</v>
      </c>
      <c r="E89" s="237" t="s">
        <v>2277</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771</v>
      </c>
      <c r="B90" s="198" t="s">
        <v>2278</v>
      </c>
      <c r="C90" s="236"/>
      <c r="D90" s="226"/>
      <c r="E90" s="237"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508" t="s">
        <v>2281</v>
      </c>
      <c r="F91" s="3509"/>
      <c r="G91" s="3509"/>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508" t="s">
        <v>2285</v>
      </c>
      <c r="F92" s="3509"/>
      <c r="G92" s="3509"/>
      <c r="H92" s="351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1078</v>
      </c>
      <c r="D93" s="226">
        <f>'数据-取费表'!B43</f>
        <v>6.000000000000001E-3</v>
      </c>
      <c r="E93" s="3508" t="s">
        <v>2268</v>
      </c>
      <c r="F93" s="3509"/>
      <c r="G93" s="3509"/>
      <c r="H93" s="351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556" t="s">
        <v>2289</v>
      </c>
      <c r="F94" s="3557"/>
      <c r="G94" s="3557"/>
      <c r="H94" s="355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779</v>
      </c>
      <c r="B95" s="204" t="s">
        <v>2269</v>
      </c>
      <c r="C95" s="207">
        <f ca="1">ROUND(C85-C86,0)</f>
        <v>178587</v>
      </c>
      <c r="D95" s="200" t="s">
        <v>32</v>
      </c>
      <c r="E95" s="1801"/>
      <c r="F95" s="1795"/>
      <c r="G95" s="179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165.66512059369202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781</v>
      </c>
      <c r="B97" s="209" t="s">
        <v>2271</v>
      </c>
      <c r="C97" s="228">
        <f ca="1">ROUND(IF(C95&lt;=0,0,IF(C96&gt;=200%,C95*60%-C86*35%,IF(C96&gt;=100%,C95*50%-C86*15%,IF(C96&gt;=50%,C95*40%-C86*5%,IF(C96&lt;50%,C95*30%,0))))),0)</f>
        <v>106775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460" t="s">
        <v>2291</v>
      </c>
      <c r="B100" s="3461"/>
      <c r="C100" s="3461"/>
      <c r="D100" s="3492"/>
      <c r="E100" s="3461" t="s">
        <v>2292</v>
      </c>
      <c r="F100" s="3461"/>
      <c r="G100" s="3461"/>
      <c r="H100" s="3492"/>
      <c r="I100" s="138"/>
    </row>
    <row r="101" spans="1:35" ht="18.75" customHeight="1">
      <c r="A101" s="3500" t="s">
        <v>2293</v>
      </c>
      <c r="B101" s="3501"/>
      <c r="C101" s="736" t="str">
        <f>C4</f>
        <v>成本法</v>
      </c>
      <c r="D101" s="737" t="str">
        <f>D4</f>
        <v>收益法（汇总）</v>
      </c>
      <c r="E101" s="3472" t="s">
        <v>2294</v>
      </c>
      <c r="F101" s="3473"/>
      <c r="G101" s="2518" t="s">
        <v>2295</v>
      </c>
      <c r="H101" s="1046">
        <f ca="1">H118</f>
        <v>188648</v>
      </c>
      <c r="I101" s="138"/>
    </row>
    <row r="102" spans="1:35" ht="18.75" customHeight="1">
      <c r="A102" s="3502" t="s">
        <v>2296</v>
      </c>
      <c r="B102" s="2518" t="s">
        <v>2295</v>
      </c>
      <c r="C102" s="736">
        <f ca="1">C19</f>
        <v>202151</v>
      </c>
      <c r="D102" s="737">
        <f ca="1">D19</f>
        <v>175145</v>
      </c>
      <c r="E102" s="3472"/>
      <c r="F102" s="3473"/>
      <c r="G102" s="2518" t="s">
        <v>2297</v>
      </c>
      <c r="H102" s="371">
        <f ca="1">I118</f>
        <v>37639</v>
      </c>
      <c r="I102" s="138"/>
    </row>
    <row r="103" spans="1:35" ht="42.75" customHeight="1">
      <c r="A103" s="3502"/>
      <c r="B103" s="2518" t="s">
        <v>2297</v>
      </c>
      <c r="C103" s="738">
        <f ca="1">C20</f>
        <v>40333</v>
      </c>
      <c r="D103" s="739">
        <f ca="1">D20</f>
        <v>34945</v>
      </c>
      <c r="E103" s="3466" t="s">
        <v>2298</v>
      </c>
      <c r="F103" s="3467"/>
      <c r="G103" s="2519" t="s">
        <v>2299</v>
      </c>
      <c r="H103" s="1046">
        <f>IF(D36="正常操作",H104+H105+H106,H105+H106)</f>
        <v>0</v>
      </c>
      <c r="I103" s="138"/>
    </row>
    <row r="104" spans="1:35" ht="18.75" customHeight="1">
      <c r="A104" s="3502" t="s">
        <v>2300</v>
      </c>
      <c r="B104" s="2520" t="s">
        <v>2295</v>
      </c>
      <c r="C104" s="740">
        <f ca="1">H118</f>
        <v>188648</v>
      </c>
      <c r="D104" s="741"/>
      <c r="E104" s="2265" t="s">
        <v>2301</v>
      </c>
      <c r="F104" s="2257"/>
      <c r="G104" s="2519" t="s">
        <v>2299</v>
      </c>
      <c r="H104" s="1047">
        <f>IF(D36="同一抵押权人同一抵押物续贷",C36&amp;"（未扣减，详见特别提示）",C36)</f>
        <v>0</v>
      </c>
      <c r="I104" s="138"/>
    </row>
    <row r="105" spans="1:35" ht="18.75" customHeight="1" thickBot="1">
      <c r="A105" s="3514"/>
      <c r="B105" s="2521" t="s">
        <v>2297</v>
      </c>
      <c r="C105" s="742">
        <f ca="1">I118</f>
        <v>37639</v>
      </c>
      <c r="D105" s="743"/>
      <c r="E105" s="2265" t="s">
        <v>2302</v>
      </c>
      <c r="F105" s="2257"/>
      <c r="G105" s="2519" t="s">
        <v>2299</v>
      </c>
      <c r="H105" s="1047">
        <f>C37</f>
        <v>0</v>
      </c>
      <c r="I105" s="138"/>
    </row>
    <row r="106" spans="1:35" ht="18.75" customHeight="1">
      <c r="A106" s="2416" t="s">
        <v>2303</v>
      </c>
      <c r="B106" s="2416"/>
      <c r="C106" s="2416"/>
      <c r="D106" s="2416"/>
      <c r="E106" s="2522" t="s">
        <v>2304</v>
      </c>
      <c r="F106" s="2257"/>
      <c r="G106" s="2519" t="s">
        <v>2299</v>
      </c>
      <c r="H106" s="1047">
        <f>C38</f>
        <v>0</v>
      </c>
      <c r="I106" s="138"/>
    </row>
    <row r="107" spans="1:35" ht="18.75" customHeight="1">
      <c r="A107" s="138"/>
      <c r="B107" s="138"/>
      <c r="C107" s="138"/>
      <c r="D107" s="138"/>
      <c r="E107" s="3503" t="str">
        <f>IF(项目基本情况!E8="已注销","——","3.房地产抵押价值")</f>
        <v>3.房地产抵押价值</v>
      </c>
      <c r="F107" s="3473"/>
      <c r="G107" s="2518" t="s">
        <v>2295</v>
      </c>
      <c r="H107" s="1046">
        <f ca="1">IF(E107="——","——",H101-H103)</f>
        <v>188648</v>
      </c>
      <c r="I107" s="138"/>
    </row>
    <row r="108" spans="1:35" ht="18.75" customHeight="1">
      <c r="A108" s="138"/>
      <c r="B108" s="138"/>
      <c r="C108" s="138"/>
      <c r="D108" s="138"/>
      <c r="E108" s="3503"/>
      <c r="F108" s="3473"/>
      <c r="G108" s="2518" t="s">
        <v>2297</v>
      </c>
      <c r="H108" s="371">
        <f ca="1">ROUND(H107*10000/'数据-汇总表'!E3,0)</f>
        <v>37639</v>
      </c>
      <c r="I108" s="138"/>
    </row>
    <row r="109" spans="1:35" ht="18.75" customHeight="1">
      <c r="A109" s="138"/>
      <c r="B109" s="138"/>
      <c r="C109" s="138"/>
      <c r="D109" s="138"/>
      <c r="E109" s="3503" t="str">
        <f>IF(项目基本情况!E8="已注销及未注销","4.抵押担保权已注销时的房地产抵押价值",IF(项目基本情况!E8="已注销","3.抵押担保权已注销时的房地产抵押价值","——"))</f>
        <v>——</v>
      </c>
      <c r="F109" s="3473"/>
      <c r="G109" s="2518" t="s">
        <v>2295</v>
      </c>
      <c r="H109" s="348" t="str">
        <f>IF(E109="——","——",H101-H105-H106)</f>
        <v>——</v>
      </c>
      <c r="I109" s="138"/>
    </row>
    <row r="110" spans="1:35" ht="18.75" customHeight="1">
      <c r="A110" s="138"/>
      <c r="B110" s="138"/>
      <c r="C110" s="138"/>
      <c r="D110" s="138"/>
      <c r="E110" s="3503"/>
      <c r="F110" s="3473"/>
      <c r="G110" s="2518" t="s">
        <v>2297</v>
      </c>
      <c r="H110" s="371" t="str">
        <f>IF(H109="——","——",ROUND(H109*10000/'数据-汇总表'!E3,0))</f>
        <v>——</v>
      </c>
      <c r="I110" s="138"/>
    </row>
    <row r="111" spans="1:35" ht="18.75" customHeight="1">
      <c r="A111" s="138"/>
      <c r="B111" s="138"/>
      <c r="C111" s="138"/>
      <c r="D111" s="138"/>
      <c r="E111" s="3504" t="str">
        <f>IF(项目基本情况!E9="抵押净值",IF(OR(项目基本情况!E8="已注销",项目基本情况!E8="房地产抵押价值"),"4.抵押净值","5.抵押净值"),"——")</f>
        <v>——</v>
      </c>
      <c r="F111" s="3505"/>
      <c r="G111" s="2518" t="s">
        <v>2295</v>
      </c>
      <c r="H111" s="1046" t="str">
        <f>IF(E111="——","——",N59)</f>
        <v>——</v>
      </c>
      <c r="I111" s="138"/>
    </row>
    <row r="112" spans="1:35" ht="18.75" customHeight="1" thickBot="1">
      <c r="A112" s="138"/>
      <c r="B112" s="138"/>
      <c r="C112" s="138"/>
      <c r="D112" s="138"/>
      <c r="E112" s="3506"/>
      <c r="F112" s="3507"/>
      <c r="G112" s="2523" t="s">
        <v>2297</v>
      </c>
      <c r="H112" s="790" t="str">
        <f>IF(E111="——","——",N61)</f>
        <v>——</v>
      </c>
      <c r="I112" s="138"/>
    </row>
    <row r="113" spans="1:11" ht="18.75" customHeight="1">
      <c r="A113" s="138"/>
      <c r="B113" s="138"/>
      <c r="C113" s="138"/>
      <c r="D113" s="138"/>
      <c r="E113" s="3515" t="s">
        <v>2303</v>
      </c>
      <c r="F113" s="3515"/>
      <c r="G113" s="3515"/>
      <c r="H113" s="3515"/>
      <c r="I113" s="138"/>
    </row>
    <row r="114" spans="1:11" ht="3.75" customHeight="1">
      <c r="A114" s="2416"/>
      <c r="B114" s="2416"/>
      <c r="C114" s="2416"/>
      <c r="D114" s="2416"/>
      <c r="E114" s="2494"/>
      <c r="F114" s="2494"/>
      <c r="G114" s="2494"/>
      <c r="H114" s="2494"/>
      <c r="I114" s="2416"/>
    </row>
    <row r="115" spans="1:11" ht="18.75" customHeight="1">
      <c r="A115" s="3528" t="s">
        <v>2305</v>
      </c>
      <c r="B115" s="3529"/>
      <c r="C115" s="3529"/>
      <c r="D115" s="3529"/>
      <c r="E115" s="3529"/>
      <c r="F115" s="3529"/>
      <c r="G115" s="3529"/>
      <c r="H115" s="3529"/>
      <c r="I115" s="3530"/>
    </row>
    <row r="116" spans="1:11" ht="27" customHeight="1">
      <c r="A116" s="3439" t="s">
        <v>2306</v>
      </c>
      <c r="B116" s="3482" t="s">
        <v>2307</v>
      </c>
      <c r="C116" s="3482" t="s">
        <v>2308</v>
      </c>
      <c r="D116" s="3488" t="s">
        <v>2309</v>
      </c>
      <c r="E116" s="3489"/>
      <c r="F116" s="3524" t="s">
        <v>2310</v>
      </c>
      <c r="G116" s="3524"/>
      <c r="H116" s="3439" t="s">
        <v>2311</v>
      </c>
      <c r="I116" s="3439"/>
    </row>
    <row r="117" spans="1:11" ht="18.75" customHeight="1">
      <c r="A117" s="3439"/>
      <c r="B117" s="3483"/>
      <c r="C117" s="3483"/>
      <c r="D117" s="1796" t="s">
        <v>2312</v>
      </c>
      <c r="E117" s="1796" t="s">
        <v>2313</v>
      </c>
      <c r="F117" s="1796" t="s">
        <v>2312</v>
      </c>
      <c r="G117" s="1796" t="s">
        <v>2314</v>
      </c>
      <c r="H117" s="1796" t="s">
        <v>2312</v>
      </c>
      <c r="I117" s="1796" t="s">
        <v>2314</v>
      </c>
    </row>
    <row r="118" spans="1:11" ht="24.75" customHeight="1">
      <c r="A118" s="2524" t="str">
        <f>项目基本情况!S2</f>
        <v>北京市东城区香河园街1号11号楼房地产</v>
      </c>
      <c r="B118" s="1796">
        <f>M18</f>
        <v>50120.32</v>
      </c>
      <c r="C118" s="1796">
        <f>M19</f>
        <v>5235.2</v>
      </c>
      <c r="D118" s="1796">
        <f ca="1">ROUND(IF(D32="总价",C34,E118*B118/10000),0)</f>
        <v>156201</v>
      </c>
      <c r="E118" s="1796">
        <f ca="1">ROUND(IF(C33="自定义",IF(D32="楼面单价",C34,D118*10000/B118),I118-G118),0)</f>
        <v>31165</v>
      </c>
      <c r="F118" s="1796">
        <f ca="1">ROUND(IF(D32="总价",C35,G118*B118/10000),0)</f>
        <v>32447</v>
      </c>
      <c r="G118" s="1796">
        <f ca="1">ROUND(IF(D32="楼面单价",C35,F118*10000/B118),0)</f>
        <v>6474</v>
      </c>
      <c r="H118" s="1796">
        <f ca="1">ROUND(IF(D32="总价",C32,I118*B118/10000),0)</f>
        <v>188648</v>
      </c>
      <c r="I118" s="1796">
        <f ca="1">ROUND(IF(D32="楼面单价",C32,H118*10000/B118),0)</f>
        <v>37639</v>
      </c>
    </row>
    <row r="119" spans="1:11" ht="27.75" customHeight="1">
      <c r="A119" s="3439" t="s">
        <v>2315</v>
      </c>
      <c r="B119" s="3439"/>
      <c r="C119" s="3439"/>
      <c r="D119" s="3484" t="str">
        <f ca="1">NUMBERSTRING(INT(D118*10000),2)&amp;"元整"</f>
        <v>壹拾伍亿陆仟贰佰零壹万元整</v>
      </c>
      <c r="E119" s="3485"/>
      <c r="F119" s="3484" t="str">
        <f ca="1">NUMBERSTRING(INT(F118*10000),2)&amp;"元整"</f>
        <v>叁亿贰仟肆佰肆拾柒万元整</v>
      </c>
      <c r="G119" s="3485"/>
      <c r="H119" s="3484" t="str">
        <f ca="1">NUMBERSTRING(INT(H118*10000),2)&amp;"元整"</f>
        <v>壹拾捌亿捌仟陆佰肆拾捌万元整</v>
      </c>
      <c r="I119" s="3485"/>
    </row>
    <row r="120" spans="1:11" ht="18.75" customHeight="1">
      <c r="A120" s="3479" t="str">
        <f>IF(项目基本情况!B9="房地产市场价值","",MID(E103,3,LEN(E103)-2))</f>
        <v>估价师知悉的法定优先受偿款</v>
      </c>
      <c r="B120" s="3480"/>
      <c r="C120" s="3481"/>
      <c r="D120" s="3479">
        <f>H103</f>
        <v>0</v>
      </c>
      <c r="E120" s="3480"/>
      <c r="F120" s="3480"/>
      <c r="G120" s="3480"/>
      <c r="H120" s="3480"/>
      <c r="I120" s="3481"/>
      <c r="K120" s="2421" t="str">
        <f>IF(D120=0,"故，本次评估不存在"&amp;A120,"故，本次评估"&amp;A120&amp;"为人民币"&amp;D120&amp;"万元整。")</f>
        <v>故，本次评估不存在估价师知悉的法定优先受偿款</v>
      </c>
    </row>
    <row r="121" spans="1:11" ht="18.75" customHeight="1">
      <c r="A121" s="3525" t="s">
        <v>2315</v>
      </c>
      <c r="B121" s="3526"/>
      <c r="C121" s="3527"/>
      <c r="D121" s="3484" t="str">
        <f>IF(D120=0,"零元整",NUMBERSTRING(INT(D120*10000),2)&amp;"元整")</f>
        <v>零元整</v>
      </c>
      <c r="E121" s="3486"/>
      <c r="F121" s="3486"/>
      <c r="G121" s="3486"/>
      <c r="H121" s="3486"/>
      <c r="I121" s="3485"/>
    </row>
    <row r="122" spans="1:11" ht="18.75" customHeight="1">
      <c r="A122" s="3490" t="str">
        <f>IF(项目基本情况!B9="房地产市场价值","",MID(E107,3,LEN(E107)-2))</f>
        <v>房地产抵押价值</v>
      </c>
      <c r="B122" s="3490"/>
      <c r="C122" s="3490"/>
      <c r="D122" s="3479">
        <f ca="1">H107</f>
        <v>188648</v>
      </c>
      <c r="E122" s="3480"/>
      <c r="F122" s="3480"/>
      <c r="G122" s="3480"/>
      <c r="H122" s="3480"/>
      <c r="I122" s="3481"/>
    </row>
    <row r="123" spans="1:11" ht="18.75" customHeight="1">
      <c r="A123" s="3439" t="s">
        <v>2315</v>
      </c>
      <c r="B123" s="3439"/>
      <c r="C123" s="3439"/>
      <c r="D123" s="3484" t="str">
        <f ca="1">NUMBERSTRING(INT(D122*10000),2)&amp;"元整"</f>
        <v>壹拾捌亿捌仟陆佰肆拾捌万元整</v>
      </c>
      <c r="E123" s="3486"/>
      <c r="F123" s="3486"/>
      <c r="G123" s="3486"/>
      <c r="H123" s="3486"/>
      <c r="I123" s="3485"/>
    </row>
    <row r="124" spans="1:11" ht="18.75" customHeight="1">
      <c r="A124" s="3490" t="str">
        <f>IF(项目基本情况!B9="房地产市场价值","",MID(E109,3,LEN(E109)-2))</f>
        <v/>
      </c>
      <c r="B124" s="3490"/>
      <c r="C124" s="3490"/>
      <c r="D124" s="3479" t="str">
        <f>H109</f>
        <v>——</v>
      </c>
      <c r="E124" s="3480"/>
      <c r="F124" s="3480"/>
      <c r="G124" s="3480"/>
      <c r="H124" s="3480"/>
      <c r="I124" s="3481"/>
    </row>
    <row r="125" spans="1:11" ht="18.75" customHeight="1">
      <c r="A125" s="3439" t="s">
        <v>2315</v>
      </c>
      <c r="B125" s="3439"/>
      <c r="C125" s="3439"/>
      <c r="D125" s="3484" t="e">
        <f>NUMBERSTRING(INT(D124*10000),2)&amp;"元整"</f>
        <v>#VALUE!</v>
      </c>
      <c r="E125" s="3486"/>
      <c r="F125" s="3486"/>
      <c r="G125" s="3486"/>
      <c r="H125" s="3486"/>
      <c r="I125" s="3485"/>
    </row>
    <row r="126" spans="1:11" ht="18.75" customHeight="1">
      <c r="A126" s="3490" t="str">
        <f>IF(项目基本情况!B9="房地产市场价值","",MID(E111,3,LEN(E111)-2))</f>
        <v/>
      </c>
      <c r="B126" s="3490"/>
      <c r="C126" s="3490"/>
      <c r="D126" s="3479" t="str">
        <f>H111</f>
        <v>——</v>
      </c>
      <c r="E126" s="3480"/>
      <c r="F126" s="3480"/>
      <c r="G126" s="3480"/>
      <c r="H126" s="3480"/>
      <c r="I126" s="3481"/>
    </row>
    <row r="127" spans="1:11" ht="18.75" customHeight="1">
      <c r="A127" s="3439" t="s">
        <v>2315</v>
      </c>
      <c r="B127" s="3439"/>
      <c r="C127" s="3439"/>
      <c r="D127" s="3484" t="e">
        <f>NUMBERSTRING(INT(D126*10000),2)&amp;"元整"</f>
        <v>#VALUE!</v>
      </c>
      <c r="E127" s="3486"/>
      <c r="F127" s="3486"/>
      <c r="G127" s="3486"/>
      <c r="H127" s="3486"/>
      <c r="I127" s="3485"/>
    </row>
    <row r="128" spans="1:11" ht="21.75" customHeight="1">
      <c r="A128" s="3487" t="s">
        <v>2316</v>
      </c>
      <c r="B128" s="3487"/>
      <c r="C128" s="3487"/>
      <c r="D128" s="3487"/>
      <c r="E128" s="3487"/>
      <c r="F128" s="3487"/>
      <c r="G128" s="3487"/>
      <c r="H128" s="3487"/>
      <c r="I128" s="3487"/>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2324</v>
      </c>
      <c r="B1" s="1938"/>
      <c r="C1" s="2553" t="s">
        <v>2426</v>
      </c>
      <c r="D1" s="242"/>
      <c r="E1" s="242"/>
      <c r="F1" s="242"/>
      <c r="G1" s="1380">
        <f>MATCH(B1,'数据-取费表'!A6:A16,0)+5</f>
        <v>10</v>
      </c>
      <c r="H1" s="1283" t="str">
        <f>IF(ISERROR(FIND("住宅",B1)),"非住宅","住宅")</f>
        <v>非住宅</v>
      </c>
    </row>
    <row r="2" spans="1:8" s="244" customFormat="1" ht="18" customHeight="1">
      <c r="A2" s="245" t="s">
        <v>2325</v>
      </c>
      <c r="B2" s="246">
        <f ca="1">ROUND(IF(D2="——",C52/10000,C52/10000-E2),0)</f>
        <v>38086</v>
      </c>
      <c r="C2" s="243" t="s">
        <v>2326</v>
      </c>
      <c r="D2" s="2547" t="s">
        <v>70</v>
      </c>
      <c r="E2" s="1441"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7599</v>
      </c>
      <c r="C3" s="243" t="s">
        <v>2328</v>
      </c>
      <c r="D3" s="243"/>
      <c r="E3" s="243"/>
      <c r="F3" s="243"/>
      <c r="G3" s="243"/>
    </row>
    <row r="4" spans="1:8" s="252" customFormat="1" ht="16.2">
      <c r="A4" s="249" t="s">
        <v>2329</v>
      </c>
      <c r="B4" s="250"/>
      <c r="C4" s="250"/>
      <c r="D4" s="250"/>
      <c r="E4" s="250"/>
      <c r="F4" s="250"/>
      <c r="G4" s="251"/>
    </row>
    <row r="5" spans="1:8" s="258" customFormat="1" ht="13.5" customHeight="1">
      <c r="A5" s="299" t="s">
        <v>2330</v>
      </c>
      <c r="B5" s="254" t="s">
        <v>2331</v>
      </c>
      <c r="C5" s="255">
        <f ca="1">C6+C7+C8</f>
        <v>10024064</v>
      </c>
      <c r="D5" s="255" t="s">
        <v>2332</v>
      </c>
      <c r="E5" s="256" t="s">
        <v>2333</v>
      </c>
      <c r="F5" s="256" t="s">
        <v>2334</v>
      </c>
      <c r="G5" s="257"/>
    </row>
    <row r="6" spans="1:8" s="258" customFormat="1" ht="13.5" customHeight="1">
      <c r="A6" s="950" t="s">
        <v>2335</v>
      </c>
      <c r="B6" s="259" t="s">
        <v>2336</v>
      </c>
      <c r="C6" s="260"/>
      <c r="D6" s="261"/>
      <c r="E6" s="262"/>
      <c r="F6" s="262"/>
      <c r="G6" s="263"/>
    </row>
    <row r="7" spans="1:8" s="258" customFormat="1" ht="13.5" customHeight="1">
      <c r="A7" s="950" t="s">
        <v>2337</v>
      </c>
      <c r="B7" s="259" t="s">
        <v>2338</v>
      </c>
      <c r="C7" s="264">
        <f>ROUND(C6*F7,0)</f>
        <v>0</v>
      </c>
      <c r="D7" s="264"/>
      <c r="E7" s="262"/>
      <c r="F7" s="265">
        <f>'数据-取费表'!B48+'数据-取费表'!B49</f>
        <v>3.0499999999999999E-2</v>
      </c>
      <c r="G7" s="263"/>
    </row>
    <row r="8" spans="1:8" s="267" customFormat="1">
      <c r="A8" s="950" t="s">
        <v>2339</v>
      </c>
      <c r="B8" s="259" t="s">
        <v>2340</v>
      </c>
      <c r="C8" s="264">
        <f ca="1">IF(G8="已包含在土地购买价格中",0,C9+C10)</f>
        <v>10024064</v>
      </c>
      <c r="D8" s="266"/>
      <c r="E8" s="264"/>
      <c r="F8" s="265"/>
      <c r="G8" s="2550"/>
    </row>
    <row r="9" spans="1:8" s="258" customFormat="1" ht="13.5" customHeight="1">
      <c r="A9" s="951" t="s">
        <v>800</v>
      </c>
      <c r="B9" s="268" t="s">
        <v>2341</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2343</v>
      </c>
      <c r="C10" s="269">
        <f ca="1">ROUND(D10*E10,0)</f>
        <v>10024064</v>
      </c>
      <c r="D10" s="1033">
        <f ca="1">IF(B1="",'数据-汇总表'!E6,IF(INDIRECT("'数据-取费表'!c"&amp;$G$1)="住宅",INDIRECT("'数据-取费表'!s"&amp;$G$1),INDIRECT("'数据-取费表'!k"&amp;$G$1)+INDIRECT("'数据-取费表'!s"&amp;$G$1)))</f>
        <v>50120.32</v>
      </c>
      <c r="E10" s="269">
        <f>'数据-取费表'!B28</f>
        <v>200</v>
      </c>
      <c r="F10" s="265"/>
      <c r="G10" s="270"/>
    </row>
    <row r="11" spans="1:8" s="258" customFormat="1" ht="13.5" hidden="1" customHeight="1">
      <c r="A11" s="271" t="s">
        <v>7</v>
      </c>
      <c r="B11" s="259" t="s">
        <v>2344</v>
      </c>
      <c r="C11" s="255"/>
      <c r="D11" s="1035"/>
      <c r="E11" s="262"/>
      <c r="F11" s="262"/>
      <c r="G11" s="263"/>
    </row>
    <row r="12" spans="1:8" s="258" customFormat="1" ht="13.5" hidden="1" customHeight="1">
      <c r="A12" s="271" t="s">
        <v>8</v>
      </c>
      <c r="B12" s="259" t="s">
        <v>2427</v>
      </c>
      <c r="C12" s="255">
        <v>0</v>
      </c>
      <c r="D12" s="1035"/>
      <c r="E12" s="272"/>
      <c r="F12" s="265">
        <v>3.0499999999999999E-2</v>
      </c>
      <c r="G12" s="263"/>
    </row>
    <row r="13" spans="1:8" s="258" customFormat="1" ht="13.5" hidden="1" customHeight="1">
      <c r="A13" s="271" t="s">
        <v>9</v>
      </c>
      <c r="B13" s="259" t="s">
        <v>2428</v>
      </c>
      <c r="C13" s="255"/>
      <c r="D13" s="1035"/>
      <c r="E13" s="262"/>
      <c r="F13" s="262"/>
      <c r="G13" s="263"/>
    </row>
    <row r="14" spans="1:8" s="258" customFormat="1" ht="13.5" hidden="1" customHeight="1">
      <c r="A14" s="271" t="s">
        <v>10</v>
      </c>
      <c r="B14" s="259" t="s">
        <v>2340</v>
      </c>
      <c r="C14" s="255"/>
      <c r="D14" s="1035"/>
      <c r="E14" s="262"/>
      <c r="F14" s="262"/>
      <c r="G14" s="263" t="s">
        <v>2429</v>
      </c>
    </row>
    <row r="15" spans="1:8" s="258" customFormat="1" ht="13.5" hidden="1" customHeight="1">
      <c r="A15" s="271" t="s">
        <v>11</v>
      </c>
      <c r="B15" s="259" t="s">
        <v>2430</v>
      </c>
      <c r="C15" s="264"/>
      <c r="D15" s="1035"/>
      <c r="E15" s="262"/>
      <c r="F15" s="262"/>
      <c r="G15" s="263" t="s">
        <v>2431</v>
      </c>
    </row>
    <row r="16" spans="1:8" s="258" customFormat="1" ht="13.5" hidden="1" customHeight="1">
      <c r="A16" s="271" t="s">
        <v>12</v>
      </c>
      <c r="B16" s="259" t="s">
        <v>2340</v>
      </c>
      <c r="C16" s="264"/>
      <c r="D16" s="1035"/>
      <c r="E16" s="262"/>
      <c r="F16" s="262"/>
      <c r="G16" s="263"/>
    </row>
    <row r="17" spans="1:7" s="258" customFormat="1" ht="13.5" hidden="1" customHeight="1">
      <c r="A17" s="271" t="s">
        <v>13</v>
      </c>
      <c r="B17" s="259" t="s">
        <v>2432</v>
      </c>
      <c r="C17" s="273"/>
      <c r="D17" s="1036"/>
      <c r="E17" s="273"/>
      <c r="F17" s="273"/>
      <c r="G17" s="263" t="s">
        <v>2431</v>
      </c>
    </row>
    <row r="18" spans="1:7" s="258" customFormat="1" ht="13.5" hidden="1" customHeight="1">
      <c r="A18" s="271" t="s">
        <v>14</v>
      </c>
      <c r="B18" s="259" t="s">
        <v>2433</v>
      </c>
      <c r="C18" s="264">
        <v>0</v>
      </c>
      <c r="D18" s="1035"/>
      <c r="E18" s="262"/>
      <c r="F18" s="265">
        <v>3.0499999999999999E-2</v>
      </c>
      <c r="G18" s="263" t="s">
        <v>2434</v>
      </c>
    </row>
    <row r="19" spans="1:7" s="267" customFormat="1" ht="13.5" customHeight="1">
      <c r="A19" s="299" t="s">
        <v>2435</v>
      </c>
      <c r="B19" s="254" t="s">
        <v>2436</v>
      </c>
      <c r="C19" s="255">
        <f ca="1">IF(G19="已包含在土地取得成本中","0",ROUND(D19*E19,0))</f>
        <v>10024064</v>
      </c>
      <c r="D19" s="1037">
        <f ca="1">D9+D10</f>
        <v>50120.32</v>
      </c>
      <c r="E19" s="255">
        <f>'数据-取费表'!B31</f>
        <v>200</v>
      </c>
      <c r="F19" s="275"/>
      <c r="G19" s="2550"/>
    </row>
    <row r="20" spans="1:7" s="258" customFormat="1" ht="13.5" customHeight="1">
      <c r="A20" s="299" t="s">
        <v>2437</v>
      </c>
      <c r="B20" s="254" t="s">
        <v>2438</v>
      </c>
      <c r="C20" s="276">
        <f ca="1">ROUND((C5+C19)*F20,0)</f>
        <v>400963</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1">
        <f ca="1">ROUND(SUM(C23:C25),0)</f>
        <v>1968852</v>
      </c>
      <c r="D22" s="279">
        <f ca="1">C26</f>
        <v>1E-3</v>
      </c>
      <c r="E22" s="280" t="s">
        <v>2442</v>
      </c>
      <c r="F22" s="281">
        <f ca="1">'数据-取费表'!B40</f>
        <v>4.7500000000000001E-2</v>
      </c>
      <c r="G22" s="278" t="str">
        <f>IF('数据-取费表'!B22&lt;=1,"单利计息","复利计息")</f>
        <v>复利计息</v>
      </c>
    </row>
    <row r="23" spans="1:7" s="258" customFormat="1" ht="13.5" customHeight="1">
      <c r="A23" s="952" t="s">
        <v>2335</v>
      </c>
      <c r="B23" s="259" t="s">
        <v>2446</v>
      </c>
      <c r="C23" s="1382">
        <f ca="1">ROUND(IF('数据-取费表'!B22&lt;=1,C5*F22*'数据-取费表'!B22,C5*(POWER((1+F22),'数据-取费表'!B22)-1)),0)</f>
        <v>974903</v>
      </c>
      <c r="D23" s="282"/>
      <c r="E23" s="282"/>
      <c r="F23" s="283"/>
      <c r="G23" s="284" t="s">
        <v>2447</v>
      </c>
    </row>
    <row r="24" spans="1:7" s="258" customFormat="1" ht="13.5" customHeight="1">
      <c r="A24" s="952" t="s">
        <v>2337</v>
      </c>
      <c r="B24" s="259" t="s">
        <v>2448</v>
      </c>
      <c r="C24" s="1382">
        <f ca="1">ROUND(IF('数据-取费表'!B22&lt;=1,C19*F22*('数据-取费表'!B19/2+'数据-取费表'!B20),C19*(POWER((1+F22),('数据-取费表'!B19/2+'数据-取费表'!B20))-1)),0)</f>
        <v>974903</v>
      </c>
      <c r="D24" s="282"/>
      <c r="E24" s="282"/>
      <c r="F24" s="283"/>
      <c r="G24" s="284" t="s">
        <v>2449</v>
      </c>
    </row>
    <row r="25" spans="1:7" s="258" customFormat="1" ht="24">
      <c r="A25" s="952" t="s">
        <v>2339</v>
      </c>
      <c r="B25" s="259" t="s">
        <v>2450</v>
      </c>
      <c r="C25" s="1382">
        <f ca="1">ROUND(IF('数据-取费表'!B22&lt;=1,C20*F22*'数据-取费表'!B22/2,C20*(POWER((1+F22),'数据-取费表'!B22/2)-1)),0)</f>
        <v>19046</v>
      </c>
      <c r="D25" s="282"/>
      <c r="E25" s="285"/>
      <c r="F25" s="283"/>
      <c r="G25" s="286" t="s">
        <v>2451</v>
      </c>
    </row>
    <row r="26" spans="1:7" s="258" customFormat="1">
      <c r="A26" s="952" t="s">
        <v>795</v>
      </c>
      <c r="B26" s="259" t="s">
        <v>2374</v>
      </c>
      <c r="C26" s="282">
        <f ca="1">ROUND(IF('数据-取费表'!B22&lt;=1,F21*F22*'数据-取费表'!B22/2,F21*(POWER((1+F22),'数据-取费表'!B22/2)-1)),4)</f>
        <v>1E-3</v>
      </c>
      <c r="D26" s="282"/>
      <c r="E26" s="285"/>
      <c r="F26" s="283"/>
      <c r="G26" s="287"/>
    </row>
    <row r="27" spans="1:7" s="258" customFormat="1" ht="26.4">
      <c r="A27" s="299" t="s">
        <v>2375</v>
      </c>
      <c r="B27" s="288" t="s">
        <v>2376</v>
      </c>
      <c r="C27" s="289">
        <f ca="1">C28</f>
        <v>4089818</v>
      </c>
      <c r="D27" s="279">
        <f ca="1">C29</f>
        <v>4.0000000000000001E-3</v>
      </c>
      <c r="E27" s="280" t="s">
        <v>2377</v>
      </c>
      <c r="F27" s="290">
        <f ca="1">IF(B1="",'数据-取费表'!Q16,INDIRECT("'数据-取费表'!q"&amp;$G$1))</f>
        <v>0.2</v>
      </c>
      <c r="G27" s="291" t="s">
        <v>2378</v>
      </c>
    </row>
    <row r="28" spans="1:7" s="258" customFormat="1" ht="13.5" customHeight="1">
      <c r="A28" s="952" t="s">
        <v>791</v>
      </c>
      <c r="B28" s="292" t="s">
        <v>2379</v>
      </c>
      <c r="C28" s="293">
        <f ca="1">ROUND((C5+C19+C20)*F27,0)</f>
        <v>4089818</v>
      </c>
      <c r="D28" s="279"/>
      <c r="E28" s="280"/>
      <c r="F28" s="290"/>
      <c r="G28" s="291"/>
    </row>
    <row r="29" spans="1:7" s="258" customFormat="1" ht="13.5" customHeight="1">
      <c r="A29" s="952"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28759641</v>
      </c>
      <c r="D31" s="274"/>
      <c r="E31" s="255"/>
      <c r="F31" s="294"/>
      <c r="G31" s="278" t="s">
        <v>2385</v>
      </c>
    </row>
    <row r="32" spans="1:7" s="252" customFormat="1" ht="16.2">
      <c r="A32" s="296" t="s">
        <v>2452</v>
      </c>
      <c r="B32" s="297"/>
      <c r="C32" s="297"/>
      <c r="D32" s="297"/>
      <c r="E32" s="297"/>
      <c r="F32" s="297"/>
      <c r="G32" s="298"/>
    </row>
    <row r="33" spans="1:7" s="258" customFormat="1" ht="13.5" customHeight="1">
      <c r="A33" s="299" t="s">
        <v>782</v>
      </c>
      <c r="B33" s="254" t="s">
        <v>2453</v>
      </c>
      <c r="C33" s="300">
        <f ca="1">SUM(C34:C38)</f>
        <v>274241957</v>
      </c>
      <c r="D33" s="276"/>
      <c r="E33" s="256"/>
      <c r="F33" s="285"/>
      <c r="G33" s="278"/>
    </row>
    <row r="34" spans="1:7" s="302" customFormat="1" ht="13.5" customHeight="1">
      <c r="A34" s="952" t="s">
        <v>791</v>
      </c>
      <c r="B34" s="259" t="s">
        <v>2388</v>
      </c>
      <c r="C34" s="264">
        <f ca="1">ROUND(IF(B1="",SUMPRODUCT('数据-取费表'!K6:K14,'数据-取费表'!L6:L14),INDIRECT("'数据-取费表'!l"&amp;$G$1)*INDIRECT("'数据-取费表'!k"&amp;$G$1)+'数据-取费表'!L14*INDIRECT("'数据-取费表'!S"&amp;$G$1)),0)</f>
        <v>250443500</v>
      </c>
      <c r="D34" s="261"/>
      <c r="E34" s="264"/>
      <c r="F34" s="301"/>
      <c r="G34" s="263"/>
    </row>
    <row r="35" spans="1:7" ht="13.5" customHeight="1">
      <c r="A35" s="952" t="s">
        <v>796</v>
      </c>
      <c r="B35" s="259" t="s">
        <v>2390</v>
      </c>
      <c r="C35" s="264">
        <f ca="1">ROUND(C34*F35,0)</f>
        <v>10017740</v>
      </c>
      <c r="D35" s="264"/>
      <c r="E35" s="264"/>
      <c r="F35" s="303">
        <f>'数据-取费表'!B33</f>
        <v>0.04</v>
      </c>
      <c r="G35" s="263" t="s">
        <v>2391</v>
      </c>
    </row>
    <row r="36" spans="1:7" ht="24">
      <c r="A36" s="952"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2" t="s">
        <v>798</v>
      </c>
      <c r="B37" s="259" t="s">
        <v>2394</v>
      </c>
      <c r="C37" s="293">
        <f ca="1">ROUND(E37*D37,0)</f>
        <v>10024064</v>
      </c>
      <c r="D37" s="261">
        <f ca="1">D19</f>
        <v>50120.32</v>
      </c>
      <c r="E37" s="293">
        <f>'数据-取费表'!B35</f>
        <v>200</v>
      </c>
      <c r="F37" s="303"/>
      <c r="G37" s="305"/>
    </row>
    <row r="38" spans="1:7" ht="13.5" customHeight="1">
      <c r="A38" s="952" t="s">
        <v>799</v>
      </c>
      <c r="B38" s="259" t="s">
        <v>2396</v>
      </c>
      <c r="C38" s="264">
        <f ca="1">ROUND(C34*F38,0)</f>
        <v>3756653</v>
      </c>
      <c r="D38" s="264"/>
      <c r="E38" s="264"/>
      <c r="F38" s="303">
        <f>'数据-取费表'!B36</f>
        <v>1.4999999999999999E-2</v>
      </c>
      <c r="G38" s="263" t="s">
        <v>2391</v>
      </c>
    </row>
    <row r="39" spans="1:7" s="258" customFormat="1" ht="13.5" customHeight="1">
      <c r="A39" s="299" t="s">
        <v>2397</v>
      </c>
      <c r="B39" s="254" t="s">
        <v>2398</v>
      </c>
      <c r="C39" s="276">
        <f ca="1">ROUND(C33*F20,0)</f>
        <v>5484839</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13287023</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ROUND(IF('数据-取费表'!B22&lt;=1,C33*F22*'数据-取费表'!B20/2,C33*(POWER((1+F22),'数据-取费表'!B20/2)-1)),0)</f>
        <v>13026493</v>
      </c>
      <c r="D42" s="282"/>
      <c r="E42" s="282"/>
      <c r="F42" s="283"/>
      <c r="G42" s="3559" t="s">
        <v>2454</v>
      </c>
    </row>
    <row r="43" spans="1:7" ht="13.5" customHeight="1">
      <c r="A43" s="952" t="s">
        <v>792</v>
      </c>
      <c r="B43" s="259" t="s">
        <v>2408</v>
      </c>
      <c r="C43" s="282">
        <f ca="1">ROUND(IF('数据-取费表'!B22&lt;=1,C39*F22*'数据-取费表'!B20/2,C39*(POWER((1+F22),'数据-取费表'!B20/2)-1)),0)</f>
        <v>260530</v>
      </c>
      <c r="D43" s="282"/>
      <c r="E43" s="282"/>
      <c r="F43" s="283"/>
      <c r="G43" s="3560"/>
    </row>
    <row r="44" spans="1:7" ht="13.5" customHeight="1">
      <c r="A44" s="952" t="s">
        <v>793</v>
      </c>
      <c r="B44" s="259" t="s">
        <v>2409</v>
      </c>
      <c r="C44" s="282">
        <f ca="1">ROUND(IF('数据-取费表'!B22&lt;=1,C40*F22*'数据-取费表'!B20/2,C40*(POWER((1+F22),'数据-取费表'!B20/2)-1)),4)</f>
        <v>1E-3</v>
      </c>
      <c r="D44" s="282"/>
      <c r="E44" s="282"/>
      <c r="F44" s="283"/>
      <c r="G44" s="3561"/>
    </row>
    <row r="45" spans="1:7" s="258" customFormat="1" ht="13.5" customHeight="1">
      <c r="A45" s="299" t="s">
        <v>2410</v>
      </c>
      <c r="B45" s="288" t="s">
        <v>2376</v>
      </c>
      <c r="C45" s="289">
        <f ca="1">C46</f>
        <v>55945359</v>
      </c>
      <c r="D45" s="279">
        <f ca="1">C47</f>
        <v>4.0000000000000001E-3</v>
      </c>
      <c r="E45" s="280" t="s">
        <v>2402</v>
      </c>
      <c r="F45" s="290"/>
      <c r="G45" s="291" t="s">
        <v>2411</v>
      </c>
    </row>
    <row r="46" spans="1:7" s="258" customFormat="1" ht="13.5" customHeight="1">
      <c r="A46" s="952" t="s">
        <v>791</v>
      </c>
      <c r="B46" s="292" t="s">
        <v>2412</v>
      </c>
      <c r="C46" s="293">
        <f ca="1">ROUND((C33+C39)*F27,0)</f>
        <v>55945359</v>
      </c>
      <c r="D46" s="307"/>
      <c r="E46" s="280"/>
      <c r="F46" s="290"/>
      <c r="G46" s="291"/>
    </row>
    <row r="47" spans="1:7" s="258" customFormat="1" ht="13.5" customHeight="1">
      <c r="A47" s="952"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378603860</v>
      </c>
      <c r="D49" s="276"/>
      <c r="E49" s="276"/>
      <c r="F49" s="308"/>
      <c r="G49" s="278" t="s">
        <v>2417</v>
      </c>
    </row>
    <row r="50" spans="1:7" s="302" customFormat="1">
      <c r="A50" s="299" t="s">
        <v>2418</v>
      </c>
      <c r="B50" s="254" t="s">
        <v>2419</v>
      </c>
      <c r="C50" s="276"/>
      <c r="D50" s="276"/>
      <c r="E50" s="276"/>
      <c r="F50" s="308">
        <f>IF('数据-取费表'!B24=0,'数据-取费表'!N16,1)</f>
        <v>0.93</v>
      </c>
      <c r="G50" s="291"/>
    </row>
    <row r="51" spans="1:7" ht="16.5" customHeight="1">
      <c r="A51" s="299" t="s">
        <v>2421</v>
      </c>
      <c r="B51" s="254" t="s">
        <v>2456</v>
      </c>
      <c r="C51" s="276">
        <f ca="1">ROUND(C49*F50,0)</f>
        <v>352101590</v>
      </c>
      <c r="D51" s="276"/>
      <c r="E51" s="276"/>
      <c r="F51" s="308"/>
      <c r="G51" s="278" t="s">
        <v>2423</v>
      </c>
    </row>
    <row r="52" spans="1:7" s="252" customFormat="1" ht="16.8" thickBot="1">
      <c r="A52" s="309" t="s">
        <v>2424</v>
      </c>
      <c r="B52" s="310"/>
      <c r="C52" s="311">
        <f ca="1">C31+C51</f>
        <v>380861231</v>
      </c>
      <c r="D52" s="310"/>
      <c r="E52" s="310"/>
      <c r="F52" s="310"/>
      <c r="G52" s="312"/>
    </row>
    <row r="55" spans="1:7" ht="15">
      <c r="B55" s="314" t="s">
        <v>2425</v>
      </c>
      <c r="C55" s="315"/>
    </row>
    <row r="56" spans="1:7">
      <c r="B56" s="317" t="s">
        <v>1513</v>
      </c>
      <c r="C56" s="319">
        <f ca="1">1-C57</f>
        <v>7.5999999999999956E-2</v>
      </c>
    </row>
    <row r="57" spans="1:7">
      <c r="B57" s="317" t="s">
        <v>1514</v>
      </c>
      <c r="C57" s="318">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3" customWidth="1"/>
    <col min="3" max="3" width="10.33203125" style="996" customWidth="1"/>
    <col min="4" max="4" width="9.88671875" style="953" customWidth="1"/>
    <col min="5" max="5" width="9.44140625" style="798" customWidth="1"/>
    <col min="6" max="6" width="10.109375" style="953" customWidth="1"/>
    <col min="7" max="7" width="10.77734375" style="953" customWidth="1"/>
    <col min="8" max="8" width="10" style="953" customWidth="1"/>
    <col min="9" max="11" width="9.44140625" style="953" customWidth="1"/>
    <col min="12" max="12" width="9" style="953" customWidth="1"/>
    <col min="13" max="13" width="10.44140625" style="953" bestFit="1" customWidth="1"/>
    <col min="14" max="254" width="9" style="953" customWidth="1"/>
    <col min="255" max="16384" width="6.6640625" style="953"/>
  </cols>
  <sheetData>
    <row r="1" spans="1:33" ht="21">
      <c r="A1" s="240" t="s">
        <v>2457</v>
      </c>
      <c r="B1" s="1582"/>
      <c r="C1" s="1583"/>
      <c r="D1" s="1581"/>
      <c r="E1" s="320"/>
      <c r="F1" s="320"/>
      <c r="G1" s="1582"/>
      <c r="H1" s="320"/>
      <c r="I1" s="320"/>
      <c r="J1" s="320"/>
      <c r="K1" s="320">
        <f>MATCH(C1,'数据-取费表'!A6:A16,0)+5</f>
        <v>10</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7" customFormat="1" ht="16.5" customHeight="1">
      <c r="A4" s="954" t="s">
        <v>2460</v>
      </c>
      <c r="B4" s="955"/>
      <c r="C4" s="997">
        <f>SUM(C8:K8)</f>
        <v>0</v>
      </c>
      <c r="D4" s="955"/>
      <c r="E4" s="955"/>
      <c r="F4" s="955"/>
      <c r="G4" s="955"/>
      <c r="H4" s="955"/>
      <c r="I4" s="955"/>
      <c r="J4" s="955"/>
      <c r="K4" s="956"/>
    </row>
    <row r="5" spans="1:33" s="961" customFormat="1" ht="25.2">
      <c r="A5" s="958" t="s">
        <v>2461</v>
      </c>
      <c r="B5" s="959" t="s">
        <v>2462</v>
      </c>
      <c r="C5" s="2554" t="s">
        <v>2463</v>
      </c>
      <c r="D5" s="2554" t="s">
        <v>2464</v>
      </c>
      <c r="E5" s="2554" t="s">
        <v>2465</v>
      </c>
      <c r="F5" s="2554"/>
      <c r="G5" s="2554"/>
      <c r="H5" s="2554"/>
      <c r="I5" s="2554"/>
      <c r="J5" s="2554"/>
      <c r="K5" s="2554"/>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5" t="s">
        <v>2469</v>
      </c>
      <c r="B8" s="177"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1334</v>
      </c>
      <c r="B11" s="973" t="s">
        <v>2478</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2479</v>
      </c>
      <c r="C12" s="24">
        <f ca="1">ROUND(C11*F12,0)</f>
        <v>0</v>
      </c>
      <c r="D12" s="974"/>
      <c r="E12" s="375"/>
      <c r="F12" s="977">
        <f>'数据-取费表'!B33</f>
        <v>0.04</v>
      </c>
      <c r="G12" s="8" t="s">
        <v>2480</v>
      </c>
      <c r="H12" s="969"/>
      <c r="I12" s="969"/>
      <c r="J12" s="969"/>
      <c r="K12" s="970"/>
    </row>
    <row r="13" spans="1:33" s="976" customFormat="1" ht="13.5" customHeight="1">
      <c r="A13" s="972" t="s">
        <v>1336</v>
      </c>
      <c r="B13" s="973" t="s">
        <v>2481</v>
      </c>
      <c r="C13" s="24">
        <f ca="1">ROUND(IF(C1="",SUMIF('数据-取费表'!C:C,"住宅",'数据-取费表'!P:P)*F13,IF(INDIRECT("'数据-取费表'!c"&amp;$K$1)="住宅",INDIRECT("'数据-取费表'!P"&amp;$K$1)*F13,0)),0)</f>
        <v>0</v>
      </c>
      <c r="D13" s="1034"/>
      <c r="E13" s="375"/>
      <c r="F13" s="977">
        <f>'数据-取费表'!B34</f>
        <v>0</v>
      </c>
      <c r="G13" s="8" t="s">
        <v>2482</v>
      </c>
      <c r="H13" s="969"/>
      <c r="I13" s="969"/>
      <c r="J13" s="969"/>
      <c r="K13" s="970"/>
    </row>
    <row r="14" spans="1:33" s="978" customFormat="1" ht="13.5" customHeight="1">
      <c r="A14" s="972" t="s">
        <v>1337</v>
      </c>
      <c r="B14" s="973" t="s">
        <v>2483</v>
      </c>
      <c r="C14" s="24">
        <f ca="1">ROUND(D14*E14*F11/10000,0)</f>
        <v>0</v>
      </c>
      <c r="D14" s="1034">
        <f ca="1">IF(C1="",'数据-汇总表'!E3,INDIRECT("'数据-取费表'!K"&amp;$K$1)+INDIRECT("'数据-取费表'!S"&amp;$K$1))</f>
        <v>50120.32</v>
      </c>
      <c r="E14" s="24">
        <f>'数据-取费表'!B35</f>
        <v>200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2485</v>
      </c>
      <c r="C15" s="984">
        <f ca="1">ROUND(C11*F15,0)</f>
        <v>0</v>
      </c>
      <c r="D15" s="979"/>
      <c r="E15" s="984"/>
      <c r="F15" s="985">
        <f>'数据-取费表'!B36</f>
        <v>1.4999999999999999E-2</v>
      </c>
      <c r="G15" s="140"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0</v>
      </c>
      <c r="D17" s="1034">
        <f ca="1">D14</f>
        <v>50120.32</v>
      </c>
      <c r="E17" s="24">
        <f>'数据-取费表'!B32</f>
        <v>0</v>
      </c>
      <c r="F17" s="979"/>
      <c r="G17" s="140" t="s">
        <v>2489</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2490</v>
      </c>
      <c r="C18" s="24">
        <f ca="1">C19+C20-IF(C1="",'数据-取费表'!B29,IF(G18="已全部缴纳",C19+C20,H18))</f>
        <v>0</v>
      </c>
      <c r="D18" s="1034"/>
      <c r="E18" s="24"/>
      <c r="F18" s="977"/>
      <c r="G18" s="2556"/>
      <c r="H18" s="1578"/>
      <c r="I18" s="2557" t="s">
        <v>2491</v>
      </c>
      <c r="J18" s="980"/>
      <c r="K18" s="981"/>
    </row>
    <row r="19" spans="1:33" s="976" customFormat="1" ht="13.5" customHeight="1">
      <c r="A19" s="972" t="s">
        <v>805</v>
      </c>
      <c r="B19" s="973" t="s">
        <v>2492</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2493</v>
      </c>
      <c r="C20" s="24">
        <f ca="1">ROUND(D20*E20/10000,0)</f>
        <v>1002</v>
      </c>
      <c r="D20" s="1034">
        <f ca="1">IF(C1="",'数据-汇总表'!E6,IF(INDIRECT("'数据-取费表'!c"&amp;$K$1)="住宅",INDIRECT("'数据-取费表'!s"&amp;$K$1),INDIRECT("'数据-取费表'!k"&amp;$K$1)+INDIRECT("'数据-取费表'!s"&amp;$K$1)))</f>
        <v>50120.32</v>
      </c>
      <c r="E20" s="24">
        <f>'数据-取费表'!B28</f>
        <v>200</v>
      </c>
      <c r="F20" s="977"/>
      <c r="G20" s="15"/>
      <c r="H20" s="982"/>
      <c r="I20" s="982"/>
      <c r="J20" s="982"/>
      <c r="K20" s="983"/>
    </row>
    <row r="21" spans="1:33" s="976" customFormat="1" ht="13.5" customHeight="1">
      <c r="A21" s="962" t="s">
        <v>802</v>
      </c>
      <c r="B21" s="986" t="s">
        <v>2494</v>
      </c>
      <c r="C21" s="987">
        <f ca="1">C16+C17+C18</f>
        <v>0</v>
      </c>
      <c r="D21" s="988"/>
      <c r="E21" s="325"/>
      <c r="F21" s="325"/>
      <c r="G21" s="140" t="s">
        <v>2495</v>
      </c>
      <c r="H21" s="980"/>
      <c r="I21" s="980"/>
      <c r="J21" s="980"/>
      <c r="K21" s="981"/>
    </row>
    <row r="22" spans="1:33" s="976" customFormat="1" ht="13.5" customHeight="1">
      <c r="A22" s="962" t="s">
        <v>2467</v>
      </c>
      <c r="B22" s="986" t="s">
        <v>2496</v>
      </c>
      <c r="C22" s="987">
        <f ca="1">ROUND(C21*F22,0)</f>
        <v>0</v>
      </c>
      <c r="D22" s="325"/>
      <c r="E22" s="325"/>
      <c r="F22" s="989">
        <f>'数据-取费表'!B37</f>
        <v>0.02</v>
      </c>
      <c r="G22" s="8" t="s">
        <v>2497</v>
      </c>
      <c r="H22" s="969"/>
      <c r="I22" s="969"/>
      <c r="J22" s="969"/>
      <c r="K22" s="970"/>
    </row>
    <row r="23" spans="1:33" s="976" customFormat="1" ht="13.5" customHeight="1">
      <c r="A23" s="962" t="s">
        <v>2469</v>
      </c>
      <c r="B23" s="986" t="s">
        <v>2498</v>
      </c>
      <c r="C23" s="987">
        <f ca="1">ROUND(C4*F23*F11,0)</f>
        <v>0</v>
      </c>
      <c r="D23" s="325"/>
      <c r="E23" s="325"/>
      <c r="F23" s="989">
        <f>'数据-取费表'!B38</f>
        <v>0.02</v>
      </c>
      <c r="G23" s="8" t="s">
        <v>2499</v>
      </c>
      <c r="H23" s="969"/>
      <c r="I23" s="969"/>
      <c r="J23" s="969"/>
      <c r="K23" s="970"/>
    </row>
    <row r="24" spans="1:33" s="976" customFormat="1" ht="13.5" customHeight="1">
      <c r="A24" s="962" t="s">
        <v>2500</v>
      </c>
      <c r="B24" s="986" t="s">
        <v>2501</v>
      </c>
      <c r="C24" s="324">
        <f>ROUND(F24/(1+'数据-取费表'!C42),4)</f>
        <v>2.9000000000000001E-2</v>
      </c>
      <c r="D24" s="325" t="s">
        <v>15</v>
      </c>
      <c r="E24" s="325"/>
      <c r="F24" s="989">
        <f>'数据-取费表'!B48+'数据-取费表'!B49</f>
        <v>3.0499999999999999E-2</v>
      </c>
      <c r="G24" s="8" t="s">
        <v>2502</v>
      </c>
      <c r="H24" s="991"/>
      <c r="I24" s="991"/>
      <c r="J24" s="991"/>
      <c r="K24" s="992"/>
    </row>
    <row r="25" spans="1:33" s="976" customFormat="1" ht="13.5" customHeight="1">
      <c r="A25" s="962" t="s">
        <v>2503</v>
      </c>
      <c r="B25" s="988" t="s">
        <v>2504</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8">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9">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0"/>
      <c r="I27" s="980"/>
      <c r="J27" s="980"/>
      <c r="K27" s="981"/>
    </row>
    <row r="28" spans="1:33" s="333" customFormat="1" ht="13.5" customHeight="1">
      <c r="A28" s="962" t="s">
        <v>2507</v>
      </c>
      <c r="B28" s="2559" t="s">
        <v>2508</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2509</v>
      </c>
      <c r="C29" s="328">
        <f ca="1">ROUND((1+C24)*F28*'数据-取费表'!B24/'数据-取费表'!B20,4)</f>
        <v>0</v>
      </c>
      <c r="D29" s="328"/>
      <c r="E29" s="329"/>
      <c r="F29" s="334"/>
      <c r="G29" s="140" t="s">
        <v>2510</v>
      </c>
      <c r="H29" s="980"/>
      <c r="I29" s="980"/>
      <c r="J29" s="980"/>
      <c r="K29" s="981"/>
    </row>
    <row r="30" spans="1:33" s="335" customFormat="1" ht="13.5" customHeight="1">
      <c r="A30" s="972" t="s">
        <v>804</v>
      </c>
      <c r="B30" s="995" t="s">
        <v>2511</v>
      </c>
      <c r="C30" s="336">
        <f ca="1">ROUND((C21+C22+C23)*F28,0)</f>
        <v>0</v>
      </c>
      <c r="D30" s="328"/>
      <c r="E30" s="329"/>
      <c r="F30" s="334"/>
      <c r="G30" s="140"/>
      <c r="H30" s="980"/>
      <c r="I30" s="980"/>
      <c r="J30" s="980"/>
      <c r="K30" s="981"/>
    </row>
    <row r="31" spans="1:33" s="976" customFormat="1" ht="13.5" customHeight="1" thickBot="1">
      <c r="A31" s="2560" t="s">
        <v>2512</v>
      </c>
      <c r="B31" s="1006" t="s">
        <v>2513</v>
      </c>
      <c r="C31" s="1007">
        <f>ROUND(C4*F31/(1+'数据-取费表'!C42),0)</f>
        <v>0</v>
      </c>
      <c r="D31" s="1008"/>
      <c r="E31" s="1009"/>
      <c r="F31" s="1010">
        <f>'数据-取费表'!B41</f>
        <v>5.6000000000000001E-2</v>
      </c>
      <c r="G31" s="1011" t="s">
        <v>2514</v>
      </c>
      <c r="H31" s="1012"/>
      <c r="I31" s="1012"/>
      <c r="J31" s="1012"/>
      <c r="K31" s="1013"/>
    </row>
    <row r="32" spans="1:33" s="971" customFormat="1" ht="13.5" customHeight="1" thickBot="1">
      <c r="A32" s="1001" t="s">
        <v>2515</v>
      </c>
      <c r="B32" s="1002"/>
      <c r="C32" s="1003">
        <f ca="1">ROUND((C4-C21-C22-C23-C25-C28-C31)/(1+C24+D25+D28),0)</f>
        <v>0</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8" sqref="B8:B9"/>
    </sheetView>
  </sheetViews>
  <sheetFormatPr defaultColWidth="9" defaultRowHeight="13.8"/>
  <cols>
    <col min="1" max="1" width="23.6640625" style="1946" customWidth="1"/>
    <col min="2" max="2" width="12" style="1946" customWidth="1"/>
    <col min="3" max="3" width="9" style="1946"/>
    <col min="4" max="4" width="14.109375" style="1946" customWidth="1"/>
    <col min="5" max="5" width="9" style="1946"/>
    <col min="6" max="6" width="12.88671875" style="1946" customWidth="1"/>
    <col min="7" max="16384" width="9" style="1946"/>
  </cols>
  <sheetData>
    <row r="1" spans="1:6" ht="21.6">
      <c r="A1" s="2561" t="s">
        <v>2524</v>
      </c>
      <c r="B1" s="2562"/>
      <c r="C1" s="2562"/>
      <c r="D1" s="2562"/>
      <c r="E1" s="2563"/>
    </row>
    <row r="2" spans="1:6" ht="15.6">
      <c r="A2" s="2564" t="s">
        <v>2325</v>
      </c>
      <c r="B2" s="2565">
        <f ca="1">SUMIF(B6:B13,"&lt;&gt;#ref!",B6:B13)</f>
        <v>175145</v>
      </c>
      <c r="C2" s="2566" t="s">
        <v>2517</v>
      </c>
      <c r="D2" s="2567" t="s">
        <v>2518</v>
      </c>
      <c r="E2" s="2568">
        <f>SUM(E6:E13)</f>
        <v>50120.33</v>
      </c>
    </row>
    <row r="3" spans="1:6" ht="15.6">
      <c r="A3" s="2564" t="s">
        <v>1395</v>
      </c>
      <c r="B3" s="2565">
        <f ca="1">ROUND(B2*10000/E2,0)</f>
        <v>34945</v>
      </c>
      <c r="C3" s="2566" t="s">
        <v>2525</v>
      </c>
      <c r="D3" s="2569"/>
      <c r="E3" s="2570"/>
    </row>
    <row r="4" spans="1:6" ht="15.6">
      <c r="A4" s="2571"/>
      <c r="B4" s="2569"/>
      <c r="C4" s="2569"/>
      <c r="D4" s="2569"/>
      <c r="E4" s="2570"/>
    </row>
    <row r="5" spans="1:6" ht="14.4">
      <c r="A5" s="2572" t="s">
        <v>2519</v>
      </c>
      <c r="B5" s="3562" t="s">
        <v>2520</v>
      </c>
      <c r="C5" s="3562"/>
      <c r="D5" s="2573"/>
      <c r="E5" s="2574" t="s">
        <v>2521</v>
      </c>
      <c r="F5" s="2575" t="s">
        <v>2522</v>
      </c>
    </row>
    <row r="6" spans="1:6" ht="14.4">
      <c r="A6" s="2576" t="str">
        <f>'数据-取费表'!AN6</f>
        <v>收益法-车库</v>
      </c>
      <c r="B6" s="2575">
        <f ca="1">IF(F6="是",'数据-取费表'!AO6,0)</f>
        <v>2096</v>
      </c>
      <c r="C6" s="2566" t="s">
        <v>2517</v>
      </c>
      <c r="D6" s="2569"/>
      <c r="E6" s="2577">
        <f>IF(OR(A6=0,F6="否"),0,'数据-取费表'!K6+'数据-取费表'!S6)</f>
        <v>6157.38</v>
      </c>
      <c r="F6" s="2578" t="s">
        <v>2523</v>
      </c>
    </row>
    <row r="7" spans="1:6" ht="14.4">
      <c r="A7" s="2576" t="str">
        <f>'数据-取费表'!AN7</f>
        <v>收益法-酒店</v>
      </c>
      <c r="B7" s="2575">
        <f ca="1">IF(F7="是",'数据-取费表'!AO7,0)</f>
        <v>25889</v>
      </c>
      <c r="C7" s="2566" t="s">
        <v>2517</v>
      </c>
      <c r="D7" s="2569"/>
      <c r="E7" s="2577">
        <f>IF(OR(A7=0,F7="否"),0,'数据-取费表'!K7+'数据-取费表'!S7)</f>
        <v>21386.67</v>
      </c>
      <c r="F7" s="2578" t="s">
        <v>2523</v>
      </c>
    </row>
    <row r="8" spans="1:6" ht="14.4">
      <c r="A8" s="2576" t="str">
        <f>'数据-取费表'!AN8</f>
        <v>收益法-办公出租</v>
      </c>
      <c r="B8" s="2575">
        <f ca="1">IF(F8="是",'数据-取费表'!AO8,0)</f>
        <v>107843</v>
      </c>
      <c r="C8" s="2566" t="s">
        <v>2517</v>
      </c>
      <c r="D8" s="2569"/>
      <c r="E8" s="2577">
        <f>IF(OR(A8=0,F8="否"),0,'数据-取费表'!K8+'数据-取费表'!S8)</f>
        <v>16632.91</v>
      </c>
      <c r="F8" s="2578" t="s">
        <v>2523</v>
      </c>
    </row>
    <row r="9" spans="1:6" ht="14.4">
      <c r="A9" s="2576" t="str">
        <f>'数据-取费表'!AN9</f>
        <v>收益法-办公未出租</v>
      </c>
      <c r="B9" s="2575">
        <f ca="1">IF(F9="是",'数据-取费表'!AO9,0)</f>
        <v>39317</v>
      </c>
      <c r="C9" s="2566" t="s">
        <v>2517</v>
      </c>
      <c r="D9" s="2569"/>
      <c r="E9" s="2577">
        <f>IF(OR(A9=0,F9="否"),0,'数据-取费表'!K9+'数据-取费表'!S9)</f>
        <v>5943.369999999999</v>
      </c>
      <c r="F9" s="2578" t="s">
        <v>2523</v>
      </c>
    </row>
    <row r="10" spans="1:6" ht="14.4">
      <c r="A10" s="2576">
        <f>'数据-取费表'!AN10</f>
        <v>0</v>
      </c>
      <c r="B10" s="2575" t="e">
        <f ca="1">IF(F10="是",'数据-取费表'!AO10,0)</f>
        <v>#REF!</v>
      </c>
      <c r="C10" s="2566" t="s">
        <v>2517</v>
      </c>
      <c r="D10" s="2569"/>
      <c r="E10" s="2577">
        <f>IF(OR(A10=0,F10="否"),0,'数据-取费表'!K10+'数据-取费表'!S10)</f>
        <v>0</v>
      </c>
      <c r="F10" s="2578" t="s">
        <v>2523</v>
      </c>
    </row>
    <row r="11" spans="1:6" ht="14.4">
      <c r="A11" s="2576">
        <f>'数据-取费表'!AN11</f>
        <v>0</v>
      </c>
      <c r="B11" s="2575" t="e">
        <f ca="1">IF(F11="是",'数据-取费表'!AO11,0)</f>
        <v>#REF!</v>
      </c>
      <c r="C11" s="2566" t="s">
        <v>2517</v>
      </c>
      <c r="D11" s="2569"/>
      <c r="E11" s="2577">
        <f>IF(OR(A11=0,F11="否"),0,'数据-取费表'!K11+'数据-取费表'!S11)</f>
        <v>0</v>
      </c>
      <c r="F11" s="2578" t="s">
        <v>2523</v>
      </c>
    </row>
    <row r="12" spans="1:6" ht="14.4">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5" zoomScaleNormal="85" zoomScaleSheetLayoutView="90" workbookViewId="0">
      <selection activeCell="F42" sqref="F42"/>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1589</v>
      </c>
      <c r="B1" s="782"/>
      <c r="C1" s="1838" t="s">
        <v>3295</v>
      </c>
      <c r="D1" s="1821" t="s">
        <v>70</v>
      </c>
      <c r="E1" s="1822" t="s">
        <v>1387</v>
      </c>
      <c r="F1" s="1284">
        <f ca="1">J53</f>
        <v>38.15</v>
      </c>
      <c r="G1" s="1837">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39317</v>
      </c>
      <c r="C2" s="1846" t="s">
        <v>1516</v>
      </c>
      <c r="D2" s="1846"/>
      <c r="E2" s="1847"/>
      <c r="F2" s="1848"/>
      <c r="G2" s="1849"/>
      <c r="H2" s="1841"/>
      <c r="I2" s="1841"/>
      <c r="J2" s="1841"/>
      <c r="K2" s="1842"/>
      <c r="L2" s="1841"/>
      <c r="M2" s="1841"/>
    </row>
    <row r="3" spans="1:37" ht="18" customHeight="1" thickBot="1">
      <c r="A3" s="1850" t="s">
        <v>1517</v>
      </c>
      <c r="B3" s="1851">
        <f ca="1">IF(ISERROR(B2*10000/F43),0,ROUND(B2*10000/F43,0))</f>
        <v>67053</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1971</v>
      </c>
      <c r="D5" s="1823" t="s">
        <v>1402</v>
      </c>
      <c r="E5" s="1294"/>
      <c r="F5" s="1295"/>
      <c r="G5" s="1852"/>
      <c r="H5" s="344">
        <v>1</v>
      </c>
      <c r="I5" s="345" t="s">
        <v>1401</v>
      </c>
      <c r="J5" s="1293">
        <f ca="1">J6+J10+J12</f>
        <v>0</v>
      </c>
      <c r="K5" s="1823" t="s">
        <v>1402</v>
      </c>
      <c r="L5" s="1294"/>
      <c r="M5" s="1295"/>
    </row>
    <row r="6" spans="1:37" ht="18" customHeight="1">
      <c r="A6" s="1292" t="s">
        <v>1035</v>
      </c>
      <c r="B6" s="3563" t="s">
        <v>1403</v>
      </c>
      <c r="C6" s="1297">
        <f ca="1">ROUND(F6*F8*F7*(1-F9)/10000,0)</f>
        <v>1969</v>
      </c>
      <c r="D6" s="164" t="s">
        <v>3028</v>
      </c>
      <c r="E6" s="347" t="s">
        <v>1405</v>
      </c>
      <c r="F6" s="348">
        <f ca="1">INDIRECT("'数据-取费表'!u"&amp;$G$1)</f>
        <v>10</v>
      </c>
      <c r="G6" s="1852"/>
      <c r="H6" s="1292" t="s">
        <v>1035</v>
      </c>
      <c r="I6" s="3563" t="s">
        <v>1403</v>
      </c>
      <c r="J6" s="346">
        <f ca="1">ROUND(M6*M8*M7*(1-M9)/10000,0)</f>
        <v>0</v>
      </c>
      <c r="K6" s="164" t="s">
        <v>3027</v>
      </c>
      <c r="L6" s="347" t="s">
        <v>1405</v>
      </c>
      <c r="M6" s="348">
        <f ca="1">INDIRECT("'数据-取费表'!z"&amp;$G$1)</f>
        <v>0</v>
      </c>
    </row>
    <row r="7" spans="1:37" ht="18" customHeight="1">
      <c r="A7" s="1296"/>
      <c r="B7" s="3564"/>
      <c r="C7" s="1298"/>
      <c r="D7" s="352"/>
      <c r="E7" s="2953" t="s">
        <v>1406</v>
      </c>
      <c r="F7" s="348">
        <f ca="1">IF(INDIRECT("'数据-取费表'!ah"&amp;$G$1)="",INDIRECT("'数据-取费表'!k"&amp;$G$1),INDIRECT("'数据-取费表'!ah"&amp;$G$1))</f>
        <v>5863.5999999999985</v>
      </c>
      <c r="G7" s="1852"/>
      <c r="H7" s="349"/>
      <c r="I7" s="3564"/>
      <c r="J7" s="351"/>
      <c r="K7" s="352"/>
      <c r="L7" s="347" t="s">
        <v>1406</v>
      </c>
      <c r="M7" s="348">
        <f ca="1">F7</f>
        <v>5863.5999999999985</v>
      </c>
    </row>
    <row r="8" spans="1:37" ht="18" customHeight="1">
      <c r="A8" s="349"/>
      <c r="B8" s="3564"/>
      <c r="C8" s="351"/>
      <c r="D8" s="352"/>
      <c r="E8" s="347" t="s">
        <v>1407</v>
      </c>
      <c r="F8" s="348">
        <f ca="1">INDIRECT("'数据-取费表'!ai"&amp;$G$1)</f>
        <v>365</v>
      </c>
      <c r="G8" s="1852"/>
      <c r="H8" s="349"/>
      <c r="I8" s="3564"/>
      <c r="J8" s="351"/>
      <c r="K8" s="352"/>
      <c r="L8" s="347" t="s">
        <v>1407</v>
      </c>
      <c r="M8" s="348">
        <f ca="1">INDIRECT("'数据-取费表'!ai"&amp;$G$1)</f>
        <v>365</v>
      </c>
    </row>
    <row r="9" spans="1:37" ht="18" customHeight="1">
      <c r="A9" s="349"/>
      <c r="B9" s="3565"/>
      <c r="C9" s="351"/>
      <c r="D9" s="352"/>
      <c r="E9" s="347" t="s">
        <v>1408</v>
      </c>
      <c r="F9" s="357">
        <f ca="1">INDIRECT("'数据-取费表'!w"&amp;$G$1)</f>
        <v>0.08</v>
      </c>
      <c r="G9" s="1852"/>
      <c r="H9" s="349"/>
      <c r="I9" s="3565"/>
      <c r="J9" s="351"/>
      <c r="K9" s="352"/>
      <c r="L9" s="358" t="s">
        <v>1408</v>
      </c>
      <c r="M9" s="359">
        <f ca="1">INDIRECT("'数据-取费表'!ab"&amp;$G$1)</f>
        <v>0</v>
      </c>
    </row>
    <row r="10" spans="1:37" ht="18" customHeight="1">
      <c r="A10" s="1292" t="s">
        <v>1039</v>
      </c>
      <c r="B10" s="1824" t="s">
        <v>1409</v>
      </c>
      <c r="C10" s="361">
        <f ca="1">ROUND(IF(F10="押一",C6/12*F11,IF(F10="押二",C6/12*2*F11,IF(F10="押三",C6/12*3*F11,C11*F11))),0)</f>
        <v>2</v>
      </c>
      <c r="D10" s="1825" t="s">
        <v>3036</v>
      </c>
      <c r="E10" s="358" t="s">
        <v>1410</v>
      </c>
      <c r="F10" s="1367" t="s">
        <v>3297</v>
      </c>
      <c r="G10" s="1852"/>
      <c r="H10" s="1292" t="s">
        <v>1039</v>
      </c>
      <c r="I10" s="1824" t="s">
        <v>1409</v>
      </c>
      <c r="J10" s="346">
        <f ca="1">ROUND(IF(M10="押一",J6/12*M11,IF(M10="押二",J6/12*2*M11,IF(M10="押三",J6/12*3*M11,J11*M11))),0)</f>
        <v>0</v>
      </c>
      <c r="K10" s="1825" t="s">
        <v>3036</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3921</v>
      </c>
      <c r="D13" s="1332" t="s">
        <v>1415</v>
      </c>
      <c r="E13" s="1332" t="s">
        <v>1416</v>
      </c>
      <c r="F13" s="1333">
        <f ca="1">INDIRECT("'数据-取费表'!y"&amp;$G$1)</f>
        <v>0.93</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2667</v>
      </c>
      <c r="D14" s="2944" t="s">
        <v>1418</v>
      </c>
      <c r="E14" s="2942"/>
      <c r="F14" s="364"/>
      <c r="G14" s="1852"/>
      <c r="H14" s="1202" t="s">
        <v>1035</v>
      </c>
      <c r="I14" s="347" t="s">
        <v>1419</v>
      </c>
      <c r="J14" s="24">
        <f ca="1">C29</f>
        <v>4216</v>
      </c>
      <c r="K14" s="2952"/>
      <c r="L14" s="980"/>
      <c r="M14" s="981"/>
    </row>
    <row r="15" spans="1:37" s="1859" customFormat="1" ht="18" customHeight="1" thickBot="1">
      <c r="A15" s="1202" t="s">
        <v>1036</v>
      </c>
      <c r="B15" s="347" t="s">
        <v>1420</v>
      </c>
      <c r="C15" s="24">
        <f ca="1">ROUND(C14*F15,0)</f>
        <v>107</v>
      </c>
      <c r="D15" s="365" t="s">
        <v>1421</v>
      </c>
      <c r="E15" s="365" t="s">
        <v>1422</v>
      </c>
      <c r="F15" s="366">
        <f>'数据-取费表'!B33</f>
        <v>0.04</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99</v>
      </c>
      <c r="K16" s="1338" t="s">
        <v>1425</v>
      </c>
      <c r="L16" s="2946"/>
      <c r="M16" s="1295"/>
    </row>
    <row r="17" spans="1:37" s="1859" customFormat="1" ht="18" customHeight="1">
      <c r="A17" s="1202" t="s">
        <v>1390</v>
      </c>
      <c r="B17" s="347" t="s">
        <v>1426</v>
      </c>
      <c r="C17" s="24">
        <f ca="1">ROUND(F17*(F43+INDIRECT("'数据-取费表'!S"&amp;$G$1))/10000,0)</f>
        <v>119</v>
      </c>
      <c r="D17" s="347" t="s">
        <v>1427</v>
      </c>
      <c r="E17" s="347" t="s">
        <v>1428</v>
      </c>
      <c r="F17" s="26">
        <f>'数据-取费表'!B35</f>
        <v>200</v>
      </c>
      <c r="G17" s="1855"/>
      <c r="H17" s="1202" t="s">
        <v>1035</v>
      </c>
      <c r="I17" s="347" t="s">
        <v>1429</v>
      </c>
      <c r="J17" s="24">
        <f ca="1">ROUND(IF(项目基本情况!B11="自然人",J5*M17,J18+J19+J20),1)</f>
        <v>36.200000000000003</v>
      </c>
      <c r="K17" s="2944" t="s">
        <v>1430</v>
      </c>
      <c r="L17" s="2943"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40</v>
      </c>
      <c r="D18" s="347" t="s">
        <v>1421</v>
      </c>
      <c r="E18" s="347" t="s">
        <v>1422</v>
      </c>
      <c r="F18" s="367">
        <f>'数据-取费表'!B36</f>
        <v>1.4999999999999999E-2</v>
      </c>
      <c r="G18" s="1855"/>
      <c r="H18" s="1202" t="s">
        <v>1034</v>
      </c>
      <c r="I18" s="347" t="s">
        <v>1433</v>
      </c>
      <c r="J18" s="24">
        <f ca="1">ROUND(J5*M18/(1+'数据-取费表'!C42),2)</f>
        <v>0</v>
      </c>
      <c r="K18" s="2943"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2933</v>
      </c>
      <c r="D19" s="140" t="s">
        <v>1436</v>
      </c>
      <c r="E19" s="2951"/>
      <c r="F19" s="26"/>
      <c r="G19" s="1852"/>
      <c r="H19" s="1202" t="s">
        <v>1036</v>
      </c>
      <c r="I19" s="347" t="s">
        <v>1437</v>
      </c>
      <c r="J19" s="24">
        <f ca="1">IF(K19="按租金收入计税",ROUND(J5*M19,2),ROUND(C29*M19*0.7,2))</f>
        <v>35.409999999999997</v>
      </c>
      <c r="K19" s="1829" t="s">
        <v>1438</v>
      </c>
      <c r="L19" s="347" t="s">
        <v>1422</v>
      </c>
      <c r="M19" s="367">
        <f>IF(K19="按租金收入计税",'数据-取费表'!B51,'数据-取费表'!B50)</f>
        <v>1.2E-2</v>
      </c>
    </row>
    <row r="20" spans="1:37" s="1859" customFormat="1" ht="18" customHeight="1">
      <c r="A20" s="1202" t="s">
        <v>1039</v>
      </c>
      <c r="B20" s="347" t="s">
        <v>1439</v>
      </c>
      <c r="C20" s="24">
        <f ca="1">ROUND(C19*F20,0)</f>
        <v>59</v>
      </c>
      <c r="D20" s="369" t="s">
        <v>1440</v>
      </c>
      <c r="E20" s="347" t="s">
        <v>1422</v>
      </c>
      <c r="F20" s="367">
        <f>'数据-取费表'!B37</f>
        <v>0.02</v>
      </c>
      <c r="G20" s="1855"/>
      <c r="H20" s="1202" t="s">
        <v>1389</v>
      </c>
      <c r="I20" s="164" t="s">
        <v>1441</v>
      </c>
      <c r="J20" s="25">
        <f ca="1">ROUND(M20*M21/10000,2)</f>
        <v>0.74</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620.80000000000007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2951"/>
      <c r="F22" s="26"/>
      <c r="G22" s="1852"/>
      <c r="H22" s="1202" t="s">
        <v>1039</v>
      </c>
      <c r="I22" s="347" t="s">
        <v>1449</v>
      </c>
      <c r="J22" s="24">
        <f ca="1">ROUND(J14*M22,1)</f>
        <v>63.2</v>
      </c>
      <c r="K22" s="2943"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142</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0</v>
      </c>
      <c r="K23" s="2943"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1392</v>
      </c>
      <c r="I24" s="1341" t="s">
        <v>1439</v>
      </c>
      <c r="J24" s="1342">
        <f ca="1">ROUND(J5*M24,1)</f>
        <v>0</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2951"/>
      <c r="F25" s="26"/>
      <c r="G25" s="1852"/>
      <c r="H25" s="1330" t="s">
        <v>1031</v>
      </c>
      <c r="I25" s="1345" t="s">
        <v>1463</v>
      </c>
      <c r="J25" s="355">
        <f ca="1">J5-J16</f>
        <v>-99</v>
      </c>
      <c r="K25" s="1346" t="s">
        <v>1464</v>
      </c>
      <c r="L25" s="1347"/>
      <c r="M25" s="1348"/>
    </row>
    <row r="26" spans="1:37">
      <c r="A26" s="1202" t="s">
        <v>1034</v>
      </c>
      <c r="B26" s="347" t="s">
        <v>1465</v>
      </c>
      <c r="C26" s="24">
        <f ca="1">ROUND((C19+C20)*F26,0)</f>
        <v>748</v>
      </c>
      <c r="D26" s="369" t="s">
        <v>1466</v>
      </c>
      <c r="E26" s="358" t="s">
        <v>1467</v>
      </c>
      <c r="F26" s="357">
        <f ca="1">INDIRECT("'数据-取费表'!q"&amp;$G$1)</f>
        <v>0.25</v>
      </c>
      <c r="G26" s="1852"/>
      <c r="H26" s="344" t="s">
        <v>1032</v>
      </c>
      <c r="I26" s="345" t="s">
        <v>1468</v>
      </c>
      <c r="J26" s="346">
        <f ca="1">IF(J5&lt;&gt;0,ROUND(J25*(1-((1+M28)/(1+M26))^M27)/(M26-M28),0),0)</f>
        <v>0</v>
      </c>
      <c r="K26" s="370" t="s">
        <v>1469</v>
      </c>
      <c r="L26" s="347" t="s">
        <v>1470</v>
      </c>
      <c r="M26" s="357">
        <f ca="1">INDIRECT("'数据-取费表'!I"&amp;$G$1)</f>
        <v>5.6000000000000001E-2</v>
      </c>
    </row>
    <row r="27" spans="1:37" ht="18" customHeight="1">
      <c r="A27" s="1202" t="s">
        <v>1036</v>
      </c>
      <c r="B27" s="347" t="s">
        <v>1471</v>
      </c>
      <c r="C27" s="24">
        <f ca="1">ROUND(F21*F26,4)</f>
        <v>5.0000000000000001E-3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4216</v>
      </c>
      <c r="D29" s="1343"/>
      <c r="E29" s="1341"/>
      <c r="F29" s="1344"/>
      <c r="G29" s="1855"/>
      <c r="H29" s="380" t="s">
        <v>1033</v>
      </c>
      <c r="I29" s="381" t="s">
        <v>1479</v>
      </c>
      <c r="J29" s="382">
        <f ca="1">ROUND(J26/(1+F40)^F41,0)</f>
        <v>0</v>
      </c>
      <c r="K29" s="383" t="s">
        <v>1480</v>
      </c>
      <c r="L29" s="384"/>
      <c r="M29" s="385">
        <f ca="1">INDIRECT("'数据-取费表'!k"&amp;$G$1)</f>
        <v>5863.5999999999985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431</v>
      </c>
      <c r="D30" s="1338" t="s">
        <v>1425</v>
      </c>
      <c r="E30" s="2946"/>
      <c r="F30" s="1295"/>
      <c r="G30" s="1852"/>
      <c r="H30" s="745"/>
      <c r="I30" s="746"/>
      <c r="J30" s="747"/>
      <c r="K30" s="748"/>
      <c r="L30" s="749"/>
      <c r="M30" s="750"/>
    </row>
    <row r="31" spans="1:37" ht="18" customHeight="1">
      <c r="A31" s="1202" t="s">
        <v>1035</v>
      </c>
      <c r="B31" s="347" t="s">
        <v>1429</v>
      </c>
      <c r="C31" s="24">
        <f ca="1">ROUND(IF(项目基本情况!B11="自然人",C5*F31,C32+C33+C34),1)</f>
        <v>342.4</v>
      </c>
      <c r="D31" s="2944" t="s">
        <v>1430</v>
      </c>
      <c r="E31" s="2943"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105.12</v>
      </c>
      <c r="D32" s="2943"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236.52</v>
      </c>
      <c r="D33" s="1829" t="s">
        <v>3081</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0.74</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620.80000000000007</v>
      </c>
      <c r="G35" s="1852"/>
      <c r="H35" s="745"/>
      <c r="I35" s="1861"/>
      <c r="J35" s="1862"/>
      <c r="K35" s="1863"/>
      <c r="L35" s="1860"/>
      <c r="M35" s="1860"/>
    </row>
    <row r="36" spans="1:18" ht="18" customHeight="1">
      <c r="A36" s="1353" t="s">
        <v>1039</v>
      </c>
      <c r="B36" s="347" t="s">
        <v>1449</v>
      </c>
      <c r="C36" s="24">
        <f ca="1">ROUND(C29*F36,1)</f>
        <v>63.2</v>
      </c>
      <c r="D36" s="2943" t="s">
        <v>1482</v>
      </c>
      <c r="E36" s="347" t="s">
        <v>1422</v>
      </c>
      <c r="F36" s="374">
        <f ca="1">INDIRECT("'数据-取费表'!Ak"&amp;$G$1)</f>
        <v>1.4999999999999999E-2</v>
      </c>
      <c r="G36" s="1852"/>
      <c r="H36" s="1860"/>
      <c r="I36" s="1861"/>
      <c r="J36" s="1862"/>
      <c r="K36" s="751"/>
      <c r="L36" s="1860"/>
      <c r="M36" s="1860"/>
    </row>
    <row r="37" spans="1:18" ht="18" customHeight="1">
      <c r="A37" s="1202" t="s">
        <v>1075</v>
      </c>
      <c r="B37" s="347" t="s">
        <v>1453</v>
      </c>
      <c r="C37" s="24">
        <f ca="1">ROUND(C13*F37,1)</f>
        <v>5.9</v>
      </c>
      <c r="D37" s="2943" t="s">
        <v>1454</v>
      </c>
      <c r="E37" s="347" t="s">
        <v>1422</v>
      </c>
      <c r="F37" s="376">
        <f ca="1">INDIRECT("'数据-取费表'!Al"&amp;$G$1)</f>
        <v>1.5E-3</v>
      </c>
      <c r="G37" s="1852"/>
      <c r="H37" s="1860"/>
      <c r="I37" s="1861"/>
      <c r="J37" s="1862"/>
      <c r="K37" s="751"/>
      <c r="L37" s="1860"/>
      <c r="M37" s="1860"/>
    </row>
    <row r="38" spans="1:18" ht="18" customHeight="1" thickBot="1">
      <c r="A38" s="1340" t="s">
        <v>1392</v>
      </c>
      <c r="B38" s="1341" t="s">
        <v>1439</v>
      </c>
      <c r="C38" s="1342">
        <f ca="1">ROUND(C5*F38,1)</f>
        <v>19.7</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5">
        <f ca="1">C5-C30</f>
        <v>1540</v>
      </c>
      <c r="D39" s="1346" t="s">
        <v>1464</v>
      </c>
      <c r="E39" s="1347"/>
      <c r="F39" s="1348"/>
      <c r="G39" s="1852"/>
      <c r="H39" s="1860"/>
      <c r="I39" s="1861"/>
      <c r="J39" s="1862"/>
      <c r="K39" s="1866"/>
      <c r="L39" s="1860"/>
      <c r="M39" s="1860"/>
    </row>
    <row r="40" spans="1:18" ht="18" customHeight="1">
      <c r="A40" s="344" t="s">
        <v>1032</v>
      </c>
      <c r="B40" s="345" t="s">
        <v>1485</v>
      </c>
      <c r="C40" s="346">
        <f ca="1">ROUND(C39*(1-((1+F42)/(1+F40))^F41)/(F40-F42),0)</f>
        <v>39254</v>
      </c>
      <c r="D40" s="370" t="s">
        <v>1469</v>
      </c>
      <c r="E40" s="347" t="s">
        <v>1470</v>
      </c>
      <c r="F40" s="357">
        <f ca="1">INDIRECT("'数据-取费表'!I"&amp;$G$1)</f>
        <v>5.6000000000000001E-2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38.15</v>
      </c>
      <c r="G41" s="1852"/>
      <c r="H41" s="732"/>
      <c r="I41" s="1861"/>
      <c r="J41" s="1862"/>
      <c r="K41" s="751"/>
      <c r="L41" s="732"/>
      <c r="M41" s="732"/>
    </row>
    <row r="42" spans="1:18" ht="18" customHeight="1">
      <c r="A42" s="353"/>
      <c r="B42" s="354"/>
      <c r="C42" s="355"/>
      <c r="D42" s="373"/>
      <c r="E42" s="347" t="s">
        <v>1477</v>
      </c>
      <c r="F42" s="357">
        <f ca="1">INDIRECT("'数据-取费表'!v"&amp;$G$1)</f>
        <v>3.5000000000000003E-2</v>
      </c>
      <c r="G42" s="1852"/>
      <c r="H42" s="732"/>
      <c r="I42" s="1861"/>
      <c r="J42" s="1862"/>
      <c r="K42" s="751"/>
      <c r="L42" s="732"/>
      <c r="M42" s="732"/>
    </row>
    <row r="43" spans="1:18" ht="18" customHeight="1" thickBot="1">
      <c r="A43" s="380" t="s">
        <v>1033</v>
      </c>
      <c r="B43" s="381" t="s">
        <v>1487</v>
      </c>
      <c r="C43" s="382">
        <f ca="1">ROUND(C40*10000/F43,0)</f>
        <v>66945</v>
      </c>
      <c r="D43" s="383" t="s">
        <v>1488</v>
      </c>
      <c r="E43" s="384" t="s">
        <v>1489</v>
      </c>
      <c r="F43" s="385">
        <f ca="1">INDIRECT("'数据-取费表'!k"&amp;$G$1)</f>
        <v>5863.5999999999985</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8" thickBot="1">
      <c r="A46" s="1871" t="s">
        <v>1520</v>
      </c>
      <c r="C46" s="1872">
        <f ca="1">C68-C40</f>
        <v>-45878</v>
      </c>
      <c r="D46" s="1873" t="str">
        <f>C2</f>
        <v>万元</v>
      </c>
      <c r="E46" s="1867"/>
      <c r="F46" s="1867"/>
      <c r="I46" s="1874" t="s">
        <v>1521</v>
      </c>
      <c r="J46" s="1875"/>
      <c r="K46" s="1876"/>
      <c r="L46" s="1877">
        <f ca="1">IF(M47="住宅",0,IF(L48&gt;J51,L60,J60))</f>
        <v>63</v>
      </c>
      <c r="O46" s="1878" t="s">
        <v>1522</v>
      </c>
      <c r="P46" s="1879" t="s">
        <v>1523</v>
      </c>
      <c r="Q46" s="1880" t="s">
        <v>1524</v>
      </c>
      <c r="R46" s="1880" t="s">
        <v>1525</v>
      </c>
    </row>
    <row r="47" spans="1:18" s="1843" customFormat="1" ht="13.8" thickBot="1">
      <c r="A47" s="1166" t="s">
        <v>1396</v>
      </c>
      <c r="B47" s="1198" t="s">
        <v>1397</v>
      </c>
      <c r="C47" s="1368" t="s">
        <v>1398</v>
      </c>
      <c r="D47" s="1198" t="s">
        <v>1399</v>
      </c>
      <c r="E47" s="1280" t="s">
        <v>1400</v>
      </c>
      <c r="F47" s="1281"/>
      <c r="G47" s="792"/>
      <c r="I47" s="1881" t="s">
        <v>1526</v>
      </c>
      <c r="J47" s="1882" t="s">
        <v>3082</v>
      </c>
      <c r="K47" s="1883" t="s">
        <v>1527</v>
      </c>
      <c r="L47" s="1884">
        <f ca="1">INDIRECT("'数据-取费表'!d"&amp;$G$1)</f>
        <v>50</v>
      </c>
      <c r="M47" s="1839" t="str">
        <f>IF(ISNUMBER(FIND("住宅",C1)),"住宅","非住宅")</f>
        <v>非住宅</v>
      </c>
      <c r="O47" s="1885" t="s">
        <v>1040</v>
      </c>
      <c r="P47" s="1886" t="s">
        <v>1528</v>
      </c>
      <c r="Q47" s="1887">
        <f ca="1">C40+J29</f>
        <v>39254</v>
      </c>
      <c r="R47" s="1887" t="s">
        <v>1529</v>
      </c>
    </row>
    <row r="48" spans="1:18" s="1843" customFormat="1" ht="40.200000000000003" thickBot="1">
      <c r="A48" s="1361" t="s">
        <v>1135</v>
      </c>
      <c r="B48" s="345" t="s">
        <v>1401</v>
      </c>
      <c r="C48" s="2950">
        <f ca="1">C49+C53+C55</f>
        <v>0</v>
      </c>
      <c r="D48" s="1363"/>
      <c r="E48" s="1364"/>
      <c r="F48" s="1182"/>
      <c r="G48" s="792"/>
      <c r="H48" s="793"/>
      <c r="I48" s="1888" t="s">
        <v>1530</v>
      </c>
      <c r="J48" s="1889" t="s">
        <v>3083</v>
      </c>
      <c r="K48" s="1890" t="s">
        <v>1531</v>
      </c>
      <c r="L48" s="1891">
        <f ca="1">INDIRECT("'数据-取费表'!f"&amp;$G$1)</f>
        <v>38.15</v>
      </c>
      <c r="O48" s="1885" t="s">
        <v>1041</v>
      </c>
      <c r="P48" s="1886" t="s">
        <v>1532</v>
      </c>
      <c r="Q48" s="1887">
        <f ca="1">J60</f>
        <v>63</v>
      </c>
      <c r="R48" s="1887" t="s">
        <v>1533</v>
      </c>
    </row>
    <row r="49" spans="1:18" s="1843" customFormat="1" ht="13.8" thickBot="1">
      <c r="A49" s="1195" t="s">
        <v>1136</v>
      </c>
      <c r="B49" s="1830" t="s">
        <v>1490</v>
      </c>
      <c r="C49" s="1365">
        <f ca="1">ROUND(F49*F51*F50*(1-F52)/10000,0)</f>
        <v>0</v>
      </c>
      <c r="D49" s="1277" t="s">
        <v>3027</v>
      </c>
      <c r="E49" s="1831" t="s">
        <v>1491</v>
      </c>
      <c r="F49" s="1282"/>
      <c r="G49" s="1892"/>
      <c r="H49" s="793"/>
      <c r="I49" s="1888" t="s">
        <v>1534</v>
      </c>
      <c r="J49" s="1893">
        <v>2014</v>
      </c>
      <c r="K49" s="1890" t="s">
        <v>1535</v>
      </c>
      <c r="L49" s="1894"/>
      <c r="O49" s="1895" t="s">
        <v>1042</v>
      </c>
      <c r="P49" s="1886" t="s">
        <v>1536</v>
      </c>
      <c r="Q49" s="1887">
        <f ca="1">C29</f>
        <v>4216</v>
      </c>
      <c r="R49" s="1887" t="s">
        <v>1529</v>
      </c>
    </row>
    <row r="50" spans="1:18" s="1843" customFormat="1" ht="13.8" thickBot="1">
      <c r="A50" s="1196"/>
      <c r="B50" s="1199"/>
      <c r="C50" s="1369"/>
      <c r="D50" s="1173"/>
      <c r="E50" s="1278" t="s">
        <v>1406</v>
      </c>
      <c r="F50" s="1279">
        <f ca="1">F7</f>
        <v>5863.5999999999985</v>
      </c>
      <c r="H50" s="793"/>
      <c r="I50" s="1888" t="s">
        <v>1537</v>
      </c>
      <c r="J50" s="1896">
        <f>SUMPRODUCT((I63:I65=J47)*(J62:L62=J48)*(J63:L65))</f>
        <v>60</v>
      </c>
      <c r="K50" s="1890" t="s">
        <v>1538</v>
      </c>
      <c r="L50" s="1894"/>
      <c r="M50" s="1897"/>
      <c r="O50" s="1895" t="s">
        <v>1043</v>
      </c>
      <c r="P50" s="1886" t="s">
        <v>1539</v>
      </c>
      <c r="Q50" s="1898">
        <f ca="1">J58</f>
        <v>0.4</v>
      </c>
      <c r="R50" s="1887"/>
    </row>
    <row r="51" spans="1:18" s="1843" customFormat="1" ht="13.8" thickBot="1">
      <c r="A51" s="1197"/>
      <c r="B51" s="1199"/>
      <c r="C51" s="1200"/>
      <c r="D51" s="1173"/>
      <c r="E51" s="1201" t="s">
        <v>1407</v>
      </c>
      <c r="F51" s="348">
        <f ca="1">F8</f>
        <v>365</v>
      </c>
      <c r="I51" s="1899" t="s">
        <v>1540</v>
      </c>
      <c r="J51" s="1900">
        <f>IF(J49="",J50,J49+J50-YEAR('数据-取费表'!B2))</f>
        <v>56</v>
      </c>
      <c r="K51" s="1901" t="s">
        <v>1541</v>
      </c>
      <c r="L51" s="1902">
        <f ca="1">ROUND(-PV(INDIRECT("'数据-取费表'!h"&amp;$G$1),L48,(C39-C13*C76),0),0)</f>
        <v>19851</v>
      </c>
      <c r="M51" s="1903"/>
      <c r="O51" s="1895" t="s">
        <v>1044</v>
      </c>
      <c r="P51" s="1886" t="s">
        <v>1542</v>
      </c>
      <c r="Q51" s="1898">
        <f>J52</f>
        <v>0.09</v>
      </c>
      <c r="R51" s="1887"/>
    </row>
    <row r="52" spans="1:18" s="1843" customFormat="1" ht="13.8" thickBot="1">
      <c r="A52" s="1197"/>
      <c r="B52" s="1199"/>
      <c r="C52" s="1200"/>
      <c r="D52" s="1173"/>
      <c r="E52" s="1201" t="s">
        <v>1408</v>
      </c>
      <c r="F52" s="1276"/>
      <c r="I52" s="1904" t="s">
        <v>1543</v>
      </c>
      <c r="J52" s="1905">
        <v>0.09</v>
      </c>
      <c r="K52" s="1904" t="s">
        <v>1544</v>
      </c>
      <c r="L52" s="1905"/>
      <c r="O52" s="1895" t="s">
        <v>1045</v>
      </c>
      <c r="P52" s="1886" t="s">
        <v>1545</v>
      </c>
      <c r="Q52" s="1887">
        <f ca="1">J53</f>
        <v>38.15</v>
      </c>
      <c r="R52" s="1887" t="s">
        <v>1546</v>
      </c>
    </row>
    <row r="53" spans="1:18" s="1843" customFormat="1" ht="36.6" thickBot="1">
      <c r="A53" s="1406" t="s">
        <v>1137</v>
      </c>
      <c r="B53" s="1832" t="s">
        <v>1409</v>
      </c>
      <c r="C53" s="361">
        <f ca="1">ROUND(IF(F53="押一",C49/12*F11,IF(F53="押二",C49/12*2*F11,IF(F53="押三",C49/12*3*F11,C54*F11))),0)</f>
        <v>0</v>
      </c>
      <c r="D53" s="1825" t="s">
        <v>3036</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38.15</v>
      </c>
      <c r="K53" s="3566" t="s">
        <v>1548</v>
      </c>
      <c r="L53" s="3567"/>
      <c r="O53" s="1885" t="s">
        <v>1046</v>
      </c>
      <c r="P53" s="1886" t="s">
        <v>1549</v>
      </c>
      <c r="Q53" s="1887">
        <f ca="1">Q47+Q48</f>
        <v>39317</v>
      </c>
      <c r="R53" s="1887" t="s">
        <v>1047</v>
      </c>
    </row>
    <row r="54" spans="1:18" s="1843" customFormat="1" ht="24.6" thickBot="1">
      <c r="A54" s="1407"/>
      <c r="B54" s="1826" t="s">
        <v>1388</v>
      </c>
      <c r="C54" s="1179"/>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8" thickBot="1">
      <c r="A55" s="1334" t="s">
        <v>1075</v>
      </c>
      <c r="B55" s="1828" t="s">
        <v>1413</v>
      </c>
      <c r="C55" s="1335"/>
      <c r="D55" s="1825"/>
      <c r="E55" s="2947"/>
      <c r="F55" s="1908"/>
      <c r="I55" s="1911" t="s">
        <v>1551</v>
      </c>
      <c r="J55" s="1912">
        <f ca="1">ROUND(IF(J47="钢混",J57/J50,1-(1-2%)*(J50-J57)/J50),3)</f>
        <v>0.29799999999999999</v>
      </c>
      <c r="K55" s="1913" t="s">
        <v>1552</v>
      </c>
      <c r="L55" s="1914" t="s">
        <v>1553</v>
      </c>
      <c r="O55" s="1878" t="s">
        <v>1522</v>
      </c>
      <c r="P55" s="1879" t="s">
        <v>1523</v>
      </c>
      <c r="Q55" s="1880" t="s">
        <v>1524</v>
      </c>
      <c r="R55" s="1880" t="s">
        <v>1525</v>
      </c>
    </row>
    <row r="56" spans="1:18" s="1843" customFormat="1" ht="37.200000000000003" thickTop="1" thickBot="1">
      <c r="A56" s="1177">
        <v>2</v>
      </c>
      <c r="B56" s="1178" t="s">
        <v>1414</v>
      </c>
      <c r="C56" s="276">
        <f ca="1">C13</f>
        <v>3921</v>
      </c>
      <c r="D56" s="1915"/>
      <c r="E56" s="1916"/>
      <c r="F56" s="1908"/>
      <c r="I56" s="1917" t="s">
        <v>1554</v>
      </c>
      <c r="J56" s="1918" t="s">
        <v>3084</v>
      </c>
      <c r="K56" s="1888" t="s">
        <v>1555</v>
      </c>
      <c r="L56" s="1891" t="str">
        <f ca="1">IF(L48&lt;J51,"——",L48-J53)</f>
        <v>——</v>
      </c>
      <c r="O56" s="1885" t="s">
        <v>1040</v>
      </c>
      <c r="P56" s="1886" t="s">
        <v>1528</v>
      </c>
      <c r="Q56" s="1887">
        <f ca="1">C40+J29</f>
        <v>39254</v>
      </c>
      <c r="R56" s="1887" t="s">
        <v>1529</v>
      </c>
    </row>
    <row r="57" spans="1:18" s="1843" customFormat="1" ht="24.6" thickBot="1">
      <c r="A57" s="1919"/>
      <c r="B57" s="1170" t="s">
        <v>1478</v>
      </c>
      <c r="C57" s="282">
        <f ca="1">C29</f>
        <v>4216</v>
      </c>
      <c r="D57" s="1920"/>
      <c r="E57" s="1921"/>
      <c r="F57" s="1922"/>
      <c r="I57" s="1923" t="s">
        <v>1556</v>
      </c>
      <c r="J57" s="1924">
        <f ca="1">IF(OR(M47="住宅",J51&lt;L48,J56="是"),"——",J51-L48)</f>
        <v>17.850000000000001</v>
      </c>
      <c r="K57" s="1888" t="s">
        <v>1557</v>
      </c>
      <c r="L57" s="1891" t="str">
        <f ca="1">IF(L48&lt;J51,"——",IF(L55="比较法",L49,IF(L55="基准地价",L50,L51)))</f>
        <v>——</v>
      </c>
      <c r="O57" s="1885" t="s">
        <v>1041</v>
      </c>
      <c r="P57" s="1886" t="s">
        <v>1558</v>
      </c>
      <c r="Q57" s="1887">
        <f ca="1">L60</f>
        <v>0</v>
      </c>
      <c r="R57" s="1887" t="s">
        <v>1559</v>
      </c>
    </row>
    <row r="58" spans="1:18" s="1843" customFormat="1" ht="24.6" thickBot="1">
      <c r="A58" s="360" t="s">
        <v>1030</v>
      </c>
      <c r="B58" s="1178" t="s">
        <v>1424</v>
      </c>
      <c r="C58" s="361">
        <f ca="1">ROUND(C59+C64+C65+C66,0)</f>
        <v>424</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6" thickBot="1">
      <c r="A59" s="1202" t="s">
        <v>1035</v>
      </c>
      <c r="B59" s="1170" t="s">
        <v>1429</v>
      </c>
      <c r="C59" s="24">
        <f ca="1">ROUND(IF(项目基本情况!B11="自然人",C48*F59,C60+C61+C62),1)</f>
        <v>354.9</v>
      </c>
      <c r="D59" s="1183" t="s">
        <v>1430</v>
      </c>
      <c r="E59" s="1184" t="s">
        <v>1431</v>
      </c>
      <c r="F59" s="368" t="str">
        <f ca="1">IF(项目基本情况!B11="企业","",IF(INDIRECT("'数据-取费表'!c"&amp;$G$1)="住宅",5%,IF(F49*F50*F51/12/(1+'数据-取费表'!C42)&gt;20000,12%,7%)))</f>
        <v/>
      </c>
      <c r="I59" s="1923" t="s">
        <v>1563</v>
      </c>
      <c r="J59" s="1924">
        <f ca="1">IF(OR(M47="住宅",J51&lt;L48,J56="是"),"——",ROUND(C29*J58,0))</f>
        <v>1686</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2"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63</v>
      </c>
      <c r="K60" s="1928" t="s">
        <v>1566</v>
      </c>
      <c r="L60" s="1927">
        <f ca="1">IF(OR(M47="住宅",L48&lt;J51),0,ROUND(L57*(L58/L59-1),0))</f>
        <v>0</v>
      </c>
      <c r="O60" s="1895" t="s">
        <v>1044</v>
      </c>
      <c r="P60" s="1886" t="s">
        <v>1567</v>
      </c>
      <c r="Q60" s="1887" t="e">
        <f ca="1">L58</f>
        <v>#DIV/0!</v>
      </c>
      <c r="R60" s="1887" t="s">
        <v>1568</v>
      </c>
    </row>
    <row r="61" spans="1:18" s="1843" customFormat="1" ht="13.8" thickBot="1">
      <c r="A61" s="1202" t="s">
        <v>1492</v>
      </c>
      <c r="B61" s="1170" t="s">
        <v>1437</v>
      </c>
      <c r="C61" s="24">
        <f ca="1">IF(项目基本情况!B11="自然人","——",IF(D61="按租金收入计税",ROUND(C48*F61,2),IF(D61="按房产原值计税",ROUND(C57*F61*0.7,2),INDIRECT("'数据-取费表'!Aj"&amp;$G$1))))</f>
        <v>354.14</v>
      </c>
      <c r="D61" s="1829" t="s">
        <v>1438</v>
      </c>
      <c r="E61" s="1170"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8" thickBot="1">
      <c r="A62" s="1202" t="s">
        <v>1495</v>
      </c>
      <c r="B62" s="1169" t="s">
        <v>1441</v>
      </c>
      <c r="C62" s="25">
        <f ca="1">IF(项目基本情况!B11="自然人","——",ROUND(F62*F63/10000,2))</f>
        <v>0.74</v>
      </c>
      <c r="D62" s="1185" t="s">
        <v>1442</v>
      </c>
      <c r="E62" s="1170" t="s">
        <v>1443</v>
      </c>
      <c r="F62" s="371">
        <f t="shared" si="0"/>
        <v>12</v>
      </c>
      <c r="I62" s="1930" t="s">
        <v>1570</v>
      </c>
      <c r="J62" s="1931" t="s">
        <v>1571</v>
      </c>
      <c r="K62" s="1931" t="s">
        <v>1572</v>
      </c>
      <c r="L62" s="1931" t="s">
        <v>1573</v>
      </c>
      <c r="M62" s="1932" t="s">
        <v>1574</v>
      </c>
      <c r="O62" s="1885" t="s">
        <v>1046</v>
      </c>
      <c r="P62" s="1886" t="s">
        <v>1549</v>
      </c>
      <c r="Q62" s="1887">
        <f ca="1">Q56+Q57</f>
        <v>39254</v>
      </c>
      <c r="R62" s="1887" t="s">
        <v>1047</v>
      </c>
    </row>
    <row r="63" spans="1:18" s="1843" customFormat="1" ht="13.8" thickBot="1">
      <c r="A63" s="372"/>
      <c r="B63" s="1176"/>
      <c r="C63" s="29"/>
      <c r="D63" s="1186"/>
      <c r="E63" s="1170" t="s">
        <v>1447</v>
      </c>
      <c r="F63" s="348">
        <f t="shared" ca="1" si="0"/>
        <v>620.80000000000007</v>
      </c>
      <c r="I63" s="1930" t="s">
        <v>1576</v>
      </c>
      <c r="J63" s="1931">
        <v>70</v>
      </c>
      <c r="K63" s="1931">
        <v>50</v>
      </c>
      <c r="L63" s="1931">
        <v>80</v>
      </c>
      <c r="M63" s="1933">
        <v>0.02</v>
      </c>
      <c r="O63" s="1870" t="s">
        <v>1577</v>
      </c>
      <c r="P63" s="1840"/>
      <c r="Q63" s="1840"/>
      <c r="R63" s="1840"/>
    </row>
    <row r="64" spans="1:18" s="1843" customFormat="1" ht="13.8" thickBot="1">
      <c r="A64" s="1202" t="s">
        <v>1039</v>
      </c>
      <c r="B64" s="1170" t="s">
        <v>1449</v>
      </c>
      <c r="C64" s="24">
        <f ca="1">ROUND(C57*F64,1)</f>
        <v>63.2</v>
      </c>
      <c r="D64" s="1184" t="s">
        <v>1482</v>
      </c>
      <c r="E64" s="1170"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8" thickBot="1">
      <c r="A65" s="1202" t="s">
        <v>1503</v>
      </c>
      <c r="B65" s="1170" t="s">
        <v>1453</v>
      </c>
      <c r="C65" s="24">
        <f ca="1">ROUND(C56*F65,1)</f>
        <v>5.9</v>
      </c>
      <c r="D65" s="1184" t="s">
        <v>1454</v>
      </c>
      <c r="E65" s="1170" t="s">
        <v>1422</v>
      </c>
      <c r="F65" s="376">
        <f t="shared" ca="1" si="0"/>
        <v>1.5E-3</v>
      </c>
      <c r="I65" s="1930" t="s">
        <v>1579</v>
      </c>
      <c r="J65" s="1931">
        <v>40</v>
      </c>
      <c r="K65" s="1931">
        <v>30</v>
      </c>
      <c r="L65" s="1931">
        <v>50</v>
      </c>
      <c r="M65" s="1933">
        <v>0.02</v>
      </c>
      <c r="O65" s="1885" t="s">
        <v>1040</v>
      </c>
      <c r="P65" s="1886" t="s">
        <v>1528</v>
      </c>
      <c r="Q65" s="1887">
        <f ca="1">C40+J29</f>
        <v>39254</v>
      </c>
      <c r="R65" s="1887" t="s">
        <v>1529</v>
      </c>
    </row>
    <row r="66" spans="1:18" s="1843" customFormat="1" ht="16.2" thickBot="1">
      <c r="A66" s="1202" t="s">
        <v>1504</v>
      </c>
      <c r="B66" s="1170" t="s">
        <v>1439</v>
      </c>
      <c r="C66" s="24">
        <f ca="1">ROUND(C48*F66,1)</f>
        <v>0</v>
      </c>
      <c r="D66" s="1184" t="s">
        <v>1459</v>
      </c>
      <c r="E66" s="1170" t="s">
        <v>1422</v>
      </c>
      <c r="F66" s="357">
        <f t="shared" ca="1" si="0"/>
        <v>0.01</v>
      </c>
      <c r="O66" s="1885" t="s">
        <v>1041</v>
      </c>
      <c r="P66" s="1886" t="s">
        <v>1558</v>
      </c>
      <c r="Q66" s="1887">
        <f ca="1">L60</f>
        <v>0</v>
      </c>
      <c r="R66" s="1887" t="s">
        <v>1581</v>
      </c>
    </row>
    <row r="67" spans="1:18" s="1843" customFormat="1" ht="24.6" thickBot="1">
      <c r="A67" s="1177" t="s">
        <v>1031</v>
      </c>
      <c r="B67" s="1187" t="s">
        <v>1463</v>
      </c>
      <c r="C67" s="361">
        <f ca="1">C48-C58</f>
        <v>-424</v>
      </c>
      <c r="D67" s="1183" t="s">
        <v>1464</v>
      </c>
      <c r="E67" s="1188"/>
      <c r="F67" s="1189"/>
      <c r="O67" s="1895" t="s">
        <v>1042</v>
      </c>
      <c r="P67" s="1886" t="s">
        <v>1562</v>
      </c>
      <c r="Q67" s="1934">
        <f ca="1">L51</f>
        <v>19851</v>
      </c>
      <c r="R67" s="1887" t="s">
        <v>1582</v>
      </c>
    </row>
    <row r="68" spans="1:18" s="1843" customFormat="1" ht="16.2" thickBot="1">
      <c r="A68" s="1167" t="s">
        <v>1032</v>
      </c>
      <c r="B68" s="1168" t="s">
        <v>1485</v>
      </c>
      <c r="C68" s="346">
        <f ca="1">ROUND(C67*(1-((1+F70)/(1+F68))^F69)/(F68-F70),0)</f>
        <v>-6624</v>
      </c>
      <c r="D68" s="1185" t="s">
        <v>1469</v>
      </c>
      <c r="E68" s="1170" t="s">
        <v>1470</v>
      </c>
      <c r="F68" s="357">
        <f ca="1">F40</f>
        <v>5.6000000000000001E-2</v>
      </c>
      <c r="O68" s="1895" t="s">
        <v>1043</v>
      </c>
      <c r="P68" s="1935" t="s">
        <v>1583</v>
      </c>
      <c r="Q68" s="1887">
        <f ca="1">ROUND(Q69-Q70*Q71,0)</f>
        <v>1207</v>
      </c>
      <c r="R68" s="1887" t="s">
        <v>1051</v>
      </c>
    </row>
    <row r="69" spans="1:18" s="1843" customFormat="1" ht="13.8" thickBot="1">
      <c r="A69" s="1171"/>
      <c r="B69" s="1172"/>
      <c r="C69" s="351"/>
      <c r="D69" s="1190" t="s">
        <v>1473</v>
      </c>
      <c r="E69" s="1170" t="s">
        <v>1474</v>
      </c>
      <c r="F69" s="379">
        <f ca="1">F41</f>
        <v>38.15</v>
      </c>
      <c r="O69" s="1895" t="s">
        <v>1048</v>
      </c>
      <c r="P69" s="1935" t="s">
        <v>1584</v>
      </c>
      <c r="Q69" s="1887">
        <f ca="1">C39</f>
        <v>1540</v>
      </c>
      <c r="R69" s="1887" t="s">
        <v>1529</v>
      </c>
    </row>
    <row r="70" spans="1:18" s="1843" customFormat="1" ht="13.8" thickBot="1">
      <c r="A70" s="1174"/>
      <c r="B70" s="1175"/>
      <c r="C70" s="355"/>
      <c r="D70" s="1186"/>
      <c r="E70" s="1170" t="s">
        <v>1477</v>
      </c>
      <c r="F70" s="1276"/>
      <c r="O70" s="1895" t="s">
        <v>1049</v>
      </c>
      <c r="P70" s="1935" t="s">
        <v>1585</v>
      </c>
      <c r="Q70" s="1887">
        <f ca="1">C13</f>
        <v>3921</v>
      </c>
      <c r="R70" s="1887" t="s">
        <v>1529</v>
      </c>
    </row>
    <row r="71" spans="1:18" s="1843" customFormat="1" ht="13.8" thickBot="1">
      <c r="A71" s="1191" t="s">
        <v>1033</v>
      </c>
      <c r="B71" s="1192" t="s">
        <v>1487</v>
      </c>
      <c r="C71" s="382">
        <f ca="1">ROUND(C68*10000/F71,0)</f>
        <v>-11297</v>
      </c>
      <c r="D71" s="1193" t="s">
        <v>1488</v>
      </c>
      <c r="E71" s="1194" t="s">
        <v>1489</v>
      </c>
      <c r="F71" s="385">
        <f ca="1">F43</f>
        <v>5863.5999999999985</v>
      </c>
      <c r="O71" s="1895" t="s">
        <v>1050</v>
      </c>
      <c r="P71" s="1935" t="s">
        <v>1586</v>
      </c>
      <c r="Q71" s="1898">
        <f ca="1">C76</f>
        <v>8.5000000000000006E-2</v>
      </c>
      <c r="R71" s="1887"/>
    </row>
    <row r="72" spans="1:18" s="1843" customFormat="1" ht="13.8" thickBot="1">
      <c r="B72" s="796"/>
      <c r="C72" s="796"/>
      <c r="O72" s="1895" t="s">
        <v>1044</v>
      </c>
      <c r="P72" s="1886" t="s">
        <v>1564</v>
      </c>
      <c r="Q72" s="1898">
        <f>L52</f>
        <v>0</v>
      </c>
      <c r="R72" s="1887"/>
    </row>
    <row r="73" spans="1:18" ht="16.2" thickBot="1">
      <c r="A73" s="1843"/>
      <c r="B73" s="796"/>
      <c r="C73" s="796"/>
      <c r="D73" s="1843"/>
      <c r="E73" s="1843"/>
      <c r="F73" s="1843"/>
      <c r="O73" s="1895" t="s">
        <v>1045</v>
      </c>
      <c r="P73" s="1886" t="s">
        <v>1567</v>
      </c>
      <c r="Q73" s="1887" t="e">
        <f ca="1">L58</f>
        <v>#DIV/0!</v>
      </c>
      <c r="R73" s="1887" t="s">
        <v>1568</v>
      </c>
    </row>
    <row r="74" spans="1:18" ht="13.8"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8" thickBot="1">
      <c r="A75" s="1843"/>
      <c r="B75" s="386" t="s">
        <v>1506</v>
      </c>
      <c r="C75" s="387">
        <f ca="1">ROUND(C13*C76,0)</f>
        <v>333</v>
      </c>
      <c r="D75" s="1843"/>
      <c r="E75" s="1843"/>
      <c r="F75" s="1843"/>
      <c r="K75" s="1869"/>
      <c r="L75" s="1843"/>
      <c r="O75" s="1885" t="s">
        <v>1046</v>
      </c>
      <c r="P75" s="1886" t="s">
        <v>1549</v>
      </c>
      <c r="Q75" s="1887">
        <f ca="1">Q65+Q66</f>
        <v>39254</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0.78400000000000003</v>
      </c>
    </row>
    <row r="80" spans="1:18">
      <c r="B80" s="386" t="s">
        <v>1511</v>
      </c>
      <c r="C80" s="318">
        <f ca="1">ROUND(C75/C39,3)</f>
        <v>0.216</v>
      </c>
    </row>
    <row r="81" spans="2:3">
      <c r="B81" s="314" t="s">
        <v>1512</v>
      </c>
      <c r="C81" s="282"/>
    </row>
    <row r="82" spans="2:3">
      <c r="B82" s="317" t="s">
        <v>1513</v>
      </c>
      <c r="C82" s="319">
        <f ca="1">1-C83</f>
        <v>0.9</v>
      </c>
    </row>
    <row r="83" spans="2:3">
      <c r="B83" s="317" t="s">
        <v>1514</v>
      </c>
      <c r="C83" s="318">
        <f ca="1">ROUND(C13/C40,3)</f>
        <v>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1" priority="1">
      <formula>$L$48&gt;$J$51</formula>
    </cfRule>
  </conditionalFormatting>
  <conditionalFormatting sqref="I55 I60">
    <cfRule type="expression" dxfId="150" priority="2">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A48" sqref="A4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1589</v>
      </c>
      <c r="B1" s="782"/>
      <c r="C1" s="1838" t="s">
        <v>3085</v>
      </c>
      <c r="D1" s="1821" t="s">
        <v>70</v>
      </c>
      <c r="E1" s="1822" t="s">
        <v>1387</v>
      </c>
      <c r="F1" s="1284">
        <f ca="1">J53</f>
        <v>38.15</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107843</v>
      </c>
      <c r="C2" s="1846" t="s">
        <v>1516</v>
      </c>
      <c r="D2" s="1846"/>
      <c r="E2" s="1847"/>
      <c r="F2" s="1848"/>
      <c r="G2" s="1849"/>
      <c r="H2" s="1841"/>
      <c r="I2" s="1841"/>
      <c r="J2" s="1841"/>
      <c r="K2" s="1842"/>
      <c r="L2" s="1841"/>
      <c r="M2" s="1841"/>
    </row>
    <row r="3" spans="1:37" ht="18" customHeight="1" thickBot="1">
      <c r="A3" s="1850" t="s">
        <v>1517</v>
      </c>
      <c r="B3" s="1851">
        <f ca="1">IF(ISERROR(B2*10000/F43),0,ROUND(B2*10000/F43,0))</f>
        <v>65719</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5057</v>
      </c>
      <c r="D5" s="1823" t="s">
        <v>1402</v>
      </c>
      <c r="E5" s="1294"/>
      <c r="F5" s="1295"/>
      <c r="G5" s="1852"/>
      <c r="H5" s="344">
        <v>1</v>
      </c>
      <c r="I5" s="345" t="s">
        <v>1401</v>
      </c>
      <c r="J5" s="1293">
        <f ca="1">J6+J10+J12</f>
        <v>6555</v>
      </c>
      <c r="K5" s="1823" t="s">
        <v>1402</v>
      </c>
      <c r="L5" s="1294"/>
      <c r="M5" s="1295"/>
    </row>
    <row r="6" spans="1:37" ht="18" customHeight="1">
      <c r="A6" s="1292" t="s">
        <v>1035</v>
      </c>
      <c r="B6" s="3563" t="s">
        <v>1403</v>
      </c>
      <c r="C6" s="1297">
        <f ca="1">ROUND(F6*F8*F7*(1-F9)/10000,0)</f>
        <v>5057</v>
      </c>
      <c r="D6" s="164" t="s">
        <v>3028</v>
      </c>
      <c r="E6" s="347" t="s">
        <v>1405</v>
      </c>
      <c r="F6" s="348">
        <f ca="1">INDIRECT("'数据-取费表'!u"&amp;$G$1)</f>
        <v>50567387</v>
      </c>
      <c r="G6" s="1852"/>
      <c r="H6" s="1292" t="s">
        <v>1035</v>
      </c>
      <c r="I6" s="3563" t="s">
        <v>1403</v>
      </c>
      <c r="J6" s="346">
        <f ca="1">ROUND(M6*M8*M7*(1-M9)/10000,0)</f>
        <v>6547</v>
      </c>
      <c r="K6" s="164" t="s">
        <v>3027</v>
      </c>
      <c r="L6" s="347" t="s">
        <v>1405</v>
      </c>
      <c r="M6" s="348">
        <f ca="1">INDIRECT("'数据-取费表'!z"&amp;$G$1)</f>
        <v>71161341.900000006</v>
      </c>
    </row>
    <row r="7" spans="1:37" ht="18" customHeight="1">
      <c r="A7" s="1296"/>
      <c r="B7" s="3564"/>
      <c r="C7" s="1298"/>
      <c r="D7" s="352"/>
      <c r="E7" s="2953" t="s">
        <v>1406</v>
      </c>
      <c r="F7" s="348">
        <f ca="1">IF(INDIRECT("'数据-取费表'!ah"&amp;$G$1)="",INDIRECT("'数据-取费表'!k"&amp;$G$1),INDIRECT("'数据-取费表'!ah"&amp;$G$1))</f>
        <v>1</v>
      </c>
      <c r="G7" s="1852"/>
      <c r="H7" s="349"/>
      <c r="I7" s="3564"/>
      <c r="J7" s="351"/>
      <c r="K7" s="352"/>
      <c r="L7" s="347" t="s">
        <v>1406</v>
      </c>
      <c r="M7" s="348">
        <f ca="1">F7</f>
        <v>1</v>
      </c>
    </row>
    <row r="8" spans="1:37" ht="18" customHeight="1">
      <c r="A8" s="349"/>
      <c r="B8" s="3564"/>
      <c r="C8" s="351"/>
      <c r="D8" s="352"/>
      <c r="E8" s="347" t="s">
        <v>1407</v>
      </c>
      <c r="F8" s="348">
        <f ca="1">INDIRECT("'数据-取费表'!ai"&amp;$G$1)</f>
        <v>1</v>
      </c>
      <c r="G8" s="1852"/>
      <c r="H8" s="349"/>
      <c r="I8" s="3564"/>
      <c r="J8" s="351"/>
      <c r="K8" s="352"/>
      <c r="L8" s="347" t="s">
        <v>1407</v>
      </c>
      <c r="M8" s="348">
        <f ca="1">INDIRECT("'数据-取费表'!ai"&amp;$G$1)</f>
        <v>1</v>
      </c>
    </row>
    <row r="9" spans="1:37" ht="18" customHeight="1">
      <c r="A9" s="349"/>
      <c r="B9" s="3565"/>
      <c r="C9" s="351"/>
      <c r="D9" s="352"/>
      <c r="E9" s="347" t="s">
        <v>1408</v>
      </c>
      <c r="F9" s="357">
        <f ca="1">INDIRECT("'数据-取费表'!w"&amp;$G$1)</f>
        <v>0</v>
      </c>
      <c r="G9" s="1852"/>
      <c r="H9" s="349"/>
      <c r="I9" s="3565"/>
      <c r="J9" s="351"/>
      <c r="K9" s="352"/>
      <c r="L9" s="358" t="s">
        <v>1408</v>
      </c>
      <c r="M9" s="359">
        <f ca="1">INDIRECT("'数据-取费表'!ab"&amp;$G$1)</f>
        <v>0.08</v>
      </c>
    </row>
    <row r="10" spans="1:37" ht="18" customHeight="1">
      <c r="A10" s="1292" t="s">
        <v>1039</v>
      </c>
      <c r="B10" s="1824" t="s">
        <v>1409</v>
      </c>
      <c r="C10" s="361">
        <f ca="1">ROUND(IF(F10="押一",C6/12*F11,IF(F10="押二",C6/12*2*F11,IF(F10="押三",C6/12*3*F11,C11*F11))),0)</f>
        <v>0</v>
      </c>
      <c r="D10" s="1825" t="s">
        <v>3036</v>
      </c>
      <c r="E10" s="358" t="s">
        <v>1410</v>
      </c>
      <c r="F10" s="1367" t="s">
        <v>3080</v>
      </c>
      <c r="G10" s="1852"/>
      <c r="H10" s="1292" t="s">
        <v>1039</v>
      </c>
      <c r="I10" s="1824" t="s">
        <v>1409</v>
      </c>
      <c r="J10" s="346">
        <f ca="1">ROUND(IF(M10="押一",J6/12*M11,IF(M10="押二",J6/12*2*M11,IF(M10="押三",J6/12*3*M11,J11*M11))),0)</f>
        <v>8</v>
      </c>
      <c r="K10" s="1825" t="s">
        <v>3036</v>
      </c>
      <c r="L10" s="358" t="s">
        <v>1410</v>
      </c>
      <c r="M10" s="1367" t="s">
        <v>3297</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10968</v>
      </c>
      <c r="D13" s="1332" t="s">
        <v>1415</v>
      </c>
      <c r="E13" s="1332" t="s">
        <v>1416</v>
      </c>
      <c r="F13" s="1333">
        <f ca="1">INDIRECT("'数据-取费表'!y"&amp;$G$1)</f>
        <v>0.93</v>
      </c>
      <c r="G13" s="1852"/>
      <c r="H13" s="1330">
        <v>2</v>
      </c>
      <c r="I13" s="1331" t="s">
        <v>1414</v>
      </c>
      <c r="J13" s="1291">
        <f ca="1">ROUND(J14*J15,0)</f>
        <v>10025</v>
      </c>
      <c r="K13" s="1338" t="s">
        <v>1415</v>
      </c>
      <c r="L13" s="1853"/>
      <c r="M13" s="1854"/>
    </row>
    <row r="14" spans="1:37" ht="18" customHeight="1">
      <c r="A14" s="1202" t="s">
        <v>1034</v>
      </c>
      <c r="B14" s="347" t="s">
        <v>1417</v>
      </c>
      <c r="C14" s="363">
        <f ca="1">INDIRECT("'数据-取费表'!m"&amp;$G$1)+INDIRECT("'数据-取费表'!t"&amp;$G$1)</f>
        <v>7462</v>
      </c>
      <c r="D14" s="2944" t="s">
        <v>1418</v>
      </c>
      <c r="E14" s="2942"/>
      <c r="F14" s="364"/>
      <c r="G14" s="1852"/>
      <c r="H14" s="1202" t="s">
        <v>1035</v>
      </c>
      <c r="I14" s="347" t="s">
        <v>1419</v>
      </c>
      <c r="J14" s="24">
        <f ca="1">C29</f>
        <v>11794</v>
      </c>
      <c r="K14" s="2952"/>
      <c r="L14" s="980"/>
      <c r="M14" s="981"/>
    </row>
    <row r="15" spans="1:37" s="1859" customFormat="1" ht="18" customHeight="1" thickBot="1">
      <c r="A15" s="1202" t="s">
        <v>1036</v>
      </c>
      <c r="B15" s="347" t="s">
        <v>1420</v>
      </c>
      <c r="C15" s="24">
        <f ca="1">ROUND(C14*F15,0)</f>
        <v>298</v>
      </c>
      <c r="D15" s="365" t="s">
        <v>1421</v>
      </c>
      <c r="E15" s="365" t="s">
        <v>1422</v>
      </c>
      <c r="F15" s="366">
        <f>'数据-取费表'!B33</f>
        <v>0.04</v>
      </c>
      <c r="G15" s="1855"/>
      <c r="H15" s="1340" t="s">
        <v>1039</v>
      </c>
      <c r="I15" s="1341" t="s">
        <v>1416</v>
      </c>
      <c r="J15" s="1350">
        <f ca="1">INDIRECT("'数据-取费表'!ad"&amp;$G$1)</f>
        <v>0.85</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1396</v>
      </c>
      <c r="K16" s="1338" t="s">
        <v>1425</v>
      </c>
      <c r="L16" s="2946"/>
      <c r="M16" s="1295"/>
    </row>
    <row r="17" spans="1:37" s="1859" customFormat="1" ht="18" customHeight="1">
      <c r="A17" s="1202" t="s">
        <v>1390</v>
      </c>
      <c r="B17" s="347" t="s">
        <v>1426</v>
      </c>
      <c r="C17" s="24">
        <f ca="1">ROUND(F17*(F43+INDIRECT("'数据-取费表'!S"&amp;$G$1))/10000,0)</f>
        <v>333</v>
      </c>
      <c r="D17" s="347" t="s">
        <v>1427</v>
      </c>
      <c r="E17" s="347" t="s">
        <v>1428</v>
      </c>
      <c r="F17" s="26">
        <f>'数据-取费表'!B35</f>
        <v>200</v>
      </c>
      <c r="G17" s="1855"/>
      <c r="H17" s="1202" t="s">
        <v>1035</v>
      </c>
      <c r="I17" s="347" t="s">
        <v>1429</v>
      </c>
      <c r="J17" s="24">
        <f ca="1">ROUND(IF(项目基本情况!B11="自然人",J5*M17,J18+J19+J20),1)</f>
        <v>1138.3</v>
      </c>
      <c r="K17" s="2944" t="s">
        <v>1430</v>
      </c>
      <c r="L17" s="2943"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112</v>
      </c>
      <c r="D18" s="347" t="s">
        <v>1421</v>
      </c>
      <c r="E18" s="347" t="s">
        <v>1422</v>
      </c>
      <c r="F18" s="367">
        <f>'数据-取费表'!B36</f>
        <v>1.4999999999999999E-2</v>
      </c>
      <c r="G18" s="1855"/>
      <c r="H18" s="1202" t="s">
        <v>1034</v>
      </c>
      <c r="I18" s="347" t="s">
        <v>1433</v>
      </c>
      <c r="J18" s="24">
        <f ca="1">ROUND(J5*M18/(1+'数据-取费表'!C42),2)</f>
        <v>349.6</v>
      </c>
      <c r="K18" s="2943"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8205</v>
      </c>
      <c r="D19" s="140" t="s">
        <v>1436</v>
      </c>
      <c r="E19" s="2951"/>
      <c r="F19" s="26"/>
      <c r="G19" s="1852"/>
      <c r="H19" s="1202" t="s">
        <v>1036</v>
      </c>
      <c r="I19" s="347" t="s">
        <v>1437</v>
      </c>
      <c r="J19" s="24">
        <f ca="1">IF(K19="按租金收入计税",ROUND(J5*M19,2),ROUND(C29*M19*0.7,2))</f>
        <v>786.6</v>
      </c>
      <c r="K19" s="1829" t="s">
        <v>3081</v>
      </c>
      <c r="L19" s="347" t="s">
        <v>1422</v>
      </c>
      <c r="M19" s="367">
        <f>IF(K19="按租金收入计税",'数据-取费表'!B51,'数据-取费表'!B50)</f>
        <v>0.12</v>
      </c>
    </row>
    <row r="20" spans="1:37" s="1859" customFormat="1" ht="18" customHeight="1">
      <c r="A20" s="1202" t="s">
        <v>1039</v>
      </c>
      <c r="B20" s="347" t="s">
        <v>1439</v>
      </c>
      <c r="C20" s="24">
        <f ca="1">ROUND(C19*F20,0)</f>
        <v>164</v>
      </c>
      <c r="D20" s="369" t="s">
        <v>1440</v>
      </c>
      <c r="E20" s="347" t="s">
        <v>1422</v>
      </c>
      <c r="F20" s="367">
        <f>'数据-取费表'!B37</f>
        <v>0.02</v>
      </c>
      <c r="G20" s="1855"/>
      <c r="H20" s="1202" t="s">
        <v>1389</v>
      </c>
      <c r="I20" s="164" t="s">
        <v>1441</v>
      </c>
      <c r="J20" s="25">
        <f ca="1">ROUND(M20*M21/10000,2)</f>
        <v>2.08</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1737.35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2951"/>
      <c r="F22" s="26"/>
      <c r="G22" s="1852"/>
      <c r="H22" s="1202" t="s">
        <v>1039</v>
      </c>
      <c r="I22" s="347" t="s">
        <v>1449</v>
      </c>
      <c r="J22" s="24">
        <f ca="1">ROUND(J14*M22,1)</f>
        <v>176.9</v>
      </c>
      <c r="K22" s="2943"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398</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15</v>
      </c>
      <c r="K23" s="2943"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1392</v>
      </c>
      <c r="I24" s="1341" t="s">
        <v>1439</v>
      </c>
      <c r="J24" s="1342">
        <f ca="1">ROUND(J5*M24,1)</f>
        <v>65.599999999999994</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2951"/>
      <c r="F25" s="26"/>
      <c r="G25" s="1852"/>
      <c r="H25" s="1330" t="s">
        <v>1031</v>
      </c>
      <c r="I25" s="1345" t="s">
        <v>1463</v>
      </c>
      <c r="J25" s="355">
        <f ca="1">J5-J16</f>
        <v>5159</v>
      </c>
      <c r="K25" s="1346" t="s">
        <v>1464</v>
      </c>
      <c r="L25" s="1347"/>
      <c r="M25" s="1348"/>
    </row>
    <row r="26" spans="1:37">
      <c r="A26" s="1202" t="s">
        <v>1034</v>
      </c>
      <c r="B26" s="347" t="s">
        <v>1465</v>
      </c>
      <c r="C26" s="24">
        <f ca="1">ROUND((C19+C20)*F26,0)</f>
        <v>2092</v>
      </c>
      <c r="D26" s="369" t="s">
        <v>1466</v>
      </c>
      <c r="E26" s="358" t="s">
        <v>1467</v>
      </c>
      <c r="F26" s="357">
        <f ca="1">INDIRECT("'数据-取费表'!q"&amp;$G$1)</f>
        <v>0.25</v>
      </c>
      <c r="G26" s="1852"/>
      <c r="H26" s="344" t="s">
        <v>1032</v>
      </c>
      <c r="I26" s="345" t="s">
        <v>1468</v>
      </c>
      <c r="J26" s="346">
        <f ca="1">IF(J5&lt;&gt;0,ROUND(J25*(1-((1+M28)/(1+M26))^M27)/(M26-M28),0),0)</f>
        <v>119412</v>
      </c>
      <c r="K26" s="370" t="s">
        <v>1469</v>
      </c>
      <c r="L26" s="347" t="s">
        <v>1470</v>
      </c>
      <c r="M26" s="357">
        <f ca="1">INDIRECT("'数据-取费表'!I"&amp;$G$1)</f>
        <v>5.6000000000000001E-2</v>
      </c>
    </row>
    <row r="27" spans="1:37" ht="18" customHeight="1">
      <c r="A27" s="1202" t="s">
        <v>1036</v>
      </c>
      <c r="B27" s="347" t="s">
        <v>1471</v>
      </c>
      <c r="C27" s="24">
        <f ca="1">ROUND(F21*F26,4)</f>
        <v>5.0000000000000001E-3</v>
      </c>
      <c r="D27" s="369" t="s">
        <v>1472</v>
      </c>
      <c r="E27" s="365"/>
      <c r="F27" s="366"/>
      <c r="G27" s="1852"/>
      <c r="H27" s="349"/>
      <c r="I27" s="350"/>
      <c r="J27" s="351"/>
      <c r="K27" s="378" t="s">
        <v>1473</v>
      </c>
      <c r="L27" s="347" t="s">
        <v>1474</v>
      </c>
      <c r="M27" s="379">
        <f ca="1">INDIRECT("'数据-取费表'!ag"&amp;$G$1)</f>
        <v>33.14</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3.5000000000000003E-2</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11794</v>
      </c>
      <c r="D29" s="1343"/>
      <c r="E29" s="1341"/>
      <c r="F29" s="1344"/>
      <c r="G29" s="1855"/>
      <c r="H29" s="380" t="s">
        <v>1033</v>
      </c>
      <c r="I29" s="381" t="s">
        <v>1479</v>
      </c>
      <c r="J29" s="382">
        <f ca="1">ROUND(J26/(1+F40)^F41,0)</f>
        <v>90885</v>
      </c>
      <c r="K29" s="383" t="s">
        <v>1480</v>
      </c>
      <c r="L29" s="384"/>
      <c r="M29" s="385">
        <f ca="1">INDIRECT("'数据-取费表'!k"&amp;$G$1)</f>
        <v>16409.68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1123</v>
      </c>
      <c r="D30" s="1338" t="s">
        <v>1425</v>
      </c>
      <c r="E30" s="2946"/>
      <c r="F30" s="1295"/>
      <c r="G30" s="1852"/>
      <c r="H30" s="745"/>
      <c r="I30" s="746"/>
      <c r="J30" s="747"/>
      <c r="K30" s="748"/>
      <c r="L30" s="749"/>
      <c r="M30" s="750"/>
    </row>
    <row r="31" spans="1:37" ht="18" customHeight="1">
      <c r="A31" s="1202" t="s">
        <v>1035</v>
      </c>
      <c r="B31" s="347" t="s">
        <v>1429</v>
      </c>
      <c r="C31" s="24">
        <f ca="1">ROUND(IF(项目基本情况!B11="自然人",C5*F31,C32+C33+C34),1)</f>
        <v>878.6</v>
      </c>
      <c r="D31" s="2944" t="s">
        <v>1430</v>
      </c>
      <c r="E31" s="2943"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269.70999999999998</v>
      </c>
      <c r="D32" s="2943"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606.84</v>
      </c>
      <c r="D33" s="1829" t="s">
        <v>3081</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2.08</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1737.35</v>
      </c>
      <c r="G35" s="1852"/>
      <c r="H35" s="745"/>
      <c r="I35" s="1861"/>
      <c r="J35" s="1862"/>
      <c r="K35" s="1863"/>
      <c r="L35" s="1860"/>
      <c r="M35" s="1860"/>
    </row>
    <row r="36" spans="1:18" ht="18" customHeight="1">
      <c r="A36" s="1353" t="s">
        <v>1039</v>
      </c>
      <c r="B36" s="347" t="s">
        <v>1449</v>
      </c>
      <c r="C36" s="24">
        <f ca="1">ROUND(C29*F36,1)</f>
        <v>176.9</v>
      </c>
      <c r="D36" s="2943" t="s">
        <v>1482</v>
      </c>
      <c r="E36" s="347" t="s">
        <v>1422</v>
      </c>
      <c r="F36" s="374">
        <f ca="1">INDIRECT("'数据-取费表'!Ak"&amp;$G$1)</f>
        <v>1.4999999999999999E-2</v>
      </c>
      <c r="G36" s="1852"/>
      <c r="H36" s="1860"/>
      <c r="I36" s="1861"/>
      <c r="J36" s="1862"/>
      <c r="K36" s="751"/>
      <c r="L36" s="1860"/>
      <c r="M36" s="1860"/>
    </row>
    <row r="37" spans="1:18" ht="18" customHeight="1">
      <c r="A37" s="1202" t="s">
        <v>1075</v>
      </c>
      <c r="B37" s="347" t="s">
        <v>1453</v>
      </c>
      <c r="C37" s="24">
        <f ca="1">ROUND(C13*F37,1)</f>
        <v>16.5</v>
      </c>
      <c r="D37" s="2943" t="s">
        <v>1454</v>
      </c>
      <c r="E37" s="347" t="s">
        <v>1422</v>
      </c>
      <c r="F37" s="376">
        <f ca="1">INDIRECT("'数据-取费表'!Al"&amp;$G$1)</f>
        <v>1.5E-3</v>
      </c>
      <c r="G37" s="1852"/>
      <c r="H37" s="1860"/>
      <c r="I37" s="1861"/>
      <c r="J37" s="1862"/>
      <c r="K37" s="751"/>
      <c r="L37" s="1860"/>
      <c r="M37" s="1860"/>
    </row>
    <row r="38" spans="1:18" ht="18" customHeight="1" thickBot="1">
      <c r="A38" s="1340" t="s">
        <v>1392</v>
      </c>
      <c r="B38" s="1341" t="s">
        <v>1439</v>
      </c>
      <c r="C38" s="1342">
        <f ca="1">ROUND(C5*F38,1)</f>
        <v>50.6</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5">
        <f ca="1">C5-C30</f>
        <v>3934</v>
      </c>
      <c r="D39" s="1346" t="s">
        <v>1464</v>
      </c>
      <c r="E39" s="1347"/>
      <c r="F39" s="1348"/>
      <c r="G39" s="1852"/>
      <c r="H39" s="1860"/>
      <c r="I39" s="1861"/>
      <c r="J39" s="1862"/>
      <c r="K39" s="1866"/>
      <c r="L39" s="1860"/>
      <c r="M39" s="1860"/>
    </row>
    <row r="40" spans="1:18" ht="18" customHeight="1">
      <c r="A40" s="344" t="s">
        <v>1032</v>
      </c>
      <c r="B40" s="345" t="s">
        <v>1485</v>
      </c>
      <c r="C40" s="346">
        <f ca="1">ROUND(C39*(1-((1+F42)/(1+F40))^F41)/(F40-F42),0)</f>
        <v>16782</v>
      </c>
      <c r="D40" s="370" t="s">
        <v>1469</v>
      </c>
      <c r="E40" s="347" t="s">
        <v>1470</v>
      </c>
      <c r="F40" s="357">
        <f ca="1">INDIRECT("'数据-取费表'!I"&amp;$G$1)</f>
        <v>5.6000000000000001E-2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5.01</v>
      </c>
      <c r="G41" s="1852"/>
      <c r="H41" s="732"/>
      <c r="I41" s="1861"/>
      <c r="J41" s="1862"/>
      <c r="K41" s="751"/>
      <c r="L41" s="732"/>
      <c r="M41" s="732"/>
    </row>
    <row r="42" spans="1:18" ht="18" customHeight="1">
      <c r="A42" s="353"/>
      <c r="B42" s="354"/>
      <c r="C42" s="355"/>
      <c r="D42" s="373"/>
      <c r="E42" s="347" t="s">
        <v>1477</v>
      </c>
      <c r="F42" s="357">
        <f ca="1">INDIRECT("'数据-取费表'!v"&amp;$G$1)</f>
        <v>0</v>
      </c>
      <c r="G42" s="1852"/>
      <c r="H42" s="732"/>
      <c r="I42" s="1861"/>
      <c r="J42" s="1862"/>
      <c r="K42" s="751"/>
      <c r="L42" s="732"/>
      <c r="M42" s="732"/>
    </row>
    <row r="43" spans="1:18" ht="18" customHeight="1" thickBot="1">
      <c r="A43" s="380" t="s">
        <v>1033</v>
      </c>
      <c r="B43" s="381" t="s">
        <v>1487</v>
      </c>
      <c r="C43" s="382">
        <f ca="1">ROUND(C40*10000/F43,0)</f>
        <v>10227</v>
      </c>
      <c r="D43" s="383" t="s">
        <v>1488</v>
      </c>
      <c r="E43" s="384" t="s">
        <v>1489</v>
      </c>
      <c r="F43" s="385">
        <f ca="1">INDIRECT("'数据-取费表'!k"&amp;$G$1)</f>
        <v>16409.68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8" thickBot="1">
      <c r="A46" s="1871" t="s">
        <v>1520</v>
      </c>
      <c r="C46" s="1872">
        <f ca="1">C68-C40</f>
        <v>2425</v>
      </c>
      <c r="D46" s="1873" t="str">
        <f>C2</f>
        <v>万元</v>
      </c>
      <c r="E46" s="1867"/>
      <c r="F46" s="1867"/>
      <c r="I46" s="1874" t="s">
        <v>1521</v>
      </c>
      <c r="J46" s="1875"/>
      <c r="K46" s="1876"/>
      <c r="L46" s="1877">
        <f ca="1">IF(M47="住宅",0,IF(L48&gt;J51,L60,J60))</f>
        <v>176</v>
      </c>
      <c r="O46" s="1878" t="s">
        <v>1522</v>
      </c>
      <c r="P46" s="1879" t="s">
        <v>1523</v>
      </c>
      <c r="Q46" s="1880" t="s">
        <v>1524</v>
      </c>
      <c r="R46" s="1880" t="s">
        <v>1525</v>
      </c>
    </row>
    <row r="47" spans="1:18" s="1843" customFormat="1" ht="13.8" thickBot="1">
      <c r="A47" s="1166" t="s">
        <v>1396</v>
      </c>
      <c r="B47" s="1198" t="s">
        <v>1397</v>
      </c>
      <c r="C47" s="1368" t="s">
        <v>1398</v>
      </c>
      <c r="D47" s="1198" t="s">
        <v>1399</v>
      </c>
      <c r="E47" s="1280" t="s">
        <v>1400</v>
      </c>
      <c r="F47" s="1281"/>
      <c r="G47" s="792"/>
      <c r="I47" s="1881" t="s">
        <v>1526</v>
      </c>
      <c r="J47" s="1882" t="s">
        <v>3082</v>
      </c>
      <c r="K47" s="1883" t="s">
        <v>1527</v>
      </c>
      <c r="L47" s="1884">
        <f ca="1">INDIRECT("'数据-取费表'!d"&amp;$G$1)</f>
        <v>50</v>
      </c>
      <c r="M47" s="1839" t="str">
        <f>IF(ISNUMBER(FIND("住宅",C1)),"住宅","非住宅")</f>
        <v>非住宅</v>
      </c>
      <c r="O47" s="1885" t="s">
        <v>1040</v>
      </c>
      <c r="P47" s="1886" t="s">
        <v>1528</v>
      </c>
      <c r="Q47" s="1887">
        <f ca="1">C40+J29</f>
        <v>107667</v>
      </c>
      <c r="R47" s="1887" t="s">
        <v>1529</v>
      </c>
    </row>
    <row r="48" spans="1:18" s="1843" customFormat="1" ht="40.200000000000003" thickBot="1">
      <c r="A48" s="1361" t="s">
        <v>1135</v>
      </c>
      <c r="B48" s="345" t="s">
        <v>1401</v>
      </c>
      <c r="C48" s="2950">
        <f ca="1">C49+C53+C55</f>
        <v>5398</v>
      </c>
      <c r="D48" s="1363"/>
      <c r="E48" s="1364"/>
      <c r="F48" s="1182"/>
      <c r="G48" s="792"/>
      <c r="H48" s="793"/>
      <c r="I48" s="1888" t="s">
        <v>1530</v>
      </c>
      <c r="J48" s="1889" t="s">
        <v>3083</v>
      </c>
      <c r="K48" s="1890" t="s">
        <v>1531</v>
      </c>
      <c r="L48" s="1891">
        <f ca="1">INDIRECT("'数据-取费表'!f"&amp;$G$1)</f>
        <v>38.15</v>
      </c>
      <c r="O48" s="1885" t="s">
        <v>1041</v>
      </c>
      <c r="P48" s="1886" t="s">
        <v>1532</v>
      </c>
      <c r="Q48" s="1887">
        <f ca="1">J60</f>
        <v>176</v>
      </c>
      <c r="R48" s="1887" t="s">
        <v>1533</v>
      </c>
    </row>
    <row r="49" spans="1:18" s="1843" customFormat="1" ht="13.8" thickBot="1">
      <c r="A49" s="1195" t="s">
        <v>1136</v>
      </c>
      <c r="B49" s="1830" t="s">
        <v>1490</v>
      </c>
      <c r="C49" s="1365">
        <f ca="1">ROUND(F49*F51*F50*(1-F52)/10000,0)</f>
        <v>5391</v>
      </c>
      <c r="D49" s="1277" t="s">
        <v>3027</v>
      </c>
      <c r="E49" s="1831" t="s">
        <v>1491</v>
      </c>
      <c r="F49" s="1282">
        <f ca="1">ROUND(10*365*F71,0)</f>
        <v>59895332</v>
      </c>
      <c r="G49" s="1892"/>
      <c r="H49" s="793"/>
      <c r="I49" s="1888" t="s">
        <v>1534</v>
      </c>
      <c r="J49" s="1893">
        <v>2014</v>
      </c>
      <c r="K49" s="1890" t="s">
        <v>1535</v>
      </c>
      <c r="L49" s="1894"/>
      <c r="O49" s="1895" t="s">
        <v>1042</v>
      </c>
      <c r="P49" s="1886" t="s">
        <v>1536</v>
      </c>
      <c r="Q49" s="1887">
        <f ca="1">C29</f>
        <v>11794</v>
      </c>
      <c r="R49" s="1887" t="s">
        <v>1529</v>
      </c>
    </row>
    <row r="50" spans="1:18" s="1843" customFormat="1" ht="13.8" thickBot="1">
      <c r="A50" s="1196"/>
      <c r="B50" s="1199"/>
      <c r="C50" s="1369"/>
      <c r="D50" s="1173"/>
      <c r="E50" s="1278" t="s">
        <v>1406</v>
      </c>
      <c r="F50" s="1279">
        <f ca="1">F7</f>
        <v>1</v>
      </c>
      <c r="H50" s="793"/>
      <c r="I50" s="1888" t="s">
        <v>1537</v>
      </c>
      <c r="J50" s="1896">
        <f>SUMPRODUCT((I63:I65=J47)*(J62:L62=J48)*(J63:L65))</f>
        <v>60</v>
      </c>
      <c r="K50" s="1890" t="s">
        <v>1538</v>
      </c>
      <c r="L50" s="1894"/>
      <c r="M50" s="1897"/>
      <c r="O50" s="1895" t="s">
        <v>1043</v>
      </c>
      <c r="P50" s="1886" t="s">
        <v>1539</v>
      </c>
      <c r="Q50" s="1898">
        <f ca="1">J58</f>
        <v>0.4</v>
      </c>
      <c r="R50" s="1887"/>
    </row>
    <row r="51" spans="1:18" s="1843" customFormat="1" ht="13.8" thickBot="1">
      <c r="A51" s="1197"/>
      <c r="B51" s="1199"/>
      <c r="C51" s="1200"/>
      <c r="D51" s="1173"/>
      <c r="E51" s="1201" t="s">
        <v>1407</v>
      </c>
      <c r="F51" s="348">
        <f ca="1">F8</f>
        <v>1</v>
      </c>
      <c r="I51" s="1899" t="s">
        <v>1540</v>
      </c>
      <c r="J51" s="1900">
        <f>IF(J49="",J50,J49+J50-YEAR('数据-取费表'!B2))</f>
        <v>56</v>
      </c>
      <c r="K51" s="1901" t="s">
        <v>1541</v>
      </c>
      <c r="L51" s="1902">
        <f ca="1">ROUND(-PV(INDIRECT("'数据-取费表'!h"&amp;$G$1),L48,(C39-C13*C76),0),0)</f>
        <v>49380</v>
      </c>
      <c r="M51" s="1903"/>
      <c r="O51" s="1895" t="s">
        <v>1044</v>
      </c>
      <c r="P51" s="1886" t="s">
        <v>1542</v>
      </c>
      <c r="Q51" s="1898">
        <f>J52</f>
        <v>0.09</v>
      </c>
      <c r="R51" s="1887"/>
    </row>
    <row r="52" spans="1:18" s="1843" customFormat="1" ht="13.8" thickBot="1">
      <c r="A52" s="1197"/>
      <c r="B52" s="1199"/>
      <c r="C52" s="1200"/>
      <c r="D52" s="1173"/>
      <c r="E52" s="1201" t="s">
        <v>1408</v>
      </c>
      <c r="F52" s="1276">
        <v>0.1</v>
      </c>
      <c r="I52" s="1904" t="s">
        <v>1543</v>
      </c>
      <c r="J52" s="1905">
        <v>0.09</v>
      </c>
      <c r="K52" s="1904" t="s">
        <v>1544</v>
      </c>
      <c r="L52" s="1905"/>
      <c r="O52" s="1895" t="s">
        <v>1045</v>
      </c>
      <c r="P52" s="1886" t="s">
        <v>1545</v>
      </c>
      <c r="Q52" s="1887">
        <f ca="1">J53</f>
        <v>38.15</v>
      </c>
      <c r="R52" s="1887" t="s">
        <v>1546</v>
      </c>
    </row>
    <row r="53" spans="1:18" s="1843" customFormat="1" ht="36.6" thickBot="1">
      <c r="A53" s="1406" t="s">
        <v>1137</v>
      </c>
      <c r="B53" s="1832" t="s">
        <v>1409</v>
      </c>
      <c r="C53" s="361">
        <f ca="1">ROUND(IF(F53="押一",C49/12*F11,IF(F53="押二",C49/12*2*F11,IF(F53="押三",C49/12*3*F11,C54*F11))),0)</f>
        <v>7</v>
      </c>
      <c r="D53" s="1825" t="s">
        <v>3036</v>
      </c>
      <c r="E53" s="358" t="s">
        <v>1410</v>
      </c>
      <c r="F53" s="1367" t="s">
        <v>3297</v>
      </c>
      <c r="I53" s="1906" t="s">
        <v>1547</v>
      </c>
      <c r="J53" s="1907">
        <f ca="1">IF(M47="住宅",IF(D1="——",MAX(J51,L48),IF(D1="在建（套用方法）",MAX(J51,L48-'数据-取费表'!B24),MAX(J51,L48-'数据-取费表'!B20))),IF(D1="——",MIN(J51,L48),IF(D1="在建（套用方法）",MIN(J51,L48-'数据-取费表'!B24),IF(D1="土地（套用方法）",MIN(J51,L48-'数据-取费表'!B20)))))</f>
        <v>38.15</v>
      </c>
      <c r="K53" s="3566" t="s">
        <v>1548</v>
      </c>
      <c r="L53" s="3567"/>
      <c r="O53" s="1885" t="s">
        <v>1046</v>
      </c>
      <c r="P53" s="1886" t="s">
        <v>1549</v>
      </c>
      <c r="Q53" s="1887">
        <f ca="1">Q47+Q48</f>
        <v>107843</v>
      </c>
      <c r="R53" s="1887" t="s">
        <v>1047</v>
      </c>
    </row>
    <row r="54" spans="1:18" s="1843" customFormat="1" ht="24.6" thickBot="1">
      <c r="A54" s="1407"/>
      <c r="B54" s="1826" t="s">
        <v>1388</v>
      </c>
      <c r="C54" s="1179"/>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8" thickBot="1">
      <c r="A55" s="1334" t="s">
        <v>1075</v>
      </c>
      <c r="B55" s="1828" t="s">
        <v>1413</v>
      </c>
      <c r="C55" s="1335"/>
      <c r="D55" s="1825"/>
      <c r="E55" s="2947"/>
      <c r="F55" s="1908"/>
      <c r="I55" s="1911" t="s">
        <v>1551</v>
      </c>
      <c r="J55" s="1912">
        <f ca="1">ROUND(IF(J47="钢混",J57/J50,1-(1-2%)*(J50-J57)/J50),3)</f>
        <v>0.29799999999999999</v>
      </c>
      <c r="K55" s="1913" t="s">
        <v>1552</v>
      </c>
      <c r="L55" s="1914" t="s">
        <v>1553</v>
      </c>
      <c r="O55" s="1878" t="s">
        <v>1522</v>
      </c>
      <c r="P55" s="1879" t="s">
        <v>1523</v>
      </c>
      <c r="Q55" s="1880" t="s">
        <v>1524</v>
      </c>
      <c r="R55" s="1880" t="s">
        <v>1525</v>
      </c>
    </row>
    <row r="56" spans="1:18" s="1843" customFormat="1" ht="37.200000000000003" thickTop="1" thickBot="1">
      <c r="A56" s="1177">
        <v>2</v>
      </c>
      <c r="B56" s="1178" t="s">
        <v>1414</v>
      </c>
      <c r="C56" s="276">
        <f ca="1">C13</f>
        <v>10968</v>
      </c>
      <c r="D56" s="1915"/>
      <c r="E56" s="1916"/>
      <c r="F56" s="1908"/>
      <c r="I56" s="1917" t="s">
        <v>1554</v>
      </c>
      <c r="J56" s="1918" t="s">
        <v>3084</v>
      </c>
      <c r="K56" s="1888" t="s">
        <v>1555</v>
      </c>
      <c r="L56" s="1891" t="str">
        <f ca="1">IF(L48&lt;J51,"——",L48-J53)</f>
        <v>——</v>
      </c>
      <c r="O56" s="1885" t="s">
        <v>1040</v>
      </c>
      <c r="P56" s="1886" t="s">
        <v>1528</v>
      </c>
      <c r="Q56" s="1887">
        <f ca="1">C40+J29</f>
        <v>107667</v>
      </c>
      <c r="R56" s="1887" t="s">
        <v>1529</v>
      </c>
    </row>
    <row r="57" spans="1:18" s="1843" customFormat="1" ht="24.6" thickBot="1">
      <c r="A57" s="1919"/>
      <c r="B57" s="1170" t="s">
        <v>1478</v>
      </c>
      <c r="C57" s="282">
        <f ca="1">C29</f>
        <v>11794</v>
      </c>
      <c r="D57" s="1920"/>
      <c r="E57" s="1921"/>
      <c r="F57" s="1922"/>
      <c r="I57" s="1923" t="s">
        <v>1556</v>
      </c>
      <c r="J57" s="1924">
        <f ca="1">IF(OR(M47="住宅",J51&lt;L48,J56="是"),"——",J51-L48)</f>
        <v>17.850000000000001</v>
      </c>
      <c r="K57" s="1888" t="s">
        <v>1557</v>
      </c>
      <c r="L57" s="1891" t="str">
        <f ca="1">IF(L48&lt;J51,"——",IF(L55="比较法",L49,IF(L55="基准地价",L50,L51)))</f>
        <v>——</v>
      </c>
      <c r="O57" s="1885" t="s">
        <v>1041</v>
      </c>
      <c r="P57" s="1886" t="s">
        <v>1558</v>
      </c>
      <c r="Q57" s="1887">
        <f ca="1">L60</f>
        <v>0</v>
      </c>
      <c r="R57" s="1887" t="s">
        <v>1559</v>
      </c>
    </row>
    <row r="58" spans="1:18" s="1843" customFormat="1" ht="24.6" thickBot="1">
      <c r="A58" s="360" t="s">
        <v>1030</v>
      </c>
      <c r="B58" s="1178" t="s">
        <v>1424</v>
      </c>
      <c r="C58" s="361">
        <f ca="1">ROUND(C59+C64+C65+C66,0)</f>
        <v>1185</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6" thickBot="1">
      <c r="A59" s="1202" t="s">
        <v>1035</v>
      </c>
      <c r="B59" s="1170" t="s">
        <v>1429</v>
      </c>
      <c r="C59" s="24">
        <f ca="1">ROUND(IF(项目基本情况!B11="自然人",C48*F59,C60+C61+C62),1)</f>
        <v>937.7</v>
      </c>
      <c r="D59" s="1183" t="s">
        <v>1430</v>
      </c>
      <c r="E59" s="1184" t="s">
        <v>1431</v>
      </c>
      <c r="F59" s="368" t="str">
        <f ca="1">IF(项目基本情况!B11="企业","",IF(INDIRECT("'数据-取费表'!c"&amp;$G$1)="住宅",5%,IF(F49*F50*F51/12/(1+'数据-取费表'!C42)&gt;20000,12%,7%)))</f>
        <v/>
      </c>
      <c r="I59" s="1923" t="s">
        <v>1563</v>
      </c>
      <c r="J59" s="1924">
        <f ca="1">IF(OR(M47="住宅",J51&lt;L48,J56="是"),"——",ROUND(C29*J58,0))</f>
        <v>4718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2" thickBot="1">
      <c r="A60" s="1202" t="s">
        <v>1034</v>
      </c>
      <c r="B60" s="1170" t="s">
        <v>1433</v>
      </c>
      <c r="C60" s="24">
        <f ca="1">IF(项目基本情况!B11="自然人","——",ROUND(C48*F60/(1+'数据-取费表'!C42),2))</f>
        <v>287.89</v>
      </c>
      <c r="D60" s="1184" t="s">
        <v>1434</v>
      </c>
      <c r="E60" s="1170" t="s">
        <v>1422</v>
      </c>
      <c r="F60" s="377">
        <f t="shared" ref="F60:F66" si="0">F32</f>
        <v>5.6000000000000001E-2</v>
      </c>
      <c r="I60" s="1926" t="s">
        <v>1565</v>
      </c>
      <c r="J60" s="1927">
        <f ca="1">IF(OR(M47="住宅",J51&lt;L48,J56="是"),"0",ROUND(J59/(1+J52)^J53,0))</f>
        <v>176</v>
      </c>
      <c r="K60" s="1928" t="s">
        <v>1566</v>
      </c>
      <c r="L60" s="1927">
        <f ca="1">IF(OR(M47="住宅",L48&lt;J51),0,ROUND(L57*(L58/L59-1),0))</f>
        <v>0</v>
      </c>
      <c r="O60" s="1895" t="s">
        <v>1044</v>
      </c>
      <c r="P60" s="1886" t="s">
        <v>1567</v>
      </c>
      <c r="Q60" s="1887" t="e">
        <f ca="1">L58</f>
        <v>#DIV/0!</v>
      </c>
      <c r="R60" s="1887" t="s">
        <v>1568</v>
      </c>
    </row>
    <row r="61" spans="1:18" s="1843" customFormat="1" ht="13.8" thickBot="1">
      <c r="A61" s="1202" t="s">
        <v>1492</v>
      </c>
      <c r="B61" s="1170" t="s">
        <v>1437</v>
      </c>
      <c r="C61" s="24">
        <f ca="1">IF(项目基本情况!B11="自然人","——",IF(D61="按租金收入计税",ROUND(C48*F61,2),IF(D61="按房产原值计税",ROUND(C57*F61*0.7,2),INDIRECT("'数据-取费表'!Aj"&amp;$G$1))))</f>
        <v>647.76</v>
      </c>
      <c r="D61" s="1829" t="s">
        <v>3081</v>
      </c>
      <c r="E61" s="1170"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8" thickBot="1">
      <c r="A62" s="1202" t="s">
        <v>1495</v>
      </c>
      <c r="B62" s="1169" t="s">
        <v>1441</v>
      </c>
      <c r="C62" s="25">
        <f ca="1">IF(项目基本情况!B11="自然人","——",ROUND(F62*F63/10000,2))</f>
        <v>2.08</v>
      </c>
      <c r="D62" s="1185" t="s">
        <v>1442</v>
      </c>
      <c r="E62" s="1170" t="s">
        <v>1443</v>
      </c>
      <c r="F62" s="371">
        <f t="shared" si="0"/>
        <v>12</v>
      </c>
      <c r="I62" s="1930" t="s">
        <v>1570</v>
      </c>
      <c r="J62" s="1931" t="s">
        <v>1571</v>
      </c>
      <c r="K62" s="1931" t="s">
        <v>1572</v>
      </c>
      <c r="L62" s="1931" t="s">
        <v>1573</v>
      </c>
      <c r="M62" s="1932" t="s">
        <v>1574</v>
      </c>
      <c r="O62" s="1885" t="s">
        <v>1046</v>
      </c>
      <c r="P62" s="1886" t="s">
        <v>1549</v>
      </c>
      <c r="Q62" s="1887">
        <f ca="1">Q56+Q57</f>
        <v>107667</v>
      </c>
      <c r="R62" s="1887" t="s">
        <v>1047</v>
      </c>
    </row>
    <row r="63" spans="1:18" s="1843" customFormat="1" ht="13.8" thickBot="1">
      <c r="A63" s="372"/>
      <c r="B63" s="1176"/>
      <c r="C63" s="29"/>
      <c r="D63" s="1186"/>
      <c r="E63" s="1170" t="s">
        <v>1447</v>
      </c>
      <c r="F63" s="348">
        <f t="shared" ca="1" si="0"/>
        <v>1737.35</v>
      </c>
      <c r="I63" s="1930" t="s">
        <v>1576</v>
      </c>
      <c r="J63" s="1931">
        <v>70</v>
      </c>
      <c r="K63" s="1931">
        <v>50</v>
      </c>
      <c r="L63" s="1931">
        <v>80</v>
      </c>
      <c r="M63" s="1933">
        <v>0.02</v>
      </c>
      <c r="O63" s="1870" t="s">
        <v>1577</v>
      </c>
      <c r="P63" s="1840"/>
      <c r="Q63" s="1840"/>
      <c r="R63" s="1840"/>
    </row>
    <row r="64" spans="1:18" s="1843" customFormat="1" ht="13.8" thickBot="1">
      <c r="A64" s="1202" t="s">
        <v>1039</v>
      </c>
      <c r="B64" s="1170" t="s">
        <v>1449</v>
      </c>
      <c r="C64" s="24">
        <f ca="1">ROUND(C57*F64,1)</f>
        <v>176.9</v>
      </c>
      <c r="D64" s="1184" t="s">
        <v>1482</v>
      </c>
      <c r="E64" s="1170"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8" thickBot="1">
      <c r="A65" s="1202" t="s">
        <v>1503</v>
      </c>
      <c r="B65" s="1170" t="s">
        <v>1453</v>
      </c>
      <c r="C65" s="24">
        <f ca="1">ROUND(C56*F65,1)</f>
        <v>16.5</v>
      </c>
      <c r="D65" s="1184" t="s">
        <v>1454</v>
      </c>
      <c r="E65" s="1170" t="s">
        <v>1422</v>
      </c>
      <c r="F65" s="376">
        <f t="shared" ca="1" si="0"/>
        <v>1.5E-3</v>
      </c>
      <c r="I65" s="1930" t="s">
        <v>1579</v>
      </c>
      <c r="J65" s="1931">
        <v>40</v>
      </c>
      <c r="K65" s="1931">
        <v>30</v>
      </c>
      <c r="L65" s="1931">
        <v>50</v>
      </c>
      <c r="M65" s="1933">
        <v>0.02</v>
      </c>
      <c r="O65" s="1885" t="s">
        <v>1040</v>
      </c>
      <c r="P65" s="1886" t="s">
        <v>1528</v>
      </c>
      <c r="Q65" s="1887">
        <f ca="1">C40+J29</f>
        <v>107667</v>
      </c>
      <c r="R65" s="1887" t="s">
        <v>1529</v>
      </c>
    </row>
    <row r="66" spans="1:18" s="1843" customFormat="1" ht="16.2" thickBot="1">
      <c r="A66" s="1202" t="s">
        <v>1504</v>
      </c>
      <c r="B66" s="1170" t="s">
        <v>1439</v>
      </c>
      <c r="C66" s="24">
        <f ca="1">ROUND(C48*F66,1)</f>
        <v>54</v>
      </c>
      <c r="D66" s="1184" t="s">
        <v>1459</v>
      </c>
      <c r="E66" s="1170" t="s">
        <v>1422</v>
      </c>
      <c r="F66" s="357">
        <f t="shared" ca="1" si="0"/>
        <v>0.01</v>
      </c>
      <c r="O66" s="1885" t="s">
        <v>1041</v>
      </c>
      <c r="P66" s="1886" t="s">
        <v>1558</v>
      </c>
      <c r="Q66" s="1887">
        <f ca="1">L60</f>
        <v>0</v>
      </c>
      <c r="R66" s="1887" t="s">
        <v>1581</v>
      </c>
    </row>
    <row r="67" spans="1:18" s="1843" customFormat="1" ht="24.6" thickBot="1">
      <c r="A67" s="1177" t="s">
        <v>1031</v>
      </c>
      <c r="B67" s="1187" t="s">
        <v>1463</v>
      </c>
      <c r="C67" s="361">
        <f ca="1">C48-C58</f>
        <v>4213</v>
      </c>
      <c r="D67" s="1183" t="s">
        <v>1464</v>
      </c>
      <c r="E67" s="1188"/>
      <c r="F67" s="1189"/>
      <c r="O67" s="1895" t="s">
        <v>1042</v>
      </c>
      <c r="P67" s="1886" t="s">
        <v>1562</v>
      </c>
      <c r="Q67" s="1934">
        <f ca="1">L51</f>
        <v>49380</v>
      </c>
      <c r="R67" s="1887" t="s">
        <v>1582</v>
      </c>
    </row>
    <row r="68" spans="1:18" s="1843" customFormat="1" ht="16.2" thickBot="1">
      <c r="A68" s="1167" t="s">
        <v>1032</v>
      </c>
      <c r="B68" s="1168" t="s">
        <v>1485</v>
      </c>
      <c r="C68" s="346">
        <f ca="1">ROUND(C67*(1-((1+F70)/(1+F68))^F69)/(F68-F70),0)</f>
        <v>19207</v>
      </c>
      <c r="D68" s="1185" t="s">
        <v>1469</v>
      </c>
      <c r="E68" s="1170" t="s">
        <v>1470</v>
      </c>
      <c r="F68" s="357">
        <f ca="1">F40</f>
        <v>5.6000000000000001E-2</v>
      </c>
      <c r="O68" s="1895" t="s">
        <v>1043</v>
      </c>
      <c r="P68" s="1935" t="s">
        <v>1583</v>
      </c>
      <c r="Q68" s="1887">
        <f ca="1">ROUND(Q69-Q70*Q71,0)</f>
        <v>3002</v>
      </c>
      <c r="R68" s="1887" t="s">
        <v>1051</v>
      </c>
    </row>
    <row r="69" spans="1:18" s="1843" customFormat="1" ht="13.8" thickBot="1">
      <c r="A69" s="1171"/>
      <c r="B69" s="1172"/>
      <c r="C69" s="351"/>
      <c r="D69" s="1190" t="s">
        <v>1473</v>
      </c>
      <c r="E69" s="1170" t="s">
        <v>1474</v>
      </c>
      <c r="F69" s="379">
        <f ca="1">F41</f>
        <v>5.01</v>
      </c>
      <c r="O69" s="1895" t="s">
        <v>1048</v>
      </c>
      <c r="P69" s="1935" t="s">
        <v>1584</v>
      </c>
      <c r="Q69" s="1887">
        <f ca="1">C39</f>
        <v>3934</v>
      </c>
      <c r="R69" s="1887" t="s">
        <v>1529</v>
      </c>
    </row>
    <row r="70" spans="1:18" s="1843" customFormat="1" ht="13.8" thickBot="1">
      <c r="A70" s="1174"/>
      <c r="B70" s="1175"/>
      <c r="C70" s="355"/>
      <c r="D70" s="1186"/>
      <c r="E70" s="1170" t="s">
        <v>1477</v>
      </c>
      <c r="F70" s="1276">
        <v>3.5000000000000003E-2</v>
      </c>
      <c r="O70" s="1895" t="s">
        <v>1049</v>
      </c>
      <c r="P70" s="1935" t="s">
        <v>1585</v>
      </c>
      <c r="Q70" s="1887">
        <f ca="1">C13</f>
        <v>10968</v>
      </c>
      <c r="R70" s="1887" t="s">
        <v>1529</v>
      </c>
    </row>
    <row r="71" spans="1:18" s="1843" customFormat="1" ht="13.8" thickBot="1">
      <c r="A71" s="1191" t="s">
        <v>1033</v>
      </c>
      <c r="B71" s="1192" t="s">
        <v>1487</v>
      </c>
      <c r="C71" s="382">
        <f ca="1">ROUND(C68*10000/F71,0)</f>
        <v>11705</v>
      </c>
      <c r="D71" s="1193" t="s">
        <v>1488</v>
      </c>
      <c r="E71" s="1194" t="s">
        <v>1489</v>
      </c>
      <c r="F71" s="385">
        <f ca="1">F43</f>
        <v>16409.68</v>
      </c>
      <c r="O71" s="1895" t="s">
        <v>1050</v>
      </c>
      <c r="P71" s="1935" t="s">
        <v>1586</v>
      </c>
      <c r="Q71" s="1898">
        <f ca="1">C76</f>
        <v>8.5000000000000006E-2</v>
      </c>
      <c r="R71" s="1887"/>
    </row>
    <row r="72" spans="1:18" s="1843" customFormat="1" ht="13.8" thickBot="1">
      <c r="B72" s="796"/>
      <c r="C72" s="796"/>
      <c r="O72" s="1895" t="s">
        <v>1044</v>
      </c>
      <c r="P72" s="1886" t="s">
        <v>1564</v>
      </c>
      <c r="Q72" s="1898">
        <f>L52</f>
        <v>0</v>
      </c>
      <c r="R72" s="1887"/>
    </row>
    <row r="73" spans="1:18" ht="16.2" thickBot="1">
      <c r="A73" s="1843"/>
      <c r="B73" s="796"/>
      <c r="C73" s="796"/>
      <c r="D73" s="1843"/>
      <c r="E73" s="1843"/>
      <c r="F73" s="1843"/>
      <c r="O73" s="1895" t="s">
        <v>1045</v>
      </c>
      <c r="P73" s="1886" t="s">
        <v>1567</v>
      </c>
      <c r="Q73" s="1887" t="e">
        <f ca="1">L58</f>
        <v>#DIV/0!</v>
      </c>
      <c r="R73" s="1887" t="s">
        <v>1568</v>
      </c>
    </row>
    <row r="74" spans="1:18" ht="13.8"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8" thickBot="1">
      <c r="A75" s="1843"/>
      <c r="B75" s="386" t="s">
        <v>1506</v>
      </c>
      <c r="C75" s="387">
        <f ca="1">ROUND(C13*C76,0)</f>
        <v>932</v>
      </c>
      <c r="D75" s="1843"/>
      <c r="E75" s="1843"/>
      <c r="F75" s="1843"/>
      <c r="K75" s="1869"/>
      <c r="L75" s="1843"/>
      <c r="O75" s="1885" t="s">
        <v>1046</v>
      </c>
      <c r="P75" s="1886" t="s">
        <v>1549</v>
      </c>
      <c r="Q75" s="1887">
        <f ca="1">Q65+Q66</f>
        <v>107667</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0.76300000000000001</v>
      </c>
    </row>
    <row r="80" spans="1:18">
      <c r="B80" s="386" t="s">
        <v>1511</v>
      </c>
      <c r="C80" s="318">
        <f ca="1">ROUND(C75/C39,3)</f>
        <v>0.23699999999999999</v>
      </c>
    </row>
    <row r="81" spans="2:3">
      <c r="B81" s="314" t="s">
        <v>1512</v>
      </c>
      <c r="C81" s="282"/>
    </row>
    <row r="82" spans="2:3">
      <c r="B82" s="317" t="s">
        <v>1513</v>
      </c>
      <c r="C82" s="319">
        <f ca="1">1-C83</f>
        <v>0.34599999999999997</v>
      </c>
    </row>
    <row r="83" spans="2:3">
      <c r="B83" s="317" t="s">
        <v>1514</v>
      </c>
      <c r="C83" s="318">
        <f ca="1">ROUND(C13/C40,3)</f>
        <v>0.65400000000000003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9" priority="1">
      <formula>$L$48&gt;$J$51</formula>
    </cfRule>
  </conditionalFormatting>
  <conditionalFormatting sqref="I55 I60">
    <cfRule type="expression" dxfId="148" priority="2">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1589</v>
      </c>
      <c r="B1" s="782"/>
      <c r="C1" s="1838"/>
      <c r="D1" s="1821"/>
      <c r="E1" s="1822" t="s">
        <v>1387</v>
      </c>
      <c r="F1" s="1284" t="b">
        <f>J53</f>
        <v>0</v>
      </c>
      <c r="G1" s="1837">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4"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3">
        <f ca="1">C6+C10+C12</f>
        <v>0</v>
      </c>
      <c r="D5" s="1823" t="s">
        <v>1601</v>
      </c>
      <c r="E5" s="1294"/>
      <c r="F5" s="1295"/>
      <c r="G5" s="1852"/>
      <c r="H5" s="344">
        <v>1</v>
      </c>
      <c r="I5" s="345" t="s">
        <v>1600</v>
      </c>
      <c r="J5" s="1293">
        <f ca="1">J6+J10+J12</f>
        <v>0</v>
      </c>
      <c r="K5" s="1823" t="s">
        <v>1601</v>
      </c>
      <c r="L5" s="1294"/>
      <c r="M5" s="1295"/>
    </row>
    <row r="6" spans="1:37" ht="18" customHeight="1">
      <c r="A6" s="1292" t="s">
        <v>1035</v>
      </c>
      <c r="B6" s="3563" t="s">
        <v>1403</v>
      </c>
      <c r="C6" s="1297">
        <f ca="1">ROUND(F6*F8*F7*(1-F9),0)</f>
        <v>0</v>
      </c>
      <c r="D6" s="164" t="s">
        <v>3025</v>
      </c>
      <c r="E6" s="347" t="s">
        <v>1405</v>
      </c>
      <c r="F6" s="348">
        <f ca="1">INDIRECT("'数据-取费表'!u"&amp;$G$1)</f>
        <v>0</v>
      </c>
      <c r="G6" s="1852"/>
      <c r="H6" s="1292" t="s">
        <v>1035</v>
      </c>
      <c r="I6" s="3563" t="s">
        <v>1403</v>
      </c>
      <c r="J6" s="346">
        <f ca="1">ROUND(M6*M8*M7*(1-M9),0)</f>
        <v>0</v>
      </c>
      <c r="K6" s="1835" t="s">
        <v>3026</v>
      </c>
      <c r="L6" s="347" t="s">
        <v>1405</v>
      </c>
      <c r="M6" s="348">
        <f ca="1">INDIRECT("'数据-取费表'!z"&amp;$G$1)</f>
        <v>0</v>
      </c>
    </row>
    <row r="7" spans="1:37" ht="18" customHeight="1">
      <c r="A7" s="1296"/>
      <c r="B7" s="3564"/>
      <c r="C7" s="1298"/>
      <c r="D7" s="352"/>
      <c r="E7" s="1299" t="s">
        <v>1406</v>
      </c>
      <c r="F7" s="348">
        <f ca="1">IF(INDIRECT("'数据-取费表'!ah"&amp;$G$1)="",INDIRECT("'数据-取费表'!k"&amp;$G$1),INDIRECT("'数据-取费表'!ah"&amp;$G$1))</f>
        <v>0</v>
      </c>
      <c r="G7" s="1852"/>
      <c r="H7" s="349"/>
      <c r="I7" s="3564"/>
      <c r="J7" s="351"/>
      <c r="K7" s="352"/>
      <c r="L7" s="347" t="s">
        <v>1406</v>
      </c>
      <c r="M7" s="348">
        <f ca="1">F7</f>
        <v>0</v>
      </c>
    </row>
    <row r="8" spans="1:37" ht="18" customHeight="1">
      <c r="A8" s="349"/>
      <c r="B8" s="3564"/>
      <c r="C8" s="351"/>
      <c r="D8" s="352"/>
      <c r="E8" s="347" t="s">
        <v>1407</v>
      </c>
      <c r="F8" s="348">
        <f ca="1">INDIRECT("'数据-取费表'!ai"&amp;$G$1)</f>
        <v>0</v>
      </c>
      <c r="G8" s="1852"/>
      <c r="H8" s="349"/>
      <c r="I8" s="3564"/>
      <c r="J8" s="351"/>
      <c r="K8" s="352"/>
      <c r="L8" s="347" t="s">
        <v>1407</v>
      </c>
      <c r="M8" s="348">
        <f ca="1">INDIRECT("'数据-取费表'!ai"&amp;$G$1)</f>
        <v>0</v>
      </c>
    </row>
    <row r="9" spans="1:37" ht="18" customHeight="1">
      <c r="A9" s="349"/>
      <c r="B9" s="3565"/>
      <c r="C9" s="351"/>
      <c r="D9" s="352"/>
      <c r="E9" s="347" t="s">
        <v>1408</v>
      </c>
      <c r="F9" s="357">
        <f ca="1">INDIRECT("'数据-取费表'!w"&amp;$G$1)</f>
        <v>0</v>
      </c>
      <c r="G9" s="1852"/>
      <c r="H9" s="349"/>
      <c r="I9" s="3565"/>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3036</v>
      </c>
      <c r="E10" s="358" t="s">
        <v>1410</v>
      </c>
      <c r="F10" s="1367"/>
      <c r="G10" s="1852"/>
      <c r="H10" s="1292" t="s">
        <v>1039</v>
      </c>
      <c r="I10" s="1824" t="s">
        <v>1409</v>
      </c>
      <c r="J10" s="346">
        <f ca="1">ROUND(IF(M10="押一",J6/12*M11,IF(M10="押二",J6/12*2*M11,IF(M10="押三",J6/12*3*M11,J11*M11))),0)</f>
        <v>0</v>
      </c>
      <c r="K10" s="1836" t="s">
        <v>3038</v>
      </c>
      <c r="L10" s="358" t="s">
        <v>1410</v>
      </c>
      <c r="M10" s="1367"/>
    </row>
    <row r="11" spans="1:37" ht="18" customHeight="1">
      <c r="A11" s="353"/>
      <c r="B11" s="1826" t="s">
        <v>1602</v>
      </c>
      <c r="C11" s="1179"/>
      <c r="D11" s="352"/>
      <c r="E11" s="358" t="s">
        <v>1412</v>
      </c>
      <c r="F11" s="359">
        <f ca="1">'数据-取费表'!B39</f>
        <v>1.4999999999999999E-2</v>
      </c>
      <c r="G11" s="1852"/>
      <c r="H11" s="1300"/>
      <c r="I11" s="1826" t="s">
        <v>1603</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7" t="s">
        <v>1417</v>
      </c>
      <c r="C14" s="363">
        <f ca="1">ROUND(INDIRECT("'数据-取费表'!l"&amp;$G$1)*F43+'数据-取费表'!L14*INDIRECT("'数据-取费表'!S"&amp;$G$1),0)</f>
        <v>0</v>
      </c>
      <c r="D14" s="1801" t="s">
        <v>1418</v>
      </c>
      <c r="E14" s="1795"/>
      <c r="F14" s="364"/>
      <c r="G14" s="1852"/>
      <c r="H14" s="1202" t="s">
        <v>1035</v>
      </c>
      <c r="I14" s="347" t="s">
        <v>1419</v>
      </c>
      <c r="J14" s="24">
        <f ca="1">C29</f>
        <v>0</v>
      </c>
      <c r="K14" s="15"/>
      <c r="L14" s="980"/>
      <c r="M14" s="981"/>
    </row>
    <row r="15" spans="1:37" s="1859" customFormat="1" ht="18" customHeight="1" thickBot="1">
      <c r="A15" s="1202" t="s">
        <v>1036</v>
      </c>
      <c r="B15" s="347" t="s">
        <v>1420</v>
      </c>
      <c r="C15" s="24">
        <f ca="1">ROUND(C14*F15,0)</f>
        <v>0</v>
      </c>
      <c r="D15" s="365" t="s">
        <v>1421</v>
      </c>
      <c r="E15" s="365" t="s">
        <v>1422</v>
      </c>
      <c r="F15" s="366">
        <f>'数据-取费表'!B33</f>
        <v>0.04</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2"/>
      <c r="H16" s="1330" t="s">
        <v>1030</v>
      </c>
      <c r="I16" s="1331" t="s">
        <v>1424</v>
      </c>
      <c r="J16" s="355">
        <f ca="1">ROUND(J17+J22+J23+J24,0)</f>
        <v>0</v>
      </c>
      <c r="K16" s="1338" t="s">
        <v>1425</v>
      </c>
      <c r="L16" s="1339"/>
      <c r="M16" s="1295"/>
    </row>
    <row r="17" spans="1:37" s="1859" customFormat="1" ht="18" customHeight="1">
      <c r="A17" s="1202" t="s">
        <v>1390</v>
      </c>
      <c r="B17" s="347" t="s">
        <v>1426</v>
      </c>
      <c r="C17" s="24">
        <f ca="1">ROUND(F17*(F43+INDIRECT("'数据-取费表'!S"&amp;$G$1)),0)</f>
        <v>0</v>
      </c>
      <c r="D17" s="347" t="s">
        <v>1427</v>
      </c>
      <c r="E17" s="347" t="s">
        <v>1428</v>
      </c>
      <c r="F17" s="26">
        <f>'数据-取费表'!B35</f>
        <v>200</v>
      </c>
      <c r="G17" s="1855"/>
      <c r="H17" s="1202"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0</v>
      </c>
      <c r="D18" s="347" t="s">
        <v>1421</v>
      </c>
      <c r="E18" s="347" t="s">
        <v>1422</v>
      </c>
      <c r="F18" s="367">
        <f>'数据-取费表'!B36</f>
        <v>1.4999999999999999E-2</v>
      </c>
      <c r="G18" s="1855"/>
      <c r="H18" s="1202" t="s">
        <v>1034</v>
      </c>
      <c r="I18" s="347" t="s">
        <v>1433</v>
      </c>
      <c r="J18" s="24">
        <f ca="1">ROUND(J5*M18/(1+'数据-取费表'!C42),0)</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0</v>
      </c>
      <c r="D19" s="140" t="s">
        <v>1436</v>
      </c>
      <c r="E19" s="1819"/>
      <c r="F19" s="26"/>
      <c r="G19" s="1852"/>
      <c r="H19" s="1202"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2" t="s">
        <v>1039</v>
      </c>
      <c r="B20" s="347" t="s">
        <v>1439</v>
      </c>
      <c r="C20" s="24">
        <f ca="1">ROUND(C19*F20,0)</f>
        <v>0</v>
      </c>
      <c r="D20" s="369" t="s">
        <v>1440</v>
      </c>
      <c r="E20" s="347" t="s">
        <v>1422</v>
      </c>
      <c r="F20" s="367">
        <f>'数据-取费表'!B37</f>
        <v>0.02</v>
      </c>
      <c r="G20" s="1855"/>
      <c r="H20" s="1202" t="s">
        <v>1389</v>
      </c>
      <c r="I20" s="164" t="s">
        <v>1441</v>
      </c>
      <c r="J20" s="25">
        <f ca="1">ROUND(M20*M21,0)</f>
        <v>0</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v>
      </c>
      <c r="D21" s="369" t="s">
        <v>1445</v>
      </c>
      <c r="E21" s="347" t="s">
        <v>1446</v>
      </c>
      <c r="F21" s="367">
        <f>'数据-取费表'!B38</f>
        <v>0.02</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9"/>
      <c r="F22" s="26"/>
      <c r="G22" s="1852"/>
      <c r="H22" s="1202" t="s">
        <v>1039</v>
      </c>
      <c r="I22" s="347" t="s">
        <v>1449</v>
      </c>
      <c r="J22" s="24">
        <f ca="1">ROUND(J14*M22,0)</f>
        <v>0</v>
      </c>
      <c r="K22" s="1799" t="s">
        <v>1450</v>
      </c>
      <c r="L22" s="347" t="s">
        <v>1422</v>
      </c>
      <c r="M22" s="374">
        <f ca="1">INDIRECT("'数据-取费表'!Ak"&amp;$G$1)</f>
        <v>0</v>
      </c>
    </row>
    <row r="23" spans="1:37" s="1859"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7" t="s">
        <v>1461</v>
      </c>
      <c r="C25" s="24"/>
      <c r="D25" s="140" t="s">
        <v>1462</v>
      </c>
      <c r="E25" s="1819"/>
      <c r="F25" s="26"/>
      <c r="G25" s="1852"/>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0</v>
      </c>
      <c r="D30" s="1338" t="s">
        <v>1425</v>
      </c>
      <c r="E30" s="1339"/>
      <c r="F30" s="1295"/>
      <c r="G30" s="1852"/>
      <c r="H30" s="745"/>
      <c r="I30" s="746"/>
      <c r="J30" s="747"/>
      <c r="K30" s="748"/>
      <c r="L30" s="749"/>
      <c r="M30" s="750"/>
    </row>
    <row r="31" spans="1:37" ht="18" customHeight="1">
      <c r="A31" s="1202"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IF(项目基本情况!B11="自然人","——",ROUND(C5*F32/(1+'数据-取费表'!C42),0))</f>
        <v>0</v>
      </c>
      <c r="D32" s="1799"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2" t="s">
        <v>1389</v>
      </c>
      <c r="B34" s="164" t="s">
        <v>1441</v>
      </c>
      <c r="C34" s="25">
        <f ca="1">IF(项目基本情况!B11="自然人","——",ROUND(F34*F35,))</f>
        <v>0</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0</v>
      </c>
      <c r="G35" s="1852"/>
      <c r="H35" s="745"/>
      <c r="I35" s="1861"/>
      <c r="J35" s="1862"/>
      <c r="K35" s="1863"/>
      <c r="L35" s="1860"/>
      <c r="M35" s="1860"/>
    </row>
    <row r="36" spans="1:18" ht="18" customHeight="1">
      <c r="A36" s="1353" t="s">
        <v>1039</v>
      </c>
      <c r="B36" s="347" t="s">
        <v>1449</v>
      </c>
      <c r="C36" s="24">
        <f ca="1">ROUND(C29*F36,0)</f>
        <v>0</v>
      </c>
      <c r="D36" s="1799" t="s">
        <v>1482</v>
      </c>
      <c r="E36" s="347" t="s">
        <v>1422</v>
      </c>
      <c r="F36" s="374">
        <f ca="1">INDIRECT("'数据-取费表'!Ak"&amp;$G$1)</f>
        <v>0</v>
      </c>
      <c r="G36" s="1852"/>
      <c r="H36" s="1860"/>
      <c r="I36" s="1861"/>
      <c r="J36" s="1862"/>
      <c r="K36" s="751"/>
      <c r="L36" s="1860"/>
      <c r="M36" s="1860"/>
    </row>
    <row r="37" spans="1:18" ht="18" customHeight="1">
      <c r="A37" s="1202" t="s">
        <v>1075</v>
      </c>
      <c r="B37" s="347" t="s">
        <v>1453</v>
      </c>
      <c r="C37" s="24">
        <f ca="1">ROUND(C13*F37,0)</f>
        <v>0</v>
      </c>
      <c r="D37" s="1799" t="s">
        <v>1454</v>
      </c>
      <c r="E37" s="347" t="s">
        <v>1455</v>
      </c>
      <c r="F37" s="376">
        <f ca="1">INDIRECT("'数据-取费表'!Al"&amp;$G$1)</f>
        <v>0</v>
      </c>
      <c r="G37" s="1852"/>
      <c r="H37" s="1860"/>
      <c r="I37" s="1861"/>
      <c r="J37" s="1862"/>
      <c r="K37" s="751"/>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5">
        <f ca="1">C5-C30</f>
        <v>0</v>
      </c>
      <c r="D39" s="1346" t="s">
        <v>1484</v>
      </c>
      <c r="E39" s="1347"/>
      <c r="F39" s="1348"/>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1477</v>
      </c>
      <c r="F42" s="357">
        <f ca="1">INDIRECT("'数据-取费表'!v"&amp;$G$1)</f>
        <v>0</v>
      </c>
      <c r="G42" s="1852"/>
      <c r="H42" s="732"/>
      <c r="I42" s="1861"/>
      <c r="J42" s="1862"/>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8"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8" thickBot="1">
      <c r="A47" s="1166" t="s">
        <v>1396</v>
      </c>
      <c r="B47" s="1198" t="s">
        <v>1397</v>
      </c>
      <c r="C47" s="1198" t="s">
        <v>1398</v>
      </c>
      <c r="D47" s="1198" t="s">
        <v>1399</v>
      </c>
      <c r="E47" s="1280" t="s">
        <v>1400</v>
      </c>
      <c r="F47" s="1281"/>
      <c r="G47" s="792"/>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40.200000000000003" thickBot="1">
      <c r="A48" s="1361" t="s">
        <v>1135</v>
      </c>
      <c r="B48" s="345" t="s">
        <v>1401</v>
      </c>
      <c r="C48" s="1818">
        <f ca="1">C49+C53+C55</f>
        <v>0</v>
      </c>
      <c r="D48" s="1363"/>
      <c r="E48" s="1364"/>
      <c r="F48" s="1182"/>
      <c r="G48" s="792"/>
      <c r="H48" s="793"/>
      <c r="I48" s="1888" t="s">
        <v>1530</v>
      </c>
      <c r="J48" s="1889"/>
      <c r="K48" s="1890" t="s">
        <v>1531</v>
      </c>
      <c r="L48" s="1891">
        <f ca="1">INDIRECT("'数据-取费表'!f"&amp;$G$1)</f>
        <v>0</v>
      </c>
      <c r="O48" s="1885" t="s">
        <v>1041</v>
      </c>
      <c r="P48" s="1886" t="s">
        <v>1532</v>
      </c>
      <c r="Q48" s="1887" t="e">
        <f ca="1">J60</f>
        <v>#DIV/0!</v>
      </c>
      <c r="R48" s="1887" t="s">
        <v>1533</v>
      </c>
    </row>
    <row r="49" spans="1:18" s="1843" customFormat="1" ht="13.8" thickBot="1">
      <c r="A49" s="1195" t="s">
        <v>1136</v>
      </c>
      <c r="B49" s="1830" t="s">
        <v>1490</v>
      </c>
      <c r="C49" s="1365">
        <f ca="1">ROUND(F49*F51*F50*(1-F52),0)</f>
        <v>0</v>
      </c>
      <c r="D49" s="1277" t="s">
        <v>1404</v>
      </c>
      <c r="E49" s="1831" t="s">
        <v>1491</v>
      </c>
      <c r="F49" s="1282"/>
      <c r="G49" s="1892"/>
      <c r="H49" s="793"/>
      <c r="I49" s="1888" t="s">
        <v>1534</v>
      </c>
      <c r="J49" s="1893"/>
      <c r="K49" s="1890" t="s">
        <v>1535</v>
      </c>
      <c r="L49" s="1894"/>
      <c r="O49" s="1895" t="s">
        <v>1042</v>
      </c>
      <c r="P49" s="1886" t="s">
        <v>1536</v>
      </c>
      <c r="Q49" s="1887">
        <f ca="1">C29</f>
        <v>0</v>
      </c>
      <c r="R49" s="1887" t="s">
        <v>1529</v>
      </c>
    </row>
    <row r="50" spans="1:18" s="1843" customFormat="1" ht="13.8" thickBot="1">
      <c r="A50" s="1196"/>
      <c r="B50" s="1199"/>
      <c r="C50" s="1200"/>
      <c r="D50" s="1173"/>
      <c r="E50" s="1278" t="s">
        <v>1406</v>
      </c>
      <c r="F50" s="1279">
        <f ca="1">F7</f>
        <v>0</v>
      </c>
      <c r="H50" s="793"/>
      <c r="I50" s="1888" t="s">
        <v>1537</v>
      </c>
      <c r="J50" s="1896">
        <f>SUMPRODUCT((I63:I65=J47)*(J62:L62=J48)*(J63:L65))</f>
        <v>0</v>
      </c>
      <c r="K50" s="1890" t="s">
        <v>1538</v>
      </c>
      <c r="L50" s="1894"/>
      <c r="M50" s="1897"/>
      <c r="O50" s="1895" t="s">
        <v>1043</v>
      </c>
      <c r="P50" s="1886" t="s">
        <v>1539</v>
      </c>
      <c r="Q50" s="1898" t="e">
        <f ca="1">J58</f>
        <v>#DIV/0!</v>
      </c>
      <c r="R50" s="1887"/>
    </row>
    <row r="51" spans="1:18" s="1843" customFormat="1" ht="13.8" thickBot="1">
      <c r="A51" s="1197"/>
      <c r="B51" s="1199"/>
      <c r="C51" s="1200"/>
      <c r="D51" s="1173"/>
      <c r="E51" s="1201"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8"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9" t="s">
        <v>1409</v>
      </c>
      <c r="C53" s="361">
        <f ca="1">ROUND(IF(F53="押一",C49/12*F11,IF(F53="押二",C49/12*2*F11,IF(F53="押三",C49/12*3*F11,C54*F11))),0)</f>
        <v>0</v>
      </c>
      <c r="D53" s="1825" t="s">
        <v>3039</v>
      </c>
      <c r="E53" s="358"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566" t="s">
        <v>1548</v>
      </c>
      <c r="L53" s="3567"/>
      <c r="O53" s="1885" t="s">
        <v>1046</v>
      </c>
      <c r="P53" s="1886" t="s">
        <v>1549</v>
      </c>
      <c r="Q53" s="1887" t="e">
        <f ca="1">Q47+Q48</f>
        <v>#DIV/0!</v>
      </c>
      <c r="R53" s="1887" t="s">
        <v>1047</v>
      </c>
    </row>
    <row r="54" spans="1:18" s="1843" customFormat="1" ht="13.8"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8"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6" thickBot="1">
      <c r="A57" s="1919"/>
      <c r="B57" s="1170"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6" thickBot="1">
      <c r="A58" s="360" t="s">
        <v>1030</v>
      </c>
      <c r="B58" s="1178" t="s">
        <v>1424</v>
      </c>
      <c r="C58" s="361">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6"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2" thickBot="1">
      <c r="A60" s="1202" t="s">
        <v>1034</v>
      </c>
      <c r="B60" s="1170" t="s">
        <v>1433</v>
      </c>
      <c r="C60" s="24">
        <f ca="1">IF(项目基本情况!B11="自然人","——",ROUND(C48*F60/(1+'数据-取费表'!C42),0))</f>
        <v>0</v>
      </c>
      <c r="D60" s="1184" t="s">
        <v>1434</v>
      </c>
      <c r="E60" s="1170" t="s">
        <v>1422</v>
      </c>
      <c r="F60" s="377">
        <f t="shared" ref="F60:F66" si="0">F32</f>
        <v>5.6000000000000001E-2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8"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8" thickBot="1">
      <c r="A62" s="1202" t="s">
        <v>1495</v>
      </c>
      <c r="B62" s="1169" t="s">
        <v>1496</v>
      </c>
      <c r="C62" s="25">
        <f ca="1">IF(项目基本情况!B11="自然人","——",ROUND(F62*F63,0))</f>
        <v>0</v>
      </c>
      <c r="D62" s="1185" t="s">
        <v>1497</v>
      </c>
      <c r="E62" s="1170" t="s">
        <v>1498</v>
      </c>
      <c r="F62" s="371">
        <f t="shared" si="0"/>
        <v>12</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8" thickBot="1">
      <c r="A63" s="372"/>
      <c r="B63" s="1176"/>
      <c r="C63" s="29"/>
      <c r="D63" s="1186"/>
      <c r="E63" s="1170" t="s">
        <v>1499</v>
      </c>
      <c r="F63" s="348">
        <f t="shared" ca="1" si="0"/>
        <v>0</v>
      </c>
      <c r="I63" s="1930" t="s">
        <v>1576</v>
      </c>
      <c r="J63" s="1931">
        <v>70</v>
      </c>
      <c r="K63" s="1931">
        <v>50</v>
      </c>
      <c r="L63" s="1931">
        <v>80</v>
      </c>
      <c r="M63" s="1933">
        <v>0.02</v>
      </c>
      <c r="O63" s="1870" t="s">
        <v>1577</v>
      </c>
      <c r="P63" s="1840"/>
      <c r="Q63" s="1840"/>
      <c r="R63" s="1840"/>
    </row>
    <row r="64" spans="1:18" s="1843" customFormat="1" ht="13.8" thickBot="1">
      <c r="A64" s="1202" t="s">
        <v>1500</v>
      </c>
      <c r="B64" s="1170" t="s">
        <v>1501</v>
      </c>
      <c r="C64" s="24">
        <f ca="1">ROUND(C57*F64,0)</f>
        <v>0</v>
      </c>
      <c r="D64" s="1184" t="s">
        <v>1502</v>
      </c>
      <c r="E64" s="1170"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8" thickBot="1">
      <c r="A65" s="1202" t="s">
        <v>1503</v>
      </c>
      <c r="B65" s="1170" t="s">
        <v>1453</v>
      </c>
      <c r="C65" s="24">
        <f ca="1">ROUND(C56*F65,0)</f>
        <v>0</v>
      </c>
      <c r="D65" s="1184" t="s">
        <v>1454</v>
      </c>
      <c r="E65" s="1170"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2" thickBot="1">
      <c r="A66" s="1202" t="s">
        <v>1504</v>
      </c>
      <c r="B66" s="1170" t="s">
        <v>1439</v>
      </c>
      <c r="C66" s="24">
        <f ca="1">ROUND(C48*F66,0)</f>
        <v>0</v>
      </c>
      <c r="D66" s="1184" t="s">
        <v>1505</v>
      </c>
      <c r="E66" s="1170" t="s">
        <v>1422</v>
      </c>
      <c r="F66" s="357">
        <f t="shared" ca="1" si="0"/>
        <v>0</v>
      </c>
      <c r="O66" s="1885" t="s">
        <v>1041</v>
      </c>
      <c r="P66" s="1886" t="s">
        <v>1558</v>
      </c>
      <c r="Q66" s="1887" t="e">
        <f ca="1">L60</f>
        <v>#DIV/0!</v>
      </c>
      <c r="R66" s="1887" t="s">
        <v>1581</v>
      </c>
    </row>
    <row r="67" spans="1:18" s="1843" customFormat="1" ht="24.6" thickBot="1">
      <c r="A67" s="1177" t="s">
        <v>1031</v>
      </c>
      <c r="B67" s="1187" t="s">
        <v>1463</v>
      </c>
      <c r="C67" s="361">
        <f ca="1">C48-C58</f>
        <v>0</v>
      </c>
      <c r="D67" s="1183" t="s">
        <v>1464</v>
      </c>
      <c r="E67" s="1188"/>
      <c r="F67" s="1189"/>
      <c r="O67" s="1895" t="s">
        <v>1042</v>
      </c>
      <c r="P67" s="1886" t="s">
        <v>1562</v>
      </c>
      <c r="Q67" s="1934">
        <f ca="1">L51</f>
        <v>0</v>
      </c>
      <c r="R67" s="1887" t="s">
        <v>1582</v>
      </c>
    </row>
    <row r="68" spans="1:18" s="1843" customFormat="1" ht="16.2" thickBot="1">
      <c r="A68" s="1167" t="s">
        <v>1032</v>
      </c>
      <c r="B68" s="1168" t="s">
        <v>1485</v>
      </c>
      <c r="C68" s="346" t="e">
        <f ca="1">ROUND(C67*(1-((1+F70)/(1+F68))^F69)/(F68-F70),0)</f>
        <v>#DIV/0!</v>
      </c>
      <c r="D68" s="1185" t="s">
        <v>1469</v>
      </c>
      <c r="E68" s="1170" t="s">
        <v>1470</v>
      </c>
      <c r="F68" s="357">
        <f ca="1">F40</f>
        <v>0</v>
      </c>
      <c r="O68" s="1895" t="s">
        <v>1043</v>
      </c>
      <c r="P68" s="1935" t="s">
        <v>1583</v>
      </c>
      <c r="Q68" s="1887">
        <f ca="1">ROUND(Q69-Q70*Q71,0)</f>
        <v>0</v>
      </c>
      <c r="R68" s="1887" t="s">
        <v>1051</v>
      </c>
    </row>
    <row r="69" spans="1:18" s="1843" customFormat="1" ht="13.8" thickBot="1">
      <c r="A69" s="1171"/>
      <c r="B69" s="1172"/>
      <c r="C69" s="351"/>
      <c r="D69" s="1190" t="s">
        <v>1473</v>
      </c>
      <c r="E69" s="1170" t="s">
        <v>1474</v>
      </c>
      <c r="F69" s="379">
        <f ca="1">F41</f>
        <v>0</v>
      </c>
      <c r="O69" s="1895" t="s">
        <v>1048</v>
      </c>
      <c r="P69" s="1935" t="s">
        <v>1584</v>
      </c>
      <c r="Q69" s="1887">
        <f ca="1">C39</f>
        <v>0</v>
      </c>
      <c r="R69" s="1887" t="s">
        <v>1529</v>
      </c>
    </row>
    <row r="70" spans="1:18" s="1843" customFormat="1" ht="13.8" thickBot="1">
      <c r="A70" s="1174"/>
      <c r="B70" s="1175"/>
      <c r="C70" s="355"/>
      <c r="D70" s="1186"/>
      <c r="E70" s="1170" t="s">
        <v>1477</v>
      </c>
      <c r="F70" s="1276">
        <f ca="1">F42</f>
        <v>0</v>
      </c>
      <c r="O70" s="1895" t="s">
        <v>1049</v>
      </c>
      <c r="P70" s="1935" t="s">
        <v>1585</v>
      </c>
      <c r="Q70" s="1887">
        <f ca="1">C13</f>
        <v>0</v>
      </c>
      <c r="R70" s="1887" t="s">
        <v>1529</v>
      </c>
    </row>
    <row r="71" spans="1:18" s="1843" customFormat="1" ht="13.8" thickBot="1">
      <c r="A71" s="1191" t="s">
        <v>1033</v>
      </c>
      <c r="B71" s="1192" t="s">
        <v>1487</v>
      </c>
      <c r="C71" s="382" t="e">
        <f ca="1">ROUND(C68/F71,0)</f>
        <v>#DIV/0!</v>
      </c>
      <c r="D71" s="1193" t="s">
        <v>1488</v>
      </c>
      <c r="E71" s="1194" t="s">
        <v>1489</v>
      </c>
      <c r="F71" s="385">
        <f ca="1">F43</f>
        <v>0</v>
      </c>
      <c r="O71" s="1895" t="s">
        <v>1050</v>
      </c>
      <c r="P71" s="1935" t="s">
        <v>1586</v>
      </c>
      <c r="Q71" s="1898">
        <f ca="1">C76</f>
        <v>0</v>
      </c>
      <c r="R71" s="1887"/>
    </row>
    <row r="72" spans="1:18" s="1843" customFormat="1" ht="13.8" thickBot="1">
      <c r="B72" s="796"/>
      <c r="C72" s="796"/>
      <c r="O72" s="1895" t="s">
        <v>1044</v>
      </c>
      <c r="P72" s="1886" t="s">
        <v>1564</v>
      </c>
      <c r="Q72" s="1898">
        <f>L52</f>
        <v>0</v>
      </c>
      <c r="R72" s="1887"/>
    </row>
    <row r="73" spans="1:18" ht="16.2" thickBot="1">
      <c r="A73" s="1843"/>
      <c r="B73" s="796"/>
      <c r="C73" s="796"/>
      <c r="D73" s="1843"/>
      <c r="E73" s="1843"/>
      <c r="F73" s="1843"/>
      <c r="O73" s="1895" t="s">
        <v>1045</v>
      </c>
      <c r="P73" s="1886" t="s">
        <v>1567</v>
      </c>
      <c r="Q73" s="1887" t="e">
        <f ca="1">L58</f>
        <v>#DIV/0!</v>
      </c>
      <c r="R73" s="1887" t="s">
        <v>1568</v>
      </c>
    </row>
    <row r="74" spans="1:18" ht="13.8"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8"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09" zoomScaleNormal="100" zoomScaleSheetLayoutView="100" zoomScalePageLayoutView="80" workbookViewId="0">
      <selection activeCell="G32" sqref="G32"/>
    </sheetView>
  </sheetViews>
  <sheetFormatPr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09375" style="795" bestFit="1" customWidth="1"/>
    <col min="14" max="26" width="12.6640625" style="795"/>
    <col min="27" max="35" width="12.6640625" style="2421"/>
    <col min="36" max="16384" width="12.6640625" style="2422"/>
  </cols>
  <sheetData>
    <row r="1" spans="1:12" ht="21.75" customHeight="1" thickBot="1">
      <c r="A1" s="2224" t="s">
        <v>2115</v>
      </c>
      <c r="B1" s="2416"/>
      <c r="C1" s="2417" t="s">
        <v>3050</v>
      </c>
      <c r="D1" s="2416"/>
      <c r="E1" s="2416"/>
      <c r="F1" s="2418" t="s">
        <v>2116</v>
      </c>
      <c r="G1" s="2069" t="s">
        <v>3305</v>
      </c>
      <c r="H1" s="2419" t="str">
        <f>IF(G1="现房","——","估价对象范围")</f>
        <v>——</v>
      </c>
      <c r="I1" s="2420"/>
    </row>
    <row r="2" spans="1:12" ht="21.75" customHeight="1" thickBot="1">
      <c r="A2" s="3538" t="str">
        <f>项目基本情况!S2</f>
        <v>北京市东城区香河园街1号11号楼房地产</v>
      </c>
      <c r="B2" s="3539"/>
      <c r="C2" s="3539"/>
      <c r="D2" s="3539"/>
      <c r="E2" s="3539"/>
      <c r="F2" s="3539"/>
      <c r="G2" s="3539"/>
      <c r="H2" s="3539"/>
      <c r="I2" s="3540"/>
    </row>
    <row r="3" spans="1:12" ht="13.2">
      <c r="A3" s="3541" t="s">
        <v>2117</v>
      </c>
      <c r="B3" s="3542"/>
      <c r="C3" s="3542"/>
      <c r="D3" s="3542"/>
      <c r="E3" s="3542"/>
      <c r="F3" s="3542"/>
      <c r="G3" s="3542"/>
      <c r="H3" s="3542"/>
      <c r="I3" s="3542"/>
    </row>
    <row r="4" spans="1:12" ht="14.4">
      <c r="A4" s="2423" t="s">
        <v>2118</v>
      </c>
      <c r="B4" s="2424" t="s">
        <v>2119</v>
      </c>
      <c r="C4" s="2425" t="s">
        <v>3339</v>
      </c>
      <c r="D4" s="2425" t="s">
        <v>3074</v>
      </c>
      <c r="E4" s="3522" t="s">
        <v>2120</v>
      </c>
      <c r="F4" s="3535"/>
      <c r="G4" s="3535"/>
      <c r="H4" s="3535"/>
      <c r="I4" s="3523"/>
      <c r="K4" s="2426" t="str">
        <f>IF(ISNUMBER(FIND("比较法",'结果表 (2)'!C4)),"比较法",IF(ISNUMBER(FIND("成本法",'结果表 (2)'!C4)),"成本法",IF(ISNUMBER(FIND("假设开发法",'结果表 (2)'!C4)),"假设开发法",IF(ISNUMBER(FIND("收益法",'结果表 (2)'!C4)),"收益法","基准地价系数修正法"))))</f>
        <v>成本法</v>
      </c>
      <c r="L4" s="2426" t="str">
        <f>IF(ISNUMBER(FIND("比较法",'结果表 (2)'!D4)),"比较法",IF(ISNUMBER(FIND("成本法",'结果表 (2)'!D4)),"成本法",IF(ISNUMBER(FIND("假设开发法",'结果表 (2)'!D4)),"假设开发法",IF(ISNUMBER(FIND("收益法",'结果表 (2)'!D4)),"收益法","基准地价系数修正法"))))</f>
        <v>收益法</v>
      </c>
    </row>
    <row r="5" spans="1:12" ht="13.2">
      <c r="A5" s="3513" t="s">
        <v>2121</v>
      </c>
      <c r="B5" s="3439">
        <v>25</v>
      </c>
      <c r="C5" s="3543"/>
      <c r="D5" s="3531"/>
      <c r="E5" s="140" t="s">
        <v>2122</v>
      </c>
      <c r="F5" s="2427"/>
      <c r="G5" s="2427"/>
      <c r="H5" s="2427"/>
      <c r="I5" s="1832"/>
    </row>
    <row r="6" spans="1:12" ht="13.2">
      <c r="A6" s="3513"/>
      <c r="B6" s="3439"/>
      <c r="C6" s="3545"/>
      <c r="D6" s="3531"/>
      <c r="E6" s="140" t="s">
        <v>2123</v>
      </c>
      <c r="F6" s="2427"/>
      <c r="G6" s="2427"/>
      <c r="H6" s="2427"/>
      <c r="I6" s="1832"/>
    </row>
    <row r="7" spans="1:12" ht="13.2">
      <c r="A7" s="3513"/>
      <c r="B7" s="3439"/>
      <c r="C7" s="3544"/>
      <c r="D7" s="3531"/>
      <c r="E7" s="140" t="s">
        <v>2124</v>
      </c>
      <c r="F7" s="2427"/>
      <c r="G7" s="2427"/>
      <c r="H7" s="2427"/>
      <c r="I7" s="1832"/>
    </row>
    <row r="8" spans="1:12" ht="13.2">
      <c r="A8" s="3513" t="s">
        <v>2125</v>
      </c>
      <c r="B8" s="3439">
        <v>15</v>
      </c>
      <c r="C8" s="3543"/>
      <c r="D8" s="3531"/>
      <c r="E8" s="140" t="s">
        <v>2126</v>
      </c>
      <c r="F8" s="2427"/>
      <c r="G8" s="2427"/>
      <c r="H8" s="2427"/>
      <c r="I8" s="1832"/>
    </row>
    <row r="9" spans="1:12" ht="13.2">
      <c r="A9" s="3513"/>
      <c r="B9" s="3439"/>
      <c r="C9" s="3544"/>
      <c r="D9" s="3531"/>
      <c r="E9" s="140" t="s">
        <v>2127</v>
      </c>
      <c r="F9" s="2427"/>
      <c r="G9" s="2427"/>
      <c r="H9" s="2427"/>
      <c r="I9" s="1832"/>
    </row>
    <row r="10" spans="1:12" ht="13.2">
      <c r="A10" s="3513" t="s">
        <v>2128</v>
      </c>
      <c r="B10" s="3439">
        <v>15</v>
      </c>
      <c r="C10" s="3543"/>
      <c r="D10" s="3531"/>
      <c r="E10" s="140" t="s">
        <v>2129</v>
      </c>
      <c r="F10" s="2427"/>
      <c r="G10" s="2427"/>
      <c r="H10" s="2427"/>
      <c r="I10" s="1832"/>
    </row>
    <row r="11" spans="1:12" ht="13.2">
      <c r="A11" s="3513"/>
      <c r="B11" s="3439"/>
      <c r="C11" s="3544"/>
      <c r="D11" s="3531"/>
      <c r="E11" s="140" t="s">
        <v>2130</v>
      </c>
      <c r="F11" s="2427"/>
      <c r="G11" s="2427"/>
      <c r="H11" s="2427"/>
      <c r="I11" s="1832"/>
    </row>
    <row r="12" spans="1:12" ht="13.2">
      <c r="A12" s="3513" t="s">
        <v>2131</v>
      </c>
      <c r="B12" s="3439">
        <v>15</v>
      </c>
      <c r="C12" s="3543"/>
      <c r="D12" s="3531"/>
      <c r="E12" s="140" t="s">
        <v>2132</v>
      </c>
      <c r="F12" s="2427"/>
      <c r="G12" s="2427"/>
      <c r="H12" s="2427"/>
      <c r="I12" s="1832"/>
    </row>
    <row r="13" spans="1:12" ht="13.2">
      <c r="A13" s="3513"/>
      <c r="B13" s="3439"/>
      <c r="C13" s="3544"/>
      <c r="D13" s="3531"/>
      <c r="E13" s="140" t="s">
        <v>2133</v>
      </c>
      <c r="F13" s="2427"/>
      <c r="G13" s="2427"/>
      <c r="H13" s="2427"/>
      <c r="I13" s="1832"/>
    </row>
    <row r="14" spans="1:12" ht="13.2">
      <c r="A14" s="3513" t="s">
        <v>2134</v>
      </c>
      <c r="B14" s="3439">
        <v>30</v>
      </c>
      <c r="C14" s="3543">
        <v>4</v>
      </c>
      <c r="D14" s="3531">
        <v>6</v>
      </c>
      <c r="E14" s="140" t="s">
        <v>2135</v>
      </c>
      <c r="F14" s="2427"/>
      <c r="G14" s="2427"/>
      <c r="H14" s="2427"/>
      <c r="I14" s="1832"/>
    </row>
    <row r="15" spans="1:12" ht="13.2">
      <c r="A15" s="3513"/>
      <c r="B15" s="3439"/>
      <c r="C15" s="3545"/>
      <c r="D15" s="3531"/>
      <c r="E15" s="140" t="s">
        <v>2136</v>
      </c>
      <c r="F15" s="2427"/>
      <c r="G15" s="2427"/>
      <c r="H15" s="2427"/>
      <c r="I15" s="1832"/>
    </row>
    <row r="16" spans="1:12" ht="13.2">
      <c r="A16" s="3513"/>
      <c r="B16" s="3439"/>
      <c r="C16" s="3544"/>
      <c r="D16" s="3531"/>
      <c r="E16" s="140" t="s">
        <v>2137</v>
      </c>
      <c r="F16" s="2427"/>
      <c r="G16" s="2427"/>
      <c r="H16" s="2427"/>
      <c r="I16" s="1832"/>
    </row>
    <row r="17" spans="1:35" ht="14.4">
      <c r="A17" s="2428" t="s">
        <v>2138</v>
      </c>
      <c r="B17" s="64"/>
      <c r="C17" s="141">
        <f>SUM(C5:C16)</f>
        <v>4</v>
      </c>
      <c r="D17" s="141">
        <f>SUM(D5:D16)</f>
        <v>6</v>
      </c>
      <c r="E17" s="138"/>
      <c r="F17" s="138"/>
      <c r="G17" s="138"/>
      <c r="H17" s="138"/>
      <c r="I17" s="138"/>
      <c r="K17" s="2426"/>
      <c r="L17" s="2429" t="s">
        <v>2139</v>
      </c>
      <c r="M17" s="2429" t="s">
        <v>2140</v>
      </c>
    </row>
    <row r="18" spans="1:35" ht="15" thickBot="1">
      <c r="A18" s="2430" t="s">
        <v>2141</v>
      </c>
      <c r="B18" s="2431"/>
      <c r="C18" s="142">
        <f>ROUND(C17/SUM(C17:D17),2)</f>
        <v>0.4</v>
      </c>
      <c r="D18" s="142">
        <f>1-C18</f>
        <v>0.6</v>
      </c>
      <c r="E18" s="138"/>
      <c r="F18" s="138"/>
      <c r="G18" s="138"/>
      <c r="H18" s="138"/>
      <c r="I18" s="138"/>
      <c r="K18" s="2426" t="s">
        <v>2142</v>
      </c>
      <c r="L18" s="2426">
        <f>IF(C1="",'数据-汇总表'!E3,SUMIF(项目类型,C1,'数据-汇总表'!E17:E26)+SUMIF(项目类型,C1,'数据-汇总表'!I17:I26))</f>
        <v>21386.67</v>
      </c>
      <c r="M18" s="2426">
        <f>IF(C1="",'数据-汇总表'!E3,SUMIF(项目类型,C1,'数据-汇总表'!E17:E26))</f>
        <v>21099.64</v>
      </c>
    </row>
    <row r="19" spans="1:35" ht="14.4">
      <c r="A19" s="2432" t="s">
        <v>2143</v>
      </c>
      <c r="B19" s="2433" t="s">
        <v>2144</v>
      </c>
      <c r="C19" s="143">
        <f ca="1">SUMIF(INDIRECT("'"&amp;C4&amp;"'"&amp;"!A:A"),'结果表 (2)'!B19,INDIRECT("'"&amp;C4&amp;"'"&amp;"!B:B"))</f>
        <v>92552</v>
      </c>
      <c r="D19" s="144">
        <f ca="1">SUMIF(INDIRECT("'"&amp;D4&amp;"'"&amp;"!A:A"),'结果表 (2)'!B19,INDIRECT("'"&amp;D4&amp;"'"&amp;"!B:B"))</f>
        <v>25889</v>
      </c>
      <c r="E19" s="2432" t="s">
        <v>2145</v>
      </c>
      <c r="F19" s="2433" t="s">
        <v>2144</v>
      </c>
      <c r="G19" s="145">
        <f ca="1">ROUND(C19*$C$18+D19*$D$18,0)</f>
        <v>52554</v>
      </c>
      <c r="H19" s="2434" t="s">
        <v>2146</v>
      </c>
      <c r="I19" s="138"/>
      <c r="K19" s="2426" t="s">
        <v>2147</v>
      </c>
      <c r="L19" s="2426">
        <f>IF(C1="",'数据-汇总表'!D3,SUMIF(项目类型,C1,'数据-汇总表'!D17:D26)+SUMIF(项目类型,C1,'数据-汇总表'!H17:H27))</f>
        <v>2233.89</v>
      </c>
      <c r="M19" s="2426">
        <f>IF(C1="",'数据-汇总表'!D3,SUMIF(项目类型,C1,'数据-汇总表'!D17:D26))</f>
        <v>2203.91</v>
      </c>
    </row>
    <row r="20" spans="1:35" ht="14.4">
      <c r="A20" s="2435"/>
      <c r="B20" s="1248" t="s">
        <v>2148</v>
      </c>
      <c r="C20" s="146">
        <f ca="1">SUMIF(INDIRECT("'"&amp;C4&amp;"'"&amp;"!A:A"),'结果表 (2)'!B20,INDIRECT("'"&amp;C4&amp;"'"&amp;"!B:B"))</f>
        <v>43864</v>
      </c>
      <c r="D20" s="147">
        <f ca="1">SUMIF(INDIRECT("'"&amp;D4&amp;"'"&amp;"!A:A"),'结果表 (2)'!B20,INDIRECT("'"&amp;D4&amp;"'"&amp;"!B:B"))</f>
        <v>12270</v>
      </c>
      <c r="E20" s="2435"/>
      <c r="F20" s="1248" t="s">
        <v>2148</v>
      </c>
      <c r="G20" s="148">
        <f ca="1">ROUND(C20*$C$18+D20*$D$18,0)</f>
        <v>24908</v>
      </c>
      <c r="H20" s="981" t="s">
        <v>2149</v>
      </c>
      <c r="I20" s="138"/>
    </row>
    <row r="21" spans="1:35" ht="15" customHeight="1" thickBot="1">
      <c r="A21" s="1001"/>
      <c r="B21" s="2436" t="s">
        <v>2150</v>
      </c>
      <c r="C21" s="789">
        <f ca="1">ROUND(C19*10000/L19,0)</f>
        <v>414309</v>
      </c>
      <c r="D21" s="790">
        <f ca="1">ROUND(D19*10000/L19,0)</f>
        <v>115892</v>
      </c>
      <c r="E21" s="1001"/>
      <c r="F21" s="2436" t="s">
        <v>2150</v>
      </c>
      <c r="G21" s="149">
        <f ca="1">ROUND(G19*10000/L19,0)</f>
        <v>235258</v>
      </c>
      <c r="H21" s="2437" t="s">
        <v>2149</v>
      </c>
      <c r="I21" s="138"/>
    </row>
    <row r="22" spans="1:35" ht="15" thickBot="1">
      <c r="A22" s="2279" t="s">
        <v>2151</v>
      </c>
      <c r="B22" s="2438"/>
      <c r="C22" s="2439"/>
      <c r="D22" s="791">
        <f ca="1">IF(C19&lt;D19,D19/C19-1,C19/D19-1)</f>
        <v>2.5749546139286954</v>
      </c>
      <c r="E22" s="138"/>
      <c r="F22" s="138"/>
      <c r="G22" s="138"/>
      <c r="H22" s="138"/>
      <c r="I22" s="138"/>
    </row>
    <row r="23" spans="1:35" ht="13.8" thickBot="1">
      <c r="A23" s="2416"/>
      <c r="B23" s="2416"/>
      <c r="C23" s="2416"/>
      <c r="D23" s="2416"/>
      <c r="E23" s="138"/>
      <c r="F23" s="138"/>
      <c r="G23" s="138"/>
      <c r="H23" s="138"/>
      <c r="I23" s="138"/>
      <c r="J23" s="3234" t="s">
        <v>3336</v>
      </c>
      <c r="K23" s="795">
        <f ca="1">ROUND('结果表 (2)'!G19*('收益法（汇总）'!B8+'收益法（汇总）'!B9)/'收益法（汇总）'!B2,0)</f>
        <v>44157</v>
      </c>
      <c r="L23" s="795">
        <f ca="1">ROUND(K23*10000/('数据-汇总表'!F21+'数据-汇总表'!F22),0)</f>
        <v>19825</v>
      </c>
      <c r="M23" s="795">
        <v>62500</v>
      </c>
      <c r="N23" s="795">
        <f>ROUND(M23*('数据-汇总表'!F21+'数据-汇总表'!F22)/10000,0)</f>
        <v>139208</v>
      </c>
    </row>
    <row r="24" spans="1:35" ht="14.4">
      <c r="A24" s="3552" t="s">
        <v>2152</v>
      </c>
      <c r="B24" s="2433" t="s">
        <v>2144</v>
      </c>
      <c r="C24" s="145">
        <f>IF(B30=0,0,D30)</f>
        <v>0</v>
      </c>
      <c r="D24" s="2440"/>
      <c r="E24" s="138"/>
      <c r="F24" s="138"/>
      <c r="G24" s="138"/>
      <c r="H24" s="138"/>
      <c r="I24" s="138"/>
      <c r="J24" s="3234" t="s">
        <v>3337</v>
      </c>
      <c r="K24" s="795">
        <f ca="1">ROUND(G19*'收益法（汇总）'!B7/'收益法（汇总）'!B2,0)</f>
        <v>7768</v>
      </c>
      <c r="L24" s="795">
        <f ca="1">ROUND(K24*10000/'数据-汇总表'!E20,0)</f>
        <v>3682</v>
      </c>
      <c r="M24" s="795">
        <v>20000</v>
      </c>
      <c r="N24" s="795">
        <f>ROUND(M24*('数据-汇总表'!F20+'数据-汇总表'!G20)/10000,0)</f>
        <v>42199</v>
      </c>
    </row>
    <row r="25" spans="1:35" ht="14.4">
      <c r="A25" s="3553"/>
      <c r="B25" s="1248" t="s">
        <v>2148</v>
      </c>
      <c r="C25" s="150">
        <f>IF(B30=0,0,C30)</f>
        <v>0</v>
      </c>
      <c r="D25" s="2441"/>
      <c r="E25" s="138"/>
      <c r="F25" s="138"/>
      <c r="G25" s="138"/>
      <c r="H25" s="138"/>
      <c r="I25" s="138"/>
      <c r="J25" s="3234" t="s">
        <v>3338</v>
      </c>
      <c r="K25" s="795">
        <f ca="1">G19-K23-K24</f>
        <v>629</v>
      </c>
      <c r="L25" s="795">
        <f ca="1">ROUND(K25*10000/'数据-汇总表'!E19,0)</f>
        <v>1035</v>
      </c>
      <c r="N25" s="795">
        <f ca="1">L25</f>
        <v>1035</v>
      </c>
    </row>
    <row r="26" spans="1:35" ht="13.5" customHeight="1">
      <c r="A26" s="2442" t="s">
        <v>2153</v>
      </c>
      <c r="B26" s="151" t="s">
        <v>2154</v>
      </c>
      <c r="C26" s="151" t="s">
        <v>2155</v>
      </c>
      <c r="D26" s="152" t="s">
        <v>2156</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c r="J29" s="3234" t="s">
        <v>3337</v>
      </c>
      <c r="K29" s="795">
        <f>'数据-汇总表'!F20</f>
        <v>16984.89</v>
      </c>
      <c r="L29" s="795">
        <v>1</v>
      </c>
      <c r="M29" s="3235">
        <f ca="1">K24*10000/(K29+K30*L30)</f>
        <v>4079.3466533524243</v>
      </c>
    </row>
    <row r="30" spans="1:35" ht="14.4">
      <c r="A30" s="151" t="s">
        <v>2157</v>
      </c>
      <c r="B30" s="151"/>
      <c r="C30" s="151"/>
      <c r="D30" s="151"/>
      <c r="E30" s="2925" t="s">
        <v>3032</v>
      </c>
      <c r="F30" s="138"/>
      <c r="G30" s="138"/>
      <c r="H30" s="138"/>
      <c r="I30" s="138"/>
      <c r="K30" s="795">
        <f>'数据-汇总表'!G20</f>
        <v>4114.75</v>
      </c>
      <c r="L30" s="795">
        <v>0.5</v>
      </c>
      <c r="M30" s="3235">
        <f ca="1">M29*L30</f>
        <v>2039.6733266762121</v>
      </c>
    </row>
    <row r="31" spans="1:35" s="2444" customFormat="1" ht="14.4"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2158</v>
      </c>
      <c r="B32" s="2446"/>
      <c r="C32" s="153">
        <f ca="1">IF(D32="总价",G19-C24,G20-C25)</f>
        <v>52554</v>
      </c>
      <c r="D32" s="2447" t="s">
        <v>2159</v>
      </c>
      <c r="E32" s="138"/>
      <c r="F32" s="138"/>
      <c r="G32" s="138"/>
      <c r="H32" s="138"/>
      <c r="I32" s="138"/>
    </row>
    <row r="33" spans="1:15" ht="14.4">
      <c r="A33" s="958" t="s">
        <v>2160</v>
      </c>
      <c r="B33" s="2448"/>
      <c r="C33" s="2449" t="s">
        <v>3304</v>
      </c>
      <c r="D33" s="2450" t="s">
        <v>3339</v>
      </c>
      <c r="E33" s="2451" t="s">
        <v>2161</v>
      </c>
      <c r="F33" s="3219" t="str">
        <f>IF(D32="楼面单价","取值（单价）","取值（总价）")</f>
        <v>取值（总价）</v>
      </c>
      <c r="G33" s="138"/>
      <c r="H33" s="138"/>
      <c r="I33" s="138"/>
    </row>
    <row r="34" spans="1:15" ht="14.4">
      <c r="A34" s="2453"/>
      <c r="B34" s="2454" t="s">
        <v>2162</v>
      </c>
      <c r="C34" s="157">
        <f ca="1">IF(C33="自定义",F34,C32-C35)</f>
        <v>42411</v>
      </c>
      <c r="D34" s="1056">
        <f ca="1">IF(C33="自定义",ROUND(C34/C32,3),IF(C33="收益比率",SUMIF(INDIRECT("'"&amp;D33&amp;"'"&amp;"!b:b"),"土地收益比率",INDIRECT("'"&amp;D33&amp;"'"&amp;"!c:c")),SUMIF(INDIRECT("'"&amp;D33&amp;"'"&amp;"!b:b"),"土地成本比率",INDIRECT("'"&amp;D33&amp;"'"&amp;"!c:c"))))</f>
        <v>0.80699999999999994</v>
      </c>
      <c r="E34" s="2455" t="s">
        <v>2163</v>
      </c>
      <c r="F34" s="1737"/>
      <c r="G34" s="138"/>
      <c r="H34" s="138"/>
      <c r="I34" s="138"/>
    </row>
    <row r="35" spans="1:15" ht="15" thickBot="1">
      <c r="A35" s="2456"/>
      <c r="B35" s="2457" t="s">
        <v>2164</v>
      </c>
      <c r="C35" s="1442">
        <f ca="1">IF(C33="自定义",F35,ROUND(C32*D35,0))</f>
        <v>10143</v>
      </c>
      <c r="D35" s="1443">
        <f ca="1">IF(C33="自定义",ROUND(C35/C32,3),IF(C33="收益比率",SUMIF(INDIRECT("'"&amp;D33&amp;"'"&amp;"!b:b"),"建筑物收益比率",INDIRECT("'"&amp;D33&amp;"'"&amp;"!c:c")),SUMIF(INDIRECT("'"&amp;D33&amp;"'"&amp;"!b:b"),"建筑物成本比率",INDIRECT("'"&amp;D33&amp;"'"&amp;"!c:c"))))</f>
        <v>0.193</v>
      </c>
      <c r="E35" s="2458" t="s">
        <v>2165</v>
      </c>
      <c r="F35" s="163"/>
      <c r="G35" s="138"/>
      <c r="H35" s="138"/>
      <c r="I35" s="138"/>
    </row>
    <row r="36" spans="1:15" ht="15" thickBot="1">
      <c r="A36" s="3532" t="s">
        <v>2166</v>
      </c>
      <c r="B36" s="2459" t="s">
        <v>2167</v>
      </c>
      <c r="C36" s="154"/>
      <c r="D36" s="2460"/>
      <c r="E36" s="2461"/>
      <c r="F36" s="2462"/>
      <c r="G36" s="138"/>
      <c r="H36" s="138"/>
      <c r="I36" s="138"/>
    </row>
    <row r="37" spans="1:15" ht="15" thickBot="1">
      <c r="A37" s="3533"/>
      <c r="B37" s="2265" t="s">
        <v>2168</v>
      </c>
      <c r="C37" s="156"/>
      <c r="D37" s="1393"/>
      <c r="E37" s="1393"/>
      <c r="F37" s="2462"/>
      <c r="G37" s="138"/>
      <c r="H37" s="138"/>
      <c r="I37" s="138"/>
    </row>
    <row r="38" spans="1:15" ht="15" thickBot="1">
      <c r="A38" s="3534"/>
      <c r="B38" s="2463" t="s">
        <v>2169</v>
      </c>
      <c r="C38" s="727"/>
      <c r="D38" s="2464" t="s">
        <v>2170</v>
      </c>
      <c r="E38" s="1393"/>
      <c r="F38" s="2462"/>
      <c r="G38" s="138"/>
      <c r="H38" s="138"/>
      <c r="I38" s="138"/>
    </row>
    <row r="39" spans="1:15" ht="14.4">
      <c r="A39" s="2435" t="s">
        <v>2171</v>
      </c>
      <c r="B39" s="2465" t="s">
        <v>2154</v>
      </c>
      <c r="C39" s="2466" t="s">
        <v>2155</v>
      </c>
      <c r="D39" s="2466" t="s">
        <v>2174</v>
      </c>
      <c r="E39" s="2467" t="s">
        <v>2156</v>
      </c>
      <c r="F39" s="2462"/>
      <c r="G39" s="138"/>
      <c r="H39" s="138"/>
      <c r="I39" s="138"/>
    </row>
    <row r="40" spans="1:15" ht="13.8">
      <c r="A40" s="2468" t="s">
        <v>2176</v>
      </c>
      <c r="B40" s="158"/>
      <c r="C40" s="159"/>
      <c r="D40" s="159"/>
      <c r="E40" s="160"/>
      <c r="F40" s="2462"/>
      <c r="G40" s="138"/>
      <c r="H40" s="138"/>
      <c r="I40" s="138"/>
    </row>
    <row r="41" spans="1:15" ht="13.8">
      <c r="A41" s="2468" t="s">
        <v>2177</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4"/>
      <c r="B43" s="2164"/>
      <c r="C43" s="2164"/>
      <c r="D43" s="2164"/>
      <c r="E43" s="2164"/>
      <c r="F43" s="2470"/>
      <c r="G43" s="2470"/>
      <c r="H43" s="2470"/>
      <c r="I43" s="2471"/>
    </row>
    <row r="44" spans="1:15" ht="17.399999999999999">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549" t="s">
        <v>2180</v>
      </c>
      <c r="B45" s="3550"/>
      <c r="C45" s="3551"/>
      <c r="D45" s="164">
        <f ca="1">ROUND(H101*F45,0)</f>
        <v>52554</v>
      </c>
      <c r="E45" s="165" t="s">
        <v>2181</v>
      </c>
      <c r="F45" s="166">
        <v>1</v>
      </c>
      <c r="G45" s="167" t="s">
        <v>2182</v>
      </c>
      <c r="H45" s="138"/>
      <c r="I45" s="138"/>
      <c r="J45" s="3468" t="s">
        <v>2183</v>
      </c>
      <c r="K45" s="3468"/>
      <c r="L45" s="3468"/>
      <c r="M45" s="3468"/>
      <c r="N45" s="3468"/>
      <c r="O45" s="3468"/>
    </row>
    <row r="46" spans="1:15" ht="14.25" customHeight="1">
      <c r="A46" s="3546" t="s">
        <v>2184</v>
      </c>
      <c r="B46" s="3547"/>
      <c r="C46" s="3547"/>
      <c r="D46" s="3547"/>
      <c r="E46" s="3547"/>
      <c r="F46" s="3547"/>
      <c r="G46" s="3548"/>
      <c r="H46" s="2478"/>
      <c r="I46" s="168"/>
      <c r="J46" s="3224">
        <v>1</v>
      </c>
      <c r="K46" s="3468" t="s">
        <v>2185</v>
      </c>
      <c r="L46" s="3468"/>
      <c r="M46" s="3469"/>
      <c r="N46" s="3469"/>
      <c r="O46" s="3469"/>
    </row>
    <row r="47" spans="1:15" ht="12" customHeight="1">
      <c r="A47" s="169" t="s">
        <v>2186</v>
      </c>
      <c r="B47" s="170"/>
      <c r="C47" s="171"/>
      <c r="D47" s="172" t="s">
        <v>2187</v>
      </c>
      <c r="E47" s="24" t="s">
        <v>2188</v>
      </c>
      <c r="F47" s="173" t="s">
        <v>2189</v>
      </c>
      <c r="G47" s="174" t="s">
        <v>2190</v>
      </c>
      <c r="H47" s="2478"/>
      <c r="I47" s="168"/>
      <c r="J47" s="3224">
        <v>2</v>
      </c>
      <c r="K47" s="3468" t="s">
        <v>2191</v>
      </c>
      <c r="L47" s="3468"/>
      <c r="M47" s="3470">
        <f>'数据-取费表'!B2</f>
        <v>43458</v>
      </c>
      <c r="N47" s="3470"/>
      <c r="O47" s="3470"/>
    </row>
    <row r="48" spans="1:15" ht="26.4">
      <c r="A48" s="3536" t="s">
        <v>2192</v>
      </c>
      <c r="B48" s="3537"/>
      <c r="C48" s="3537"/>
      <c r="D48" s="140">
        <f>IF(H48="情况1",0,IF(H48="情况2",D52,IF(H48="情况3",D53,IF(H48="情况4",D54))))</f>
        <v>0</v>
      </c>
      <c r="E48" s="3233" t="str">
        <f>IF(H48="情况4","(销售额-原购置价)×税（费）率","销售额×税（费）率")</f>
        <v>销售额×税（费）率</v>
      </c>
      <c r="F48" s="175" t="str">
        <f>IF(H48="情况1","免征",'数据-取费表'!B41)</f>
        <v>免征</v>
      </c>
      <c r="G48" s="2479" t="s">
        <v>2193</v>
      </c>
      <c r="H48" s="2480" t="s">
        <v>2194</v>
      </c>
      <c r="I48" s="2478"/>
      <c r="J48" s="3224">
        <v>3</v>
      </c>
      <c r="K48" s="3468" t="s">
        <v>2195</v>
      </c>
      <c r="L48" s="3468"/>
      <c r="M48" s="3471">
        <f ca="1">H101</f>
        <v>52554</v>
      </c>
      <c r="N48" s="3471"/>
      <c r="O48" s="3471"/>
    </row>
    <row r="49" spans="1:35" ht="25.5" customHeight="1">
      <c r="A49" s="176" t="s">
        <v>2196</v>
      </c>
      <c r="B49" s="3516" t="s">
        <v>2197</v>
      </c>
      <c r="C49" s="3516"/>
      <c r="D49" s="177">
        <v>0</v>
      </c>
      <c r="E49" s="23" t="s">
        <v>2198</v>
      </c>
      <c r="F49" s="28" t="s">
        <v>34</v>
      </c>
      <c r="G49" s="3497"/>
      <c r="H49" s="138"/>
      <c r="I49" s="2481"/>
      <c r="J49" s="3224">
        <v>4</v>
      </c>
      <c r="K49" s="3468" t="str">
        <f>IF(项目基本情况!E8="房地产抵押价值","房地产抵押价值","抵押担保权已注销时的房地产抵押价值")</f>
        <v>房地产抵押价值</v>
      </c>
      <c r="L49" s="3468"/>
      <c r="M49" s="3471">
        <f ca="1">IF(项目基本情况!E8="房地产抵押价值",H107,H109)</f>
        <v>52554</v>
      </c>
      <c r="N49" s="3471"/>
      <c r="O49" s="3471"/>
    </row>
    <row r="50" spans="1:35" ht="25.5" customHeight="1">
      <c r="A50" s="178"/>
      <c r="B50" s="3516" t="s">
        <v>2199</v>
      </c>
      <c r="C50" s="3516"/>
      <c r="D50" s="179"/>
      <c r="E50" s="31"/>
      <c r="F50" s="180"/>
      <c r="G50" s="3498"/>
      <c r="H50" s="138"/>
      <c r="I50" s="2481"/>
      <c r="J50" s="3468" t="s">
        <v>2200</v>
      </c>
      <c r="K50" s="3468"/>
      <c r="L50" s="3468"/>
      <c r="M50" s="3468"/>
      <c r="N50" s="3468"/>
      <c r="O50" s="3468"/>
    </row>
    <row r="51" spans="1:35" ht="12" customHeight="1">
      <c r="A51" s="181"/>
      <c r="B51" s="3516" t="s">
        <v>2201</v>
      </c>
      <c r="C51" s="3516"/>
      <c r="D51" s="182"/>
      <c r="E51" s="30"/>
      <c r="F51" s="180"/>
      <c r="G51" s="3499"/>
      <c r="H51" s="138"/>
      <c r="I51" s="2481"/>
      <c r="J51" s="3221" t="s">
        <v>2202</v>
      </c>
      <c r="K51" s="3468" t="s">
        <v>2203</v>
      </c>
      <c r="L51" s="3468"/>
      <c r="M51" s="3221" t="s">
        <v>2204</v>
      </c>
      <c r="N51" s="3221" t="s">
        <v>2205</v>
      </c>
      <c r="O51" s="3221" t="s">
        <v>2206</v>
      </c>
    </row>
    <row r="52" spans="1:35" ht="24" customHeight="1">
      <c r="A52" s="183" t="s">
        <v>2207</v>
      </c>
      <c r="B52" s="3516" t="s">
        <v>2208</v>
      </c>
      <c r="C52" s="3516"/>
      <c r="D52" s="182">
        <f ca="1">ROUND(D45*'数据-取费表'!B41/(1+'数据-取费表'!C42),0)</f>
        <v>2803</v>
      </c>
      <c r="E52" s="11" t="s">
        <v>2209</v>
      </c>
      <c r="F52" s="184">
        <f>'数据-取费表'!B41</f>
        <v>5.6000000000000001E-2</v>
      </c>
      <c r="G52" s="2483"/>
      <c r="H52" s="138"/>
      <c r="I52" s="2481"/>
      <c r="J52" s="3224">
        <v>1</v>
      </c>
      <c r="K52" s="3491" t="s">
        <v>2210</v>
      </c>
      <c r="L52" s="3491"/>
      <c r="M52" s="1752">
        <f>D48</f>
        <v>0</v>
      </c>
      <c r="N52" s="3224" t="str">
        <f>E48</f>
        <v>销售额×税（费）率</v>
      </c>
      <c r="O52" s="1753" t="str">
        <f>F48</f>
        <v>免征</v>
      </c>
    </row>
    <row r="53" spans="1:35" ht="12" customHeight="1">
      <c r="A53" s="183" t="s">
        <v>2211</v>
      </c>
      <c r="B53" s="3517" t="s">
        <v>2212</v>
      </c>
      <c r="C53" s="3518"/>
      <c r="D53" s="182">
        <f ca="1">ROUND(D45*'数据-取费表'!B41/(1+'数据-取费表'!C42),0)</f>
        <v>2803</v>
      </c>
      <c r="E53" s="11" t="s">
        <v>2209</v>
      </c>
      <c r="F53" s="184">
        <f>'数据-取费表'!B41</f>
        <v>5.6000000000000001E-2</v>
      </c>
      <c r="G53" s="2483"/>
      <c r="H53" s="138"/>
      <c r="I53" s="2481"/>
      <c r="J53" s="3224">
        <v>2</v>
      </c>
      <c r="K53" s="3491" t="s">
        <v>2213</v>
      </c>
      <c r="L53" s="3491"/>
      <c r="M53" s="1752">
        <f t="shared" ref="M53:O54" ca="1" si="0">D55</f>
        <v>26</v>
      </c>
      <c r="N53" s="3224" t="str">
        <f t="shared" si="0"/>
        <v>销售额×税（费）率</v>
      </c>
      <c r="O53" s="1753">
        <f t="shared" si="0"/>
        <v>5.0000000000000001E-4</v>
      </c>
    </row>
    <row r="54" spans="1:35" ht="12" customHeight="1">
      <c r="A54" s="183" t="s">
        <v>2214</v>
      </c>
      <c r="B54" s="3517" t="s">
        <v>2215</v>
      </c>
      <c r="C54" s="3518"/>
      <c r="D54" s="182">
        <f ca="1">C68</f>
        <v>2803</v>
      </c>
      <c r="E54" s="30" t="s">
        <v>2216</v>
      </c>
      <c r="F54" s="184">
        <f>'数据-取费表'!B41</f>
        <v>5.6000000000000001E-2</v>
      </c>
      <c r="G54" s="2483"/>
      <c r="H54" s="2484"/>
      <c r="I54" s="2481"/>
      <c r="J54" s="3224">
        <v>3</v>
      </c>
      <c r="K54" s="3491" t="s">
        <v>2217</v>
      </c>
      <c r="L54" s="3491"/>
      <c r="M54" s="1752">
        <f t="shared" ca="1" si="0"/>
        <v>29746</v>
      </c>
      <c r="N54" s="3224" t="str">
        <f t="shared" si="0"/>
        <v>增值额×税（费）率</v>
      </c>
      <c r="O54" s="1754" t="str">
        <f t="shared" si="0"/>
        <v>——</v>
      </c>
    </row>
    <row r="55" spans="1:35" ht="24" customHeight="1">
      <c r="A55" s="3555" t="s">
        <v>2218</v>
      </c>
      <c r="B55" s="3537"/>
      <c r="C55" s="3537"/>
      <c r="D55" s="185">
        <f ca="1">IF(H55="个人住宅",0,ROUND(D45*I55,0))</f>
        <v>26</v>
      </c>
      <c r="E55" s="11" t="s">
        <v>2219</v>
      </c>
      <c r="F55" s="184">
        <f>IF(H55="正常",I55,"免征")</f>
        <v>5.0000000000000001E-4</v>
      </c>
      <c r="G55" s="2483"/>
      <c r="H55" s="2480" t="s">
        <v>2220</v>
      </c>
      <c r="I55" s="186">
        <f>'数据-取费表'!B49</f>
        <v>5.0000000000000001E-4</v>
      </c>
      <c r="J55" s="3224" t="str">
        <f>IF(H59="非个人房产","",4)</f>
        <v/>
      </c>
      <c r="K55" s="3491" t="str">
        <f>IF(H59="非个人房产","——","个人所得税")</f>
        <v>——</v>
      </c>
      <c r="L55" s="3491"/>
      <c r="M55" s="1755" t="str">
        <f>D59</f>
        <v>——</v>
      </c>
      <c r="N55" s="3225" t="str">
        <f>E59</f>
        <v>——</v>
      </c>
      <c r="O55" s="1756" t="str">
        <f>F59</f>
        <v>——</v>
      </c>
    </row>
    <row r="56" spans="1:35" ht="25.2">
      <c r="A56" s="3555" t="s">
        <v>2221</v>
      </c>
      <c r="B56" s="3537"/>
      <c r="C56" s="3537"/>
      <c r="D56" s="185">
        <f ca="1">IF(H56="个人住宅",D57,D58)</f>
        <v>29746</v>
      </c>
      <c r="E56" s="11" t="s">
        <v>2222</v>
      </c>
      <c r="F56" s="184" t="str">
        <f>IF(H56="正常",F58,"免征")</f>
        <v>——</v>
      </c>
      <c r="G56" s="2485" t="s">
        <v>2223</v>
      </c>
      <c r="H56" s="2486" t="s">
        <v>2220</v>
      </c>
      <c r="I56" s="2487"/>
      <c r="J56" s="3224" t="str">
        <f>IF(项目基本情况!K6="上海银行",IF(J55="",4,J55+1),"")</f>
        <v/>
      </c>
      <c r="K56" s="3474" t="str">
        <f>IF(项目基本情况!K6="上海银行","其他处置费用","")</f>
        <v/>
      </c>
      <c r="L56" s="3475"/>
      <c r="M56" s="1752" t="str">
        <f>IF(项目基本情况!K6="上海银行",M69,"")</f>
        <v/>
      </c>
      <c r="N56" s="3477" t="str">
        <f>IF(项目基本情况!K6="上海银行","包含处置中涉及的律师、诉讼、拍卖、评估等费用","")</f>
        <v/>
      </c>
      <c r="O56" s="3478"/>
    </row>
    <row r="57" spans="1:35" ht="13.2">
      <c r="A57" s="183" t="s">
        <v>2196</v>
      </c>
      <c r="B57" s="3522" t="s">
        <v>2224</v>
      </c>
      <c r="C57" s="3523"/>
      <c r="D57" s="187">
        <v>0</v>
      </c>
      <c r="E57" s="23" t="s">
        <v>2198</v>
      </c>
      <c r="F57" s="155"/>
      <c r="G57" s="2483"/>
      <c r="H57" s="2487"/>
      <c r="I57" s="2487"/>
      <c r="J57" s="3491">
        <f>IF(AND(J55="",J56=""),4,IF(项目基本情况!K6="上海银行",'结果表 (2)'!J56+1,'结果表 (2)'!J55+1))</f>
        <v>4</v>
      </c>
      <c r="K57" s="3491" t="s">
        <v>2225</v>
      </c>
      <c r="L57" s="2488" t="s">
        <v>2226</v>
      </c>
      <c r="M57" s="1757"/>
      <c r="N57" s="1758">
        <f ca="1">SUMIF(M52:M56,"&lt;9e307")</f>
        <v>29772</v>
      </c>
      <c r="O57" s="2489"/>
      <c r="P57" s="1751">
        <f ca="1">N57/M49</f>
        <v>0.56650302545952735</v>
      </c>
    </row>
    <row r="58" spans="1:35" ht="25.2">
      <c r="A58" s="183" t="s">
        <v>2207</v>
      </c>
      <c r="B58" s="3522" t="s">
        <v>2227</v>
      </c>
      <c r="C58" s="3535"/>
      <c r="D58" s="185">
        <f ca="1">IF(H58="转让取得",C81,C97)</f>
        <v>29746</v>
      </c>
      <c r="E58" s="11" t="s">
        <v>2222</v>
      </c>
      <c r="F58" s="24" t="s">
        <v>34</v>
      </c>
      <c r="G58" s="2483"/>
      <c r="H58" s="2486" t="s">
        <v>2228</v>
      </c>
      <c r="I58" s="2487"/>
      <c r="J58" s="3491"/>
      <c r="K58" s="3491"/>
      <c r="L58" s="2488" t="s">
        <v>2229</v>
      </c>
      <c r="M58" s="1759"/>
      <c r="N58" s="2490" t="str">
        <f ca="1">NUMBERSTRING(INT(N57*10000),2)&amp;"元整"</f>
        <v>贰亿玖仟柒佰柒拾贰万元整</v>
      </c>
      <c r="O58" s="2491"/>
    </row>
    <row r="59" spans="1:35" ht="24.6" thickBot="1">
      <c r="A59" s="3495" t="s">
        <v>2230</v>
      </c>
      <c r="B59" s="3496"/>
      <c r="C59" s="349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493">
        <f>J57+1</f>
        <v>5</v>
      </c>
      <c r="K59" s="3491" t="s">
        <v>2232</v>
      </c>
      <c r="L59" s="3224" t="s">
        <v>2226</v>
      </c>
      <c r="M59" s="1760"/>
      <c r="N59" s="1761">
        <f ca="1">M49-N57</f>
        <v>22782</v>
      </c>
      <c r="O59" s="2493"/>
    </row>
    <row r="60" spans="1:35" ht="12" customHeight="1">
      <c r="A60" s="2494"/>
      <c r="B60" s="2416"/>
      <c r="C60" s="2416"/>
      <c r="D60" s="2416"/>
      <c r="E60" s="2165"/>
      <c r="F60" s="2487"/>
      <c r="G60" s="2487"/>
      <c r="H60" s="2495"/>
      <c r="I60" s="138"/>
      <c r="J60" s="3494"/>
      <c r="K60" s="3491"/>
      <c r="L60" s="2488" t="s">
        <v>2229</v>
      </c>
      <c r="M60" s="1759"/>
      <c r="N60" s="2490" t="str">
        <f ca="1">NUMBERSTRING(INT(N59*10000),2)&amp;"元整"</f>
        <v>贰亿贰仟柒佰捌拾贰万元整</v>
      </c>
      <c r="O60" s="2491"/>
    </row>
    <row r="61" spans="1:35" ht="13.8" thickBot="1">
      <c r="A61" s="3554" t="s">
        <v>2233</v>
      </c>
      <c r="B61" s="3554"/>
      <c r="C61" s="3554"/>
      <c r="D61" s="3554"/>
      <c r="E61" s="3554"/>
      <c r="F61" s="2487"/>
      <c r="G61" s="2487"/>
      <c r="H61" s="2495"/>
      <c r="I61" s="138"/>
      <c r="J61" s="3224">
        <f>J59+1</f>
        <v>6</v>
      </c>
      <c r="K61" s="3491" t="s">
        <v>2234</v>
      </c>
      <c r="L61" s="3491"/>
      <c r="M61" s="1762"/>
      <c r="N61" s="1763">
        <f ca="1">ROUND(N59*10000/'数据-汇总表'!E3,0)</f>
        <v>4545</v>
      </c>
      <c r="O61" s="2496"/>
    </row>
    <row r="62" spans="1:35" ht="13.2">
      <c r="A62" s="3511" t="s">
        <v>2235</v>
      </c>
      <c r="B62" s="3512"/>
      <c r="C62" s="3229"/>
      <c r="D62" s="3229" t="s">
        <v>2236</v>
      </c>
      <c r="E62" s="192" t="s">
        <v>2237</v>
      </c>
      <c r="F62" s="2487"/>
      <c r="G62" s="2487"/>
      <c r="H62" s="2495"/>
      <c r="I62" s="138"/>
    </row>
    <row r="63" spans="1:35" ht="13.2">
      <c r="A63" s="203" t="s">
        <v>775</v>
      </c>
      <c r="B63" s="193" t="s">
        <v>2238</v>
      </c>
      <c r="C63" s="194">
        <f ca="1">ROUND((C64+C65)/(1+'数据-取费表'!C42),0)</f>
        <v>50051</v>
      </c>
      <c r="D63" s="195"/>
      <c r="E63" s="196"/>
      <c r="F63" s="2487"/>
      <c r="G63" s="2487"/>
      <c r="H63" s="2495"/>
      <c r="I63" s="138"/>
      <c r="J63" s="3476" t="s">
        <v>2239</v>
      </c>
      <c r="K63" s="3222" t="s">
        <v>2240</v>
      </c>
      <c r="L63" s="1750">
        <f ca="1">IF(M49&gt;10000,M49*0.5%,IF(AND(M49&gt;1000,M49&lt;=10000),M49*1%,IF(AND(M49&gt;100,M49&lt;=1000),M49*3%,IF(AND(M49&gt;10,M49&lt;=100),M49*5%,M49*8%))))</f>
        <v>262.77</v>
      </c>
      <c r="M63" s="24">
        <f ca="1">ROUND(L63,1)</f>
        <v>262.8</v>
      </c>
      <c r="Z63" s="2421"/>
      <c r="AI63" s="2422"/>
    </row>
    <row r="64" spans="1:35" ht="14.25" customHeight="1">
      <c r="A64" s="197" t="s">
        <v>770</v>
      </c>
      <c r="B64" s="198" t="s">
        <v>2241</v>
      </c>
      <c r="C64" s="199">
        <f ca="1">D45</f>
        <v>52554</v>
      </c>
      <c r="D64" s="200" t="s">
        <v>32</v>
      </c>
      <c r="E64" s="201"/>
      <c r="F64" s="2487"/>
      <c r="G64" s="2487"/>
      <c r="H64" s="2495"/>
      <c r="I64" s="138"/>
      <c r="J64" s="3476"/>
      <c r="K64" s="3222" t="s">
        <v>2242</v>
      </c>
      <c r="L64" s="1750">
        <f ca="1">IF(M49&gt;2000,M49*0.5%,IF(AND(M49&gt;1000,M49&lt;=2000),M49*0.6%,IF(AND(M49&gt;500,M49&lt;=1000),M49*0.7%,IF(AND(M49&gt;200,M49&lt;=500),M49*0.8%,IF(AND(M49&gt;100,M49&lt;=200),M49*0.9%,IF(AND(M49&gt;50,M49&lt;=100),M49*1%,IF(AND(M49&gt;20,M49&lt;=50),M49*1.5%,IF(AND(M49&gt;10,M49&lt;=20),M49*2%,IF(AND(M49&gt;1,M49&lt;=10),M49*2.5%)))))))))</f>
        <v>262.77</v>
      </c>
      <c r="M64" s="24">
        <f ca="1">ROUND(L64,1)</f>
        <v>262.8</v>
      </c>
      <c r="N64" s="138" t="s">
        <v>2243</v>
      </c>
      <c r="Z64" s="2421"/>
      <c r="AI64" s="2422"/>
    </row>
    <row r="65" spans="1:35" ht="14.25" customHeight="1">
      <c r="A65" s="197" t="s">
        <v>771</v>
      </c>
      <c r="B65" s="198" t="s">
        <v>2244</v>
      </c>
      <c r="C65" s="202"/>
      <c r="D65" s="200"/>
      <c r="E65" s="201"/>
      <c r="F65" s="2487"/>
      <c r="G65" s="2487"/>
      <c r="H65" s="2495"/>
      <c r="I65" s="138"/>
      <c r="J65" s="3476"/>
      <c r="K65" s="3222" t="s">
        <v>2245</v>
      </c>
      <c r="L65" s="1750">
        <f ca="1">IF(M49&gt;1000,M49*0.1%,IF(AND(M49&gt;500,M49&lt;=1000),M49*0.5%,IF(AND(M49&gt;50,M49&lt;=500),M49*1%,IF(AND(M49&gt;1,M49&lt;=50),M49*1.5%))))</f>
        <v>52.554000000000002</v>
      </c>
      <c r="M65" s="24">
        <f ca="1">ROUND(L65,1)</f>
        <v>52.6</v>
      </c>
      <c r="N65" s="138" t="s">
        <v>2243</v>
      </c>
      <c r="Z65" s="2421"/>
      <c r="AI65" s="2422"/>
    </row>
    <row r="66" spans="1:35" ht="14.25" customHeight="1">
      <c r="A66" s="203" t="s">
        <v>772</v>
      </c>
      <c r="B66" s="204" t="s">
        <v>2246</v>
      </c>
      <c r="C66" s="205"/>
      <c r="D66" s="206" t="s">
        <v>32</v>
      </c>
      <c r="E66" s="1774" t="s">
        <v>1371</v>
      </c>
      <c r="F66" s="2487"/>
      <c r="G66" s="2487"/>
      <c r="H66" s="2495"/>
      <c r="I66" s="138"/>
      <c r="J66" s="3476"/>
      <c r="K66" s="3222" t="s">
        <v>2247</v>
      </c>
      <c r="L66" s="1750">
        <f ca="1">M49*0.5%</f>
        <v>262.77</v>
      </c>
      <c r="M66" s="24">
        <f ca="1">IF(L66&gt;0.5,0.5,ROUND(L66,0))</f>
        <v>0.5</v>
      </c>
      <c r="N66" s="138" t="s">
        <v>2248</v>
      </c>
      <c r="Z66" s="2421"/>
      <c r="AI66" s="2422"/>
    </row>
    <row r="67" spans="1:35" ht="14.25" customHeight="1">
      <c r="A67" s="203" t="s">
        <v>773</v>
      </c>
      <c r="B67" s="204" t="s">
        <v>2249</v>
      </c>
      <c r="C67" s="207">
        <f ca="1">C63-C66</f>
        <v>50051</v>
      </c>
      <c r="D67" s="200" t="s">
        <v>32</v>
      </c>
      <c r="E67" s="201"/>
      <c r="F67" s="2487"/>
      <c r="G67" s="2487"/>
      <c r="H67" s="2495"/>
      <c r="I67" s="138"/>
      <c r="J67" s="3476"/>
      <c r="K67" s="3222" t="s">
        <v>2250</v>
      </c>
      <c r="L67" s="1750">
        <f ca="1">IF(M49&gt;=10000,(8.25+(M49-10000)*0.01%),IF(AND(M49&gt;=8000,M49&lt;10000),(7.85+(M49-8000)*0.02%),IF(AND(M49&gt;=5000,M49&lt;8000),(6.65+(M49-5000)*0.04%),IF(AND(M49&gt;=2000,M49&lt;5000),(4.25+(PM49-2000)*0.08%),IF(AND(M49&gt;=1000,M49&lt;2000),(2.75+(M49-1000)*0.15%),IF(AND(M49&gt;=100,M49&lt;1000),(0.5+(M49-100)*0.25%),IF(AND(M49&gt;0,M49&lt;100),M49*0.5%)))))))</f>
        <v>12.5054</v>
      </c>
      <c r="M67" s="24">
        <f ca="1">ROUND(L67*0.9,1)</f>
        <v>11.3</v>
      </c>
      <c r="Z67" s="2421"/>
      <c r="AI67" s="2422"/>
    </row>
    <row r="68" spans="1:35" ht="14.25" customHeight="1" thickBot="1">
      <c r="A68" s="208" t="s">
        <v>774</v>
      </c>
      <c r="B68" s="209" t="s">
        <v>2251</v>
      </c>
      <c r="C68" s="210">
        <f ca="1">IF(C67&lt;=0,0,ROUND(C67*D68,0))</f>
        <v>2803</v>
      </c>
      <c r="D68" s="211">
        <f>'数据-取费表'!B41</f>
        <v>5.6000000000000001E-2</v>
      </c>
      <c r="E68" s="212"/>
      <c r="F68" s="2487"/>
      <c r="G68" s="2487"/>
      <c r="H68" s="2495"/>
      <c r="I68" s="138"/>
      <c r="J68" s="3476"/>
      <c r="K68" s="3222" t="s">
        <v>2252</v>
      </c>
      <c r="L68" s="1750">
        <f ca="1">IF(M49&gt;10000,M49*0.5%,IF(AND(M49&gt;5000,M49&lt;=10000),M49*1%,IF(AND(M49&gt;1000,M49&lt;=5000),M49*2%,IF(AND(M49&gt;200,M49&lt;=1000),M49*3%,M49*5%))))</f>
        <v>262.77</v>
      </c>
      <c r="M68" s="24">
        <f ca="1">ROUND(L68,1)</f>
        <v>262.8</v>
      </c>
      <c r="Z68" s="2421"/>
      <c r="AI68" s="2422"/>
    </row>
    <row r="69" spans="1:35" s="2444" customFormat="1" ht="16.5" customHeight="1">
      <c r="A69" s="2498"/>
      <c r="B69" s="2499"/>
      <c r="C69" s="2500"/>
      <c r="D69" s="2501"/>
      <c r="E69" s="2502"/>
      <c r="F69" s="2165"/>
      <c r="G69" s="2165"/>
      <c r="H69" s="2164"/>
      <c r="I69" s="2416"/>
      <c r="J69" s="3476"/>
      <c r="K69" s="3222" t="s">
        <v>2253</v>
      </c>
      <c r="L69" s="2503"/>
      <c r="M69" s="24">
        <f ca="1">ROUND(SUM(M63:M68),0)</f>
        <v>853</v>
      </c>
      <c r="N69" s="1751">
        <f ca="1">M69/M49</f>
        <v>1.6230924382539865E-2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4" thickBot="1">
      <c r="A70" s="3520" t="s">
        <v>2254</v>
      </c>
      <c r="B70" s="3521"/>
      <c r="C70" s="3521"/>
      <c r="D70" s="3521"/>
      <c r="E70" s="3521"/>
      <c r="F70" s="3521"/>
      <c r="G70" s="3521"/>
      <c r="H70" s="352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511" t="s">
        <v>2235</v>
      </c>
      <c r="B71" s="3512"/>
      <c r="C71" s="3229"/>
      <c r="D71" s="3229"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775</v>
      </c>
      <c r="B72" s="204" t="s">
        <v>2255</v>
      </c>
      <c r="C72" s="207">
        <f ca="1">ROUND(D45/(1+'数据-取费表'!C42),0)</f>
        <v>50051</v>
      </c>
      <c r="D72" s="200" t="s">
        <v>32</v>
      </c>
      <c r="E72" s="3231"/>
      <c r="F72" s="3230"/>
      <c r="G72" s="323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772</v>
      </c>
      <c r="B73" s="173" t="s">
        <v>2256</v>
      </c>
      <c r="C73" s="207">
        <f ca="1">C74+C78</f>
        <v>300</v>
      </c>
      <c r="D73" s="200" t="s">
        <v>32</v>
      </c>
      <c r="E73" s="3231"/>
      <c r="F73" s="3230"/>
      <c r="G73" s="323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3231"/>
      <c r="F74" s="3230"/>
      <c r="G74" s="323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517" t="s">
        <v>2263</v>
      </c>
      <c r="F76" s="3516"/>
      <c r="G76" s="3516"/>
      <c r="H76" s="351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3223" t="s">
        <v>2265</v>
      </c>
      <c r="F77" s="224"/>
      <c r="G77" s="2511" t="s">
        <v>2266</v>
      </c>
      <c r="H77" s="323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300</v>
      </c>
      <c r="D78" s="226">
        <f>'数据-取费表'!B43</f>
        <v>6.000000000000001E-3</v>
      </c>
      <c r="E78" s="3508" t="s">
        <v>2268</v>
      </c>
      <c r="F78" s="3509"/>
      <c r="G78" s="3509"/>
      <c r="H78" s="351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779</v>
      </c>
      <c r="B79" s="204" t="s">
        <v>2269</v>
      </c>
      <c r="C79" s="207">
        <f ca="1">C72-C73</f>
        <v>49751</v>
      </c>
      <c r="D79" s="200" t="s">
        <v>32</v>
      </c>
      <c r="E79" s="3231"/>
      <c r="F79" s="3230"/>
      <c r="G79" s="323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165.83666666666667</v>
      </c>
      <c r="D80" s="200" t="s">
        <v>32</v>
      </c>
      <c r="E80" s="3223" t="str">
        <f ca="1">IF(C80&gt;=200%,"增值额超过扣除项目金额200%",IF(C80&gt;=100%,"增值额超过扣除项目金额100%，未超过200%",IF(C80&gt;=50%,"增值额超过扣除项目金额50%，未超过100%",IF(C80&lt;50%,"增值额未超过扣除项目金额50%"))))</f>
        <v>增值额超过扣除项目金额200%</v>
      </c>
      <c r="F80" s="3230"/>
      <c r="G80" s="323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781</v>
      </c>
      <c r="B81" s="209" t="s">
        <v>2271</v>
      </c>
      <c r="C81" s="228">
        <f ca="1">ROUND(IF(C79&lt;=0,0,IF(C80&gt;=200%,C79*60%-C73*35%,IF(C80&gt;=100%,C79*50%-C73*15%,IF(C80&gt;=50%,C79*40%-C73*5%,IF(C80&lt;50%,C79*30%,0))))),0)</f>
        <v>29746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520" t="s">
        <v>2272</v>
      </c>
      <c r="B83" s="3521"/>
      <c r="C83" s="3521"/>
      <c r="D83" s="3521"/>
      <c r="E83" s="3521"/>
      <c r="F83" s="3521"/>
      <c r="G83" s="3521"/>
      <c r="H83" s="352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511" t="s">
        <v>2235</v>
      </c>
      <c r="B84" s="3512"/>
      <c r="C84" s="3229"/>
      <c r="D84" s="3229"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c r="A85" s="203" t="s">
        <v>775</v>
      </c>
      <c r="B85" s="204" t="s">
        <v>2255</v>
      </c>
      <c r="C85" s="207">
        <f ca="1">ROUND(D45/(1+'数据-取费表'!C42),0)</f>
        <v>50051</v>
      </c>
      <c r="D85" s="200" t="s">
        <v>32</v>
      </c>
      <c r="E85" s="3231"/>
      <c r="F85" s="3230"/>
      <c r="G85" s="323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c r="A86" s="203" t="s">
        <v>772</v>
      </c>
      <c r="B86" s="173" t="s">
        <v>2256</v>
      </c>
      <c r="C86" s="207">
        <f ca="1">IF(H88="仅含出让金",C87+C90+C91+C92+C93+C94,C87+C91+C92+C93+C94)</f>
        <v>300</v>
      </c>
      <c r="D86" s="235"/>
      <c r="E86" s="3231"/>
      <c r="F86" s="3230"/>
      <c r="G86" s="323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770</v>
      </c>
      <c r="B87" s="198" t="s">
        <v>2273</v>
      </c>
      <c r="C87" s="225">
        <f>C88+C89</f>
        <v>0</v>
      </c>
      <c r="D87" s="226"/>
      <c r="E87" s="3226"/>
      <c r="F87" s="3227"/>
      <c r="G87" s="3227"/>
      <c r="H87" s="322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c r="A88" s="217" t="s">
        <v>776</v>
      </c>
      <c r="B88" s="198" t="s">
        <v>2274</v>
      </c>
      <c r="C88" s="236"/>
      <c r="D88" s="226"/>
      <c r="E88" s="237" t="s">
        <v>2275</v>
      </c>
      <c r="F88" s="3227"/>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777</v>
      </c>
      <c r="B89" s="198" t="s">
        <v>2264</v>
      </c>
      <c r="C89" s="225">
        <f>ROUND(C88*D89,0)</f>
        <v>0</v>
      </c>
      <c r="D89" s="226">
        <f>'数据-取费表'!B48+'数据-取费表'!B49</f>
        <v>3.0499999999999999E-2</v>
      </c>
      <c r="E89" s="237" t="s">
        <v>2277</v>
      </c>
      <c r="F89" s="3227"/>
      <c r="G89" s="3227"/>
      <c r="H89" s="322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771</v>
      </c>
      <c r="B90" s="198" t="s">
        <v>2278</v>
      </c>
      <c r="C90" s="236"/>
      <c r="D90" s="226"/>
      <c r="E90" s="237" t="str">
        <f>IF(H88="-","土地取得成本中已包含该笔费用"," ")</f>
        <v xml:space="preserve"> </v>
      </c>
      <c r="F90" s="3227"/>
      <c r="G90" s="3227"/>
      <c r="H90" s="322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508" t="s">
        <v>2281</v>
      </c>
      <c r="F91" s="3509"/>
      <c r="G91" s="3509"/>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508" t="s">
        <v>2285</v>
      </c>
      <c r="F92" s="3509"/>
      <c r="G92" s="3509"/>
      <c r="H92" s="351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300</v>
      </c>
      <c r="D93" s="226">
        <f>'数据-取费表'!B43</f>
        <v>6.000000000000001E-3</v>
      </c>
      <c r="E93" s="3508" t="s">
        <v>2268</v>
      </c>
      <c r="F93" s="3509"/>
      <c r="G93" s="3509"/>
      <c r="H93" s="351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556" t="s">
        <v>2289</v>
      </c>
      <c r="F94" s="3557"/>
      <c r="G94" s="3557"/>
      <c r="H94" s="355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779</v>
      </c>
      <c r="B95" s="204" t="s">
        <v>2269</v>
      </c>
      <c r="C95" s="207">
        <f ca="1">ROUND(C85-C86,0)</f>
        <v>49751</v>
      </c>
      <c r="D95" s="200" t="s">
        <v>32</v>
      </c>
      <c r="E95" s="3231"/>
      <c r="F95" s="3230"/>
      <c r="G95" s="323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165.83666666666667</v>
      </c>
      <c r="D96" s="200" t="s">
        <v>32</v>
      </c>
      <c r="E96" s="3223" t="str">
        <f ca="1">IF(C96&gt;=200%,"增值额超过扣除项目金额200%",IF(C96&gt;=100%,"增值额超过扣除项目金额100%，未超过200%",IF(C96&gt;=50%,"增值额超过扣除项目金额50%，未超过100%",IF(C96&lt;50%,"增值额未超过扣除项目金额50%"))))</f>
        <v>增值额超过扣除项目金额200%</v>
      </c>
      <c r="F96" s="3230"/>
      <c r="G96" s="323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781</v>
      </c>
      <c r="B97" s="209" t="s">
        <v>2271</v>
      </c>
      <c r="C97" s="228">
        <f ca="1">ROUND(IF(C95&lt;=0,0,IF(C96&gt;=200%,C95*60%-C86*35%,IF(C96&gt;=100%,C95*50%-C86*15%,IF(C96&gt;=50%,C95*40%-C86*5%,IF(C96&lt;50%,C95*30%,0))))),0)</f>
        <v>29746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460" t="s">
        <v>2291</v>
      </c>
      <c r="B100" s="3461"/>
      <c r="C100" s="3461"/>
      <c r="D100" s="3492"/>
      <c r="E100" s="3461" t="s">
        <v>2292</v>
      </c>
      <c r="F100" s="3461"/>
      <c r="G100" s="3461"/>
      <c r="H100" s="3492"/>
      <c r="I100" s="138"/>
    </row>
    <row r="101" spans="1:35" ht="18.75" customHeight="1">
      <c r="A101" s="3500" t="s">
        <v>2293</v>
      </c>
      <c r="B101" s="3501"/>
      <c r="C101" s="736" t="str">
        <f>C4</f>
        <v>成本法 (2)</v>
      </c>
      <c r="D101" s="737" t="str">
        <f>D4</f>
        <v>收益法-酒店</v>
      </c>
      <c r="E101" s="3472" t="s">
        <v>2294</v>
      </c>
      <c r="F101" s="3473"/>
      <c r="G101" s="2518" t="s">
        <v>2295</v>
      </c>
      <c r="H101" s="1046">
        <f ca="1">H118</f>
        <v>52554</v>
      </c>
      <c r="I101" s="138"/>
    </row>
    <row r="102" spans="1:35" ht="18.75" customHeight="1">
      <c r="A102" s="3502" t="s">
        <v>2296</v>
      </c>
      <c r="B102" s="2518" t="s">
        <v>2295</v>
      </c>
      <c r="C102" s="736">
        <f ca="1">C19</f>
        <v>92552</v>
      </c>
      <c r="D102" s="737">
        <f ca="1">D19</f>
        <v>25889</v>
      </c>
      <c r="E102" s="3472"/>
      <c r="F102" s="3473"/>
      <c r="G102" s="2518" t="s">
        <v>2297</v>
      </c>
      <c r="H102" s="371">
        <f ca="1">I118</f>
        <v>24908</v>
      </c>
      <c r="I102" s="138"/>
    </row>
    <row r="103" spans="1:35" ht="42.75" customHeight="1">
      <c r="A103" s="3502"/>
      <c r="B103" s="2518" t="s">
        <v>2297</v>
      </c>
      <c r="C103" s="738">
        <f ca="1">C20</f>
        <v>43864</v>
      </c>
      <c r="D103" s="739">
        <f ca="1">D20</f>
        <v>12270</v>
      </c>
      <c r="E103" s="3466" t="s">
        <v>2298</v>
      </c>
      <c r="F103" s="3467"/>
      <c r="G103" s="2519" t="s">
        <v>2299</v>
      </c>
      <c r="H103" s="1046">
        <f>IF(D36="正常操作",H104+H105+H106,H105+H106)</f>
        <v>0</v>
      </c>
      <c r="I103" s="138"/>
    </row>
    <row r="104" spans="1:35" ht="18.75" customHeight="1">
      <c r="A104" s="3502" t="s">
        <v>2300</v>
      </c>
      <c r="B104" s="2520" t="s">
        <v>2295</v>
      </c>
      <c r="C104" s="740">
        <f ca="1">H118</f>
        <v>52554</v>
      </c>
      <c r="D104" s="741"/>
      <c r="E104" s="2265" t="s">
        <v>2301</v>
      </c>
      <c r="F104" s="2257"/>
      <c r="G104" s="2519" t="s">
        <v>2299</v>
      </c>
      <c r="H104" s="1047">
        <f>IF(D36="同一抵押权人同一抵押物续贷",C36&amp;"（未扣减，详见特别提示）",C36)</f>
        <v>0</v>
      </c>
      <c r="I104" s="138"/>
    </row>
    <row r="105" spans="1:35" ht="18.75" customHeight="1" thickBot="1">
      <c r="A105" s="3514"/>
      <c r="B105" s="2521" t="s">
        <v>2297</v>
      </c>
      <c r="C105" s="742">
        <f ca="1">I118</f>
        <v>24908</v>
      </c>
      <c r="D105" s="743"/>
      <c r="E105" s="2265" t="s">
        <v>2302</v>
      </c>
      <c r="F105" s="2257"/>
      <c r="G105" s="2519" t="s">
        <v>2299</v>
      </c>
      <c r="H105" s="1047">
        <f>C37</f>
        <v>0</v>
      </c>
      <c r="I105" s="138"/>
    </row>
    <row r="106" spans="1:35" ht="18.75" customHeight="1">
      <c r="A106" s="2416" t="s">
        <v>2303</v>
      </c>
      <c r="B106" s="2416"/>
      <c r="C106" s="2416"/>
      <c r="D106" s="2416"/>
      <c r="E106" s="2522" t="s">
        <v>2304</v>
      </c>
      <c r="F106" s="2257"/>
      <c r="G106" s="2519" t="s">
        <v>2299</v>
      </c>
      <c r="H106" s="1047">
        <f>C38</f>
        <v>0</v>
      </c>
      <c r="I106" s="138"/>
    </row>
    <row r="107" spans="1:35" ht="18.75" customHeight="1">
      <c r="A107" s="138"/>
      <c r="B107" s="138"/>
      <c r="C107" s="138"/>
      <c r="D107" s="138"/>
      <c r="E107" s="3503" t="str">
        <f>IF(项目基本情况!E8="已注销","——","3.房地产抵押价值")</f>
        <v>3.房地产抵押价值</v>
      </c>
      <c r="F107" s="3473"/>
      <c r="G107" s="2518" t="s">
        <v>2295</v>
      </c>
      <c r="H107" s="1046">
        <f ca="1">IF(E107="——","——",H101-H103)</f>
        <v>52554</v>
      </c>
      <c r="I107" s="138"/>
    </row>
    <row r="108" spans="1:35" ht="18.75" customHeight="1">
      <c r="A108" s="138"/>
      <c r="B108" s="138"/>
      <c r="C108" s="138"/>
      <c r="D108" s="138"/>
      <c r="E108" s="3503"/>
      <c r="F108" s="3473"/>
      <c r="G108" s="2518" t="s">
        <v>2297</v>
      </c>
      <c r="H108" s="371">
        <f ca="1">ROUND(H107*10000/'数据-汇总表'!E3,0)</f>
        <v>10486</v>
      </c>
      <c r="I108" s="138"/>
    </row>
    <row r="109" spans="1:35" ht="18.75" customHeight="1">
      <c r="A109" s="138"/>
      <c r="B109" s="138"/>
      <c r="C109" s="138"/>
      <c r="D109" s="138"/>
      <c r="E109" s="3503" t="str">
        <f>IF(项目基本情况!E8="已注销及未注销","4.抵押担保权已注销时的房地产抵押价值",IF(项目基本情况!E8="已注销","3.抵押担保权已注销时的房地产抵押价值","——"))</f>
        <v>——</v>
      </c>
      <c r="F109" s="3473"/>
      <c r="G109" s="2518" t="s">
        <v>2295</v>
      </c>
      <c r="H109" s="348" t="str">
        <f>IF(E109="——","——",H101-H105-H106)</f>
        <v>——</v>
      </c>
      <c r="I109" s="138"/>
    </row>
    <row r="110" spans="1:35" ht="18.75" customHeight="1">
      <c r="A110" s="138"/>
      <c r="B110" s="138"/>
      <c r="C110" s="138"/>
      <c r="D110" s="138"/>
      <c r="E110" s="3503"/>
      <c r="F110" s="3473"/>
      <c r="G110" s="2518" t="s">
        <v>2297</v>
      </c>
      <c r="H110" s="371" t="str">
        <f>IF(H109="——","——",ROUND(H109*10000/'数据-汇总表'!E3,0))</f>
        <v>——</v>
      </c>
      <c r="I110" s="138"/>
    </row>
    <row r="111" spans="1:35" ht="18.75" customHeight="1">
      <c r="A111" s="138"/>
      <c r="B111" s="138"/>
      <c r="C111" s="138"/>
      <c r="D111" s="138"/>
      <c r="E111" s="3504" t="str">
        <f>IF(项目基本情况!E9="抵押净值",IF(OR(项目基本情况!E8="已注销",项目基本情况!E8="房地产抵押价值"),"4.抵押净值","5.抵押净值"),"——")</f>
        <v>——</v>
      </c>
      <c r="F111" s="3505"/>
      <c r="G111" s="2518" t="s">
        <v>2295</v>
      </c>
      <c r="H111" s="1046" t="str">
        <f>IF(E111="——","——",N59)</f>
        <v>——</v>
      </c>
      <c r="I111" s="138"/>
    </row>
    <row r="112" spans="1:35" ht="18.75" customHeight="1" thickBot="1">
      <c r="A112" s="138"/>
      <c r="B112" s="138"/>
      <c r="C112" s="138"/>
      <c r="D112" s="138"/>
      <c r="E112" s="3506"/>
      <c r="F112" s="3507"/>
      <c r="G112" s="2523" t="s">
        <v>2297</v>
      </c>
      <c r="H112" s="790" t="str">
        <f>IF(E111="——","——",N61)</f>
        <v>——</v>
      </c>
      <c r="I112" s="138"/>
    </row>
    <row r="113" spans="1:11" ht="18.75" customHeight="1">
      <c r="A113" s="138"/>
      <c r="B113" s="138"/>
      <c r="C113" s="138"/>
      <c r="D113" s="138"/>
      <c r="E113" s="3515" t="s">
        <v>2303</v>
      </c>
      <c r="F113" s="3515"/>
      <c r="G113" s="3515"/>
      <c r="H113" s="3515"/>
      <c r="I113" s="138"/>
    </row>
    <row r="114" spans="1:11" ht="3.75" customHeight="1">
      <c r="A114" s="2416"/>
      <c r="B114" s="2416"/>
      <c r="C114" s="2416"/>
      <c r="D114" s="2416"/>
      <c r="E114" s="2494"/>
      <c r="F114" s="2494"/>
      <c r="G114" s="2494"/>
      <c r="H114" s="2494"/>
      <c r="I114" s="2416"/>
    </row>
    <row r="115" spans="1:11" ht="18.75" customHeight="1">
      <c r="A115" s="3528" t="s">
        <v>2305</v>
      </c>
      <c r="B115" s="3529"/>
      <c r="C115" s="3529"/>
      <c r="D115" s="3529"/>
      <c r="E115" s="3529"/>
      <c r="F115" s="3529"/>
      <c r="G115" s="3529"/>
      <c r="H115" s="3529"/>
      <c r="I115" s="3530"/>
    </row>
    <row r="116" spans="1:11" ht="27" customHeight="1">
      <c r="A116" s="3439" t="s">
        <v>2306</v>
      </c>
      <c r="B116" s="3482" t="s">
        <v>2307</v>
      </c>
      <c r="C116" s="3482" t="s">
        <v>2308</v>
      </c>
      <c r="D116" s="3488" t="s">
        <v>2309</v>
      </c>
      <c r="E116" s="3489"/>
      <c r="F116" s="3524" t="s">
        <v>2310</v>
      </c>
      <c r="G116" s="3524"/>
      <c r="H116" s="3439" t="s">
        <v>2311</v>
      </c>
      <c r="I116" s="3439"/>
    </row>
    <row r="117" spans="1:11" ht="18.75" customHeight="1">
      <c r="A117" s="3439"/>
      <c r="B117" s="3483"/>
      <c r="C117" s="3483"/>
      <c r="D117" s="3220" t="s">
        <v>2312</v>
      </c>
      <c r="E117" s="3220" t="s">
        <v>2313</v>
      </c>
      <c r="F117" s="3220" t="s">
        <v>2312</v>
      </c>
      <c r="G117" s="3220" t="s">
        <v>2314</v>
      </c>
      <c r="H117" s="3220" t="s">
        <v>2312</v>
      </c>
      <c r="I117" s="3220" t="s">
        <v>2314</v>
      </c>
    </row>
    <row r="118" spans="1:11" ht="24.75" customHeight="1">
      <c r="A118" s="2524" t="str">
        <f>项目基本情况!S2</f>
        <v>北京市东城区香河园街1号11号楼房地产</v>
      </c>
      <c r="B118" s="3220">
        <f>M18</f>
        <v>21099.64</v>
      </c>
      <c r="C118" s="3220">
        <f>M19</f>
        <v>2203.91</v>
      </c>
      <c r="D118" s="3220">
        <f ca="1">ROUND(IF(D32="总价",C34,E118*B118/10000),0)</f>
        <v>42411</v>
      </c>
      <c r="E118" s="3220">
        <f ca="1">ROUND(IF(C33="自定义",IF(D32="楼面单价",C34,D118*10000/B118),I118-G118),0)</f>
        <v>20101</v>
      </c>
      <c r="F118" s="3220">
        <f ca="1">ROUND(IF(D32="总价",C35,G118*B118/10000),0)</f>
        <v>10143</v>
      </c>
      <c r="G118" s="3220">
        <f ca="1">ROUND(IF(D32="楼面单价",C35,F118*10000/B118),0)</f>
        <v>4807</v>
      </c>
      <c r="H118" s="3220">
        <f ca="1">ROUND(IF(D32="总价",C32,I118*B118/10000),0)</f>
        <v>52554</v>
      </c>
      <c r="I118" s="3220">
        <f ca="1">ROUND(IF(D32="楼面单价",C32,H118*10000/B118),0)</f>
        <v>24908</v>
      </c>
    </row>
    <row r="119" spans="1:11" ht="27.75" customHeight="1">
      <c r="A119" s="3439" t="s">
        <v>2315</v>
      </c>
      <c r="B119" s="3439"/>
      <c r="C119" s="3439"/>
      <c r="D119" s="3484" t="str">
        <f ca="1">NUMBERSTRING(INT(D118*10000),2)&amp;"元整"</f>
        <v>肆亿贰仟肆佰壹拾壹万元整</v>
      </c>
      <c r="E119" s="3485"/>
      <c r="F119" s="3484" t="str">
        <f ca="1">NUMBERSTRING(INT(F118*10000),2)&amp;"元整"</f>
        <v>壹亿零壹佰肆拾叁万元整</v>
      </c>
      <c r="G119" s="3485"/>
      <c r="H119" s="3484" t="str">
        <f ca="1">NUMBERSTRING(INT(H118*10000),2)&amp;"元整"</f>
        <v>伍亿贰仟伍佰伍拾肆万元整</v>
      </c>
      <c r="I119" s="3485"/>
    </row>
    <row r="120" spans="1:11" ht="18.75" customHeight="1">
      <c r="A120" s="3479" t="str">
        <f>IF(项目基本情况!B9="房地产市场价值","",MID(E103,3,LEN(E103)-2))</f>
        <v>估价师知悉的法定优先受偿款</v>
      </c>
      <c r="B120" s="3480"/>
      <c r="C120" s="3481"/>
      <c r="D120" s="3479">
        <f>H103</f>
        <v>0</v>
      </c>
      <c r="E120" s="3480"/>
      <c r="F120" s="3480"/>
      <c r="G120" s="3480"/>
      <c r="H120" s="3480"/>
      <c r="I120" s="3481"/>
      <c r="K120" s="2421" t="str">
        <f>IF(D120=0,"故，本次评估不存在"&amp;A120,"故，本次评估"&amp;A120&amp;"为人民币"&amp;D120&amp;"万元整。")</f>
        <v>故，本次评估不存在估价师知悉的法定优先受偿款</v>
      </c>
    </row>
    <row r="121" spans="1:11" ht="18.75" customHeight="1">
      <c r="A121" s="3525" t="s">
        <v>2315</v>
      </c>
      <c r="B121" s="3526"/>
      <c r="C121" s="3527"/>
      <c r="D121" s="3484" t="str">
        <f>IF(D120=0,"零元整",NUMBERSTRING(INT(D120*10000),2)&amp;"元整")</f>
        <v>零元整</v>
      </c>
      <c r="E121" s="3486"/>
      <c r="F121" s="3486"/>
      <c r="G121" s="3486"/>
      <c r="H121" s="3486"/>
      <c r="I121" s="3485"/>
    </row>
    <row r="122" spans="1:11" ht="18.75" customHeight="1">
      <c r="A122" s="3490" t="str">
        <f>IF(项目基本情况!B9="房地产市场价值","",MID(E107,3,LEN(E107)-2))</f>
        <v>房地产抵押价值</v>
      </c>
      <c r="B122" s="3490"/>
      <c r="C122" s="3490"/>
      <c r="D122" s="3479">
        <f ca="1">H107</f>
        <v>52554</v>
      </c>
      <c r="E122" s="3480"/>
      <c r="F122" s="3480"/>
      <c r="G122" s="3480"/>
      <c r="H122" s="3480"/>
      <c r="I122" s="3481"/>
    </row>
    <row r="123" spans="1:11" ht="18.75" customHeight="1">
      <c r="A123" s="3439" t="s">
        <v>2315</v>
      </c>
      <c r="B123" s="3439"/>
      <c r="C123" s="3439"/>
      <c r="D123" s="3484" t="str">
        <f ca="1">NUMBERSTRING(INT(D122*10000),2)&amp;"元整"</f>
        <v>伍亿贰仟伍佰伍拾肆万元整</v>
      </c>
      <c r="E123" s="3486"/>
      <c r="F123" s="3486"/>
      <c r="G123" s="3486"/>
      <c r="H123" s="3486"/>
      <c r="I123" s="3485"/>
    </row>
    <row r="124" spans="1:11" ht="18.75" customHeight="1">
      <c r="A124" s="3490" t="str">
        <f>IF(项目基本情况!B9="房地产市场价值","",MID(E109,3,LEN(E109)-2))</f>
        <v/>
      </c>
      <c r="B124" s="3490"/>
      <c r="C124" s="3490"/>
      <c r="D124" s="3479" t="str">
        <f>H109</f>
        <v>——</v>
      </c>
      <c r="E124" s="3480"/>
      <c r="F124" s="3480"/>
      <c r="G124" s="3480"/>
      <c r="H124" s="3480"/>
      <c r="I124" s="3481"/>
    </row>
    <row r="125" spans="1:11" ht="18.75" customHeight="1">
      <c r="A125" s="3439" t="s">
        <v>2315</v>
      </c>
      <c r="B125" s="3439"/>
      <c r="C125" s="3439"/>
      <c r="D125" s="3484" t="e">
        <f>NUMBERSTRING(INT(D124*10000),2)&amp;"元整"</f>
        <v>#VALUE!</v>
      </c>
      <c r="E125" s="3486"/>
      <c r="F125" s="3486"/>
      <c r="G125" s="3486"/>
      <c r="H125" s="3486"/>
      <c r="I125" s="3485"/>
    </row>
    <row r="126" spans="1:11" ht="18.75" customHeight="1">
      <c r="A126" s="3490" t="str">
        <f>IF(项目基本情况!B9="房地产市场价值","",MID(E111,3,LEN(E111)-2))</f>
        <v/>
      </c>
      <c r="B126" s="3490"/>
      <c r="C126" s="3490"/>
      <c r="D126" s="3479" t="str">
        <f>H111</f>
        <v>——</v>
      </c>
      <c r="E126" s="3480"/>
      <c r="F126" s="3480"/>
      <c r="G126" s="3480"/>
      <c r="H126" s="3480"/>
      <c r="I126" s="3481"/>
    </row>
    <row r="127" spans="1:11" ht="18.75" customHeight="1">
      <c r="A127" s="3439" t="s">
        <v>2315</v>
      </c>
      <c r="B127" s="3439"/>
      <c r="C127" s="3439"/>
      <c r="D127" s="3484" t="e">
        <f>NUMBERSTRING(INT(D126*10000),2)&amp;"元整"</f>
        <v>#VALUE!</v>
      </c>
      <c r="E127" s="3486"/>
      <c r="F127" s="3486"/>
      <c r="G127" s="3486"/>
      <c r="H127" s="3486"/>
      <c r="I127" s="3485"/>
    </row>
    <row r="128" spans="1:11" ht="21.75" customHeight="1">
      <c r="A128" s="3487" t="s">
        <v>2316</v>
      </c>
      <c r="B128" s="3487"/>
      <c r="C128" s="3487"/>
      <c r="D128" s="3487"/>
      <c r="E128" s="3487"/>
      <c r="F128" s="3487"/>
      <c r="G128" s="3487"/>
      <c r="H128" s="3487"/>
      <c r="I128" s="3487"/>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5" priority="7" stopIfTrue="1" operator="equal">
      <formula>25</formula>
    </cfRule>
  </conditionalFormatting>
  <conditionalFormatting sqref="C8:C9">
    <cfRule type="cellIs" dxfId="144" priority="6" stopIfTrue="1" operator="equal">
      <formula>15</formula>
    </cfRule>
  </conditionalFormatting>
  <conditionalFormatting sqref="C14:C16">
    <cfRule type="cellIs" dxfId="143" priority="5" stopIfTrue="1" operator="equal">
      <formula>30</formula>
    </cfRule>
  </conditionalFormatting>
  <conditionalFormatting sqref="D5:D7">
    <cfRule type="cellIs" dxfId="142" priority="4" stopIfTrue="1" operator="equal">
      <formula>25</formula>
    </cfRule>
  </conditionalFormatting>
  <conditionalFormatting sqref="D8:D9">
    <cfRule type="cellIs" dxfId="141" priority="3" stopIfTrue="1" operator="equal">
      <formula>15</formula>
    </cfRule>
  </conditionalFormatting>
  <conditionalFormatting sqref="C10:D13">
    <cfRule type="cellIs" dxfId="140" priority="2" stopIfTrue="1" operator="equal">
      <formula>15</formula>
    </cfRule>
  </conditionalFormatting>
  <conditionalFormatting sqref="D14:D16">
    <cfRule type="cellIs" dxfId="139" priority="1" stopIfTrue="1" operator="equal">
      <formula>30</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70" sqref="I7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1589</v>
      </c>
      <c r="B1" s="782"/>
      <c r="C1" s="1838" t="s">
        <v>3050</v>
      </c>
      <c r="D1" s="1821" t="s">
        <v>70</v>
      </c>
      <c r="E1" s="1822" t="s">
        <v>1387</v>
      </c>
      <c r="F1" s="1284">
        <f ca="1">J53</f>
        <v>28.14</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25889</v>
      </c>
      <c r="C2" s="1846" t="s">
        <v>1516</v>
      </c>
      <c r="D2" s="1846"/>
      <c r="E2" s="1847"/>
      <c r="F2" s="1848"/>
      <c r="G2" s="1849"/>
      <c r="H2" s="1841"/>
      <c r="I2" s="1841"/>
      <c r="J2" s="1841"/>
      <c r="K2" s="1842"/>
      <c r="L2" s="1841"/>
      <c r="M2" s="1841"/>
    </row>
    <row r="3" spans="1:37" ht="18" customHeight="1" thickBot="1">
      <c r="A3" s="1850" t="s">
        <v>1517</v>
      </c>
      <c r="B3" s="1851">
        <f ca="1">IF(ISERROR(B2*10000/F43),0,ROUND(B2*10000/F43,0))</f>
        <v>12270</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1768</v>
      </c>
      <c r="D5" s="1823" t="s">
        <v>1402</v>
      </c>
      <c r="E5" s="1294"/>
      <c r="F5" s="1295"/>
      <c r="G5" s="1852"/>
      <c r="H5" s="344">
        <v>1</v>
      </c>
      <c r="I5" s="345" t="s">
        <v>1401</v>
      </c>
      <c r="J5" s="1293">
        <f ca="1">J6+J10+J12</f>
        <v>0</v>
      </c>
      <c r="K5" s="1823" t="s">
        <v>1402</v>
      </c>
      <c r="L5" s="1294"/>
      <c r="M5" s="1295"/>
    </row>
    <row r="6" spans="1:37" ht="18" customHeight="1">
      <c r="A6" s="1292" t="s">
        <v>1035</v>
      </c>
      <c r="B6" s="3563" t="s">
        <v>1403</v>
      </c>
      <c r="C6" s="1297">
        <f ca="1">ROUND(F6*F8*F7*(1-F9)/10000,0)</f>
        <v>1768</v>
      </c>
      <c r="D6" s="164" t="s">
        <v>3028</v>
      </c>
      <c r="E6" s="347" t="s">
        <v>1405</v>
      </c>
      <c r="F6" s="348">
        <f ca="1">INDIRECT("'数据-取费表'!u"&amp;$G$1)</f>
        <v>17680000</v>
      </c>
      <c r="G6" s="1852"/>
      <c r="H6" s="1292" t="s">
        <v>1035</v>
      </c>
      <c r="I6" s="3563" t="s">
        <v>1403</v>
      </c>
      <c r="J6" s="346">
        <f ca="1">ROUND(M6*M8*M7*(1-M9)/10000,0)</f>
        <v>0</v>
      </c>
      <c r="K6" s="164" t="s">
        <v>3027</v>
      </c>
      <c r="L6" s="347" t="s">
        <v>1405</v>
      </c>
      <c r="M6" s="348">
        <f ca="1">INDIRECT("'数据-取费表'!z"&amp;$G$1)</f>
        <v>0</v>
      </c>
    </row>
    <row r="7" spans="1:37" ht="18" customHeight="1">
      <c r="A7" s="1296"/>
      <c r="B7" s="3564"/>
      <c r="C7" s="1298"/>
      <c r="D7" s="352"/>
      <c r="E7" s="1299" t="s">
        <v>1406</v>
      </c>
      <c r="F7" s="348">
        <f ca="1">IF(INDIRECT("'数据-取费表'!ah"&amp;$G$1)="",INDIRECT("'数据-取费表'!k"&amp;$G$1),INDIRECT("'数据-取费表'!ah"&amp;$G$1))</f>
        <v>1</v>
      </c>
      <c r="G7" s="1852"/>
      <c r="H7" s="349"/>
      <c r="I7" s="3564"/>
      <c r="J7" s="351"/>
      <c r="K7" s="352"/>
      <c r="L7" s="347" t="s">
        <v>1406</v>
      </c>
      <c r="M7" s="348">
        <f ca="1">F7</f>
        <v>1</v>
      </c>
    </row>
    <row r="8" spans="1:37" ht="18" customHeight="1">
      <c r="A8" s="349"/>
      <c r="B8" s="3564"/>
      <c r="C8" s="351"/>
      <c r="D8" s="352"/>
      <c r="E8" s="347" t="s">
        <v>1407</v>
      </c>
      <c r="F8" s="348">
        <f ca="1">INDIRECT("'数据-取费表'!ai"&amp;$G$1)</f>
        <v>1</v>
      </c>
      <c r="G8" s="1852"/>
      <c r="H8" s="349"/>
      <c r="I8" s="3564"/>
      <c r="J8" s="351"/>
      <c r="K8" s="352"/>
      <c r="L8" s="347" t="s">
        <v>1407</v>
      </c>
      <c r="M8" s="348">
        <f ca="1">INDIRECT("'数据-取费表'!ai"&amp;$G$1)</f>
        <v>1</v>
      </c>
    </row>
    <row r="9" spans="1:37" ht="18" customHeight="1">
      <c r="A9" s="349"/>
      <c r="B9" s="3565"/>
      <c r="C9" s="351"/>
      <c r="D9" s="352"/>
      <c r="E9" s="347" t="s">
        <v>1408</v>
      </c>
      <c r="F9" s="357">
        <f ca="1">INDIRECT("'数据-取费表'!w"&amp;$G$1)</f>
        <v>0</v>
      </c>
      <c r="G9" s="1852"/>
      <c r="H9" s="349"/>
      <c r="I9" s="3565"/>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3037</v>
      </c>
      <c r="E10" s="358" t="s">
        <v>1410</v>
      </c>
      <c r="F10" s="1367" t="s">
        <v>3080</v>
      </c>
      <c r="G10" s="1852"/>
      <c r="H10" s="1292" t="s">
        <v>1039</v>
      </c>
      <c r="I10" s="1824" t="s">
        <v>1409</v>
      </c>
      <c r="J10" s="346">
        <f ca="1">ROUND(IF(M10="押一",J6/12*M11,IF(M10="押二",J6/12*2*M11,IF(M10="押三",J6/12*3*M11,J11*M11))),0)</f>
        <v>0</v>
      </c>
      <c r="K10" s="1825" t="s">
        <v>3036</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17832</v>
      </c>
      <c r="D13" s="1332" t="s">
        <v>1415</v>
      </c>
      <c r="E13" s="1332" t="s">
        <v>1416</v>
      </c>
      <c r="F13" s="1333">
        <f ca="1">INDIRECT("'数据-取费表'!y"&amp;$G$1)</f>
        <v>0.93</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12760</v>
      </c>
      <c r="D14" s="1801" t="s">
        <v>1418</v>
      </c>
      <c r="E14" s="1795"/>
      <c r="F14" s="364"/>
      <c r="G14" s="1852"/>
      <c r="H14" s="1202" t="s">
        <v>1035</v>
      </c>
      <c r="I14" s="347" t="s">
        <v>1419</v>
      </c>
      <c r="J14" s="24">
        <f ca="1">C29</f>
        <v>19174</v>
      </c>
      <c r="K14" s="15"/>
      <c r="L14" s="980"/>
      <c r="M14" s="981"/>
    </row>
    <row r="15" spans="1:37" s="1859" customFormat="1" ht="18" customHeight="1" thickBot="1">
      <c r="A15" s="1202" t="s">
        <v>1036</v>
      </c>
      <c r="B15" s="347" t="s">
        <v>1420</v>
      </c>
      <c r="C15" s="24">
        <f ca="1">ROUND(C14*F15,0)</f>
        <v>510</v>
      </c>
      <c r="D15" s="365" t="s">
        <v>1421</v>
      </c>
      <c r="E15" s="365" t="s">
        <v>1422</v>
      </c>
      <c r="F15" s="366">
        <f>'数据-取费表'!B33</f>
        <v>0.04</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355</v>
      </c>
      <c r="K16" s="1338" t="s">
        <v>1425</v>
      </c>
      <c r="L16" s="1339"/>
      <c r="M16" s="1295"/>
    </row>
    <row r="17" spans="1:37" s="1859" customFormat="1" ht="18" customHeight="1">
      <c r="A17" s="1202" t="s">
        <v>1390</v>
      </c>
      <c r="B17" s="347" t="s">
        <v>1426</v>
      </c>
      <c r="C17" s="24">
        <f ca="1">ROUND(F17*(F43+INDIRECT("'数据-取费表'!S"&amp;$G$1))/10000,0)</f>
        <v>428</v>
      </c>
      <c r="D17" s="347" t="s">
        <v>1427</v>
      </c>
      <c r="E17" s="347" t="s">
        <v>1428</v>
      </c>
      <c r="F17" s="26">
        <f>'数据-取费表'!B35</f>
        <v>200</v>
      </c>
      <c r="G17" s="1855"/>
      <c r="H17" s="1202" t="s">
        <v>1035</v>
      </c>
      <c r="I17" s="347" t="s">
        <v>1429</v>
      </c>
      <c r="J17" s="24">
        <f ca="1">ROUND(IF(项目基本情况!B11="自然人",J5*M17,J18+J19+J20),1)</f>
        <v>163.69999999999999</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191</v>
      </c>
      <c r="D18" s="347" t="s">
        <v>1421</v>
      </c>
      <c r="E18" s="347" t="s">
        <v>1422</v>
      </c>
      <c r="F18" s="367">
        <f>'数据-取费表'!B36</f>
        <v>1.4999999999999999E-2</v>
      </c>
      <c r="G18" s="1855"/>
      <c r="H18" s="1202" t="s">
        <v>1034</v>
      </c>
      <c r="I18" s="347" t="s">
        <v>1433</v>
      </c>
      <c r="J18" s="24">
        <f ca="1">ROUND(J5*M18/(1+'数据-取费表'!C42),2)</f>
        <v>0</v>
      </c>
      <c r="K18" s="1799"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13889</v>
      </c>
      <c r="D19" s="140" t="s">
        <v>1436</v>
      </c>
      <c r="E19" s="1819"/>
      <c r="F19" s="26"/>
      <c r="G19" s="1852"/>
      <c r="H19" s="1202" t="s">
        <v>1036</v>
      </c>
      <c r="I19" s="347" t="s">
        <v>1437</v>
      </c>
      <c r="J19" s="24">
        <f ca="1">IF(K19="按租金收入计税",ROUND(J5*M19,2),ROUND(C29*M19*0.7,2))</f>
        <v>161.06</v>
      </c>
      <c r="K19" s="1829" t="s">
        <v>1438</v>
      </c>
      <c r="L19" s="347" t="s">
        <v>1422</v>
      </c>
      <c r="M19" s="367">
        <f>IF(K19="按租金收入计税",'数据-取费表'!B51,'数据-取费表'!B50)</f>
        <v>1.2E-2</v>
      </c>
    </row>
    <row r="20" spans="1:37" s="1859" customFormat="1" ht="18" customHeight="1">
      <c r="A20" s="1202" t="s">
        <v>1039</v>
      </c>
      <c r="B20" s="347" t="s">
        <v>1439</v>
      </c>
      <c r="C20" s="24">
        <f ca="1">ROUND(C19*F20,0)</f>
        <v>278</v>
      </c>
      <c r="D20" s="369" t="s">
        <v>1440</v>
      </c>
      <c r="E20" s="347" t="s">
        <v>1422</v>
      </c>
      <c r="F20" s="367">
        <f>'数据-取费表'!B37</f>
        <v>0.02</v>
      </c>
      <c r="G20" s="1855"/>
      <c r="H20" s="1202" t="s">
        <v>1389</v>
      </c>
      <c r="I20" s="164" t="s">
        <v>1441</v>
      </c>
      <c r="J20" s="25">
        <f ca="1">ROUND(M20*M21/10000,2)</f>
        <v>2.68</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2233.89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9"/>
      <c r="F22" s="26"/>
      <c r="G22" s="1852"/>
      <c r="H22" s="1202" t="s">
        <v>1039</v>
      </c>
      <c r="I22" s="347" t="s">
        <v>1449</v>
      </c>
      <c r="J22" s="24">
        <f ca="1">ROUND(J14*M22,1)</f>
        <v>191.7</v>
      </c>
      <c r="K22" s="1799" t="s">
        <v>1450</v>
      </c>
      <c r="L22" s="347" t="s">
        <v>1422</v>
      </c>
      <c r="M22" s="374">
        <f ca="1">INDIRECT("'数据-取费表'!Ak"&amp;$G$1)</f>
        <v>0.01</v>
      </c>
    </row>
    <row r="23" spans="1:37" s="1859" customFormat="1" ht="18" customHeight="1">
      <c r="A23" s="1202" t="s">
        <v>1034</v>
      </c>
      <c r="B23" s="347" t="s">
        <v>1451</v>
      </c>
      <c r="C23" s="24">
        <f ca="1">IF('数据-取费表'!B22&lt;=1,ROUND(C19*F24*F23/2,0)+ROUND(C20*F24*F23/2,0),ROUND(C19*(POWER((1+F24),F23/2)-1),0)+ROUND(C20*(POWER((1+F24),F23/2)-1),0))</f>
        <v>673</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ROUND(J5*M24,1)</f>
        <v>0</v>
      </c>
      <c r="K24" s="1343" t="s">
        <v>1459</v>
      </c>
      <c r="L24" s="1341" t="s">
        <v>1455</v>
      </c>
      <c r="M24" s="1337">
        <f ca="1">INDIRECT("'数据-取费表'!Am"&amp;$G$1)</f>
        <v>5.0000000000000001E-3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1819"/>
      <c r="F25" s="26"/>
      <c r="G25" s="1852"/>
      <c r="H25" s="1330" t="s">
        <v>1031</v>
      </c>
      <c r="I25" s="1345" t="s">
        <v>1463</v>
      </c>
      <c r="J25" s="355">
        <f ca="1">J5-J16</f>
        <v>-355</v>
      </c>
      <c r="K25" s="1346" t="s">
        <v>1464</v>
      </c>
      <c r="L25" s="1347"/>
      <c r="M25" s="1348"/>
    </row>
    <row r="26" spans="1:37">
      <c r="A26" s="1202" t="s">
        <v>1034</v>
      </c>
      <c r="B26" s="347" t="s">
        <v>1465</v>
      </c>
      <c r="C26" s="24">
        <f ca="1">ROUND((C19+C20)*F26,0)</f>
        <v>2833</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2" t="s">
        <v>1036</v>
      </c>
      <c r="B27" s="347" t="s">
        <v>1471</v>
      </c>
      <c r="C27" s="24">
        <f ca="1">ROUND(F21*F26,4)</f>
        <v>4.0000000000000001E-3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19174</v>
      </c>
      <c r="D29" s="1343"/>
      <c r="E29" s="1341"/>
      <c r="F29" s="1344"/>
      <c r="G29" s="1855"/>
      <c r="H29" s="380" t="s">
        <v>1033</v>
      </c>
      <c r="I29" s="381" t="s">
        <v>1479</v>
      </c>
      <c r="J29" s="382">
        <f ca="1">ROUND(J26/(1+F40)^F41,0)</f>
        <v>0</v>
      </c>
      <c r="K29" s="383" t="s">
        <v>1480</v>
      </c>
      <c r="L29" s="384"/>
      <c r="M29" s="385">
        <f ca="1">INDIRECT("'数据-取费表'!k"&amp;$G$1)</f>
        <v>21099.64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485</v>
      </c>
      <c r="D30" s="1338" t="s">
        <v>1425</v>
      </c>
      <c r="E30" s="1339"/>
      <c r="F30" s="1295"/>
      <c r="G30" s="1852"/>
      <c r="H30" s="745"/>
      <c r="I30" s="746"/>
      <c r="J30" s="747"/>
      <c r="K30" s="748"/>
      <c r="L30" s="749"/>
      <c r="M30" s="750"/>
    </row>
    <row r="31" spans="1:37" ht="18" customHeight="1">
      <c r="A31" s="1202" t="s">
        <v>1035</v>
      </c>
      <c r="B31" s="347" t="s">
        <v>1429</v>
      </c>
      <c r="C31" s="24">
        <f ca="1">ROUND(IF(项目基本情况!B11="自然人",C5*F31,C32+C33+C34),1)</f>
        <v>258</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94.29</v>
      </c>
      <c r="D32" s="1799"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161.06</v>
      </c>
      <c r="D33" s="1829" t="s">
        <v>3335</v>
      </c>
      <c r="E33" s="347" t="s">
        <v>1422</v>
      </c>
      <c r="F33" s="367">
        <f>IF(D33="按票据","——",IF(D33="按租金收入计税",'数据-取费表'!B51,'数据-取费表'!B50))</f>
        <v>1.2E-2</v>
      </c>
      <c r="G33" s="1852"/>
      <c r="H33" s="1860"/>
      <c r="I33" s="1861"/>
      <c r="J33" s="1862"/>
      <c r="K33" s="1863"/>
      <c r="L33" s="1860"/>
      <c r="M33" s="1860"/>
    </row>
    <row r="34" spans="1:18" ht="18" customHeight="1">
      <c r="A34" s="1292" t="s">
        <v>1389</v>
      </c>
      <c r="B34" s="164" t="s">
        <v>1441</v>
      </c>
      <c r="C34" s="25">
        <f ca="1">IF(项目基本情况!B11="自然人","——",ROUND(F34*F35/10000,2))</f>
        <v>2.68</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2233.89</v>
      </c>
      <c r="G35" s="1852"/>
      <c r="H35" s="745"/>
      <c r="I35" s="1861"/>
      <c r="J35" s="1862"/>
      <c r="K35" s="1863"/>
      <c r="L35" s="1860"/>
      <c r="M35" s="1860"/>
    </row>
    <row r="36" spans="1:18" ht="18" customHeight="1">
      <c r="A36" s="1353" t="s">
        <v>1039</v>
      </c>
      <c r="B36" s="347" t="s">
        <v>1449</v>
      </c>
      <c r="C36" s="24">
        <f ca="1">ROUND(C29*F36,1)</f>
        <v>191.7</v>
      </c>
      <c r="D36" s="1799" t="s">
        <v>1482</v>
      </c>
      <c r="E36" s="347" t="s">
        <v>1422</v>
      </c>
      <c r="F36" s="374">
        <f ca="1">INDIRECT("'数据-取费表'!Ak"&amp;$G$1)</f>
        <v>0.01</v>
      </c>
      <c r="G36" s="1852"/>
      <c r="H36" s="1860"/>
      <c r="I36" s="1861"/>
      <c r="J36" s="1862"/>
      <c r="K36" s="751"/>
      <c r="L36" s="1860"/>
      <c r="M36" s="1860"/>
    </row>
    <row r="37" spans="1:18" ht="18" customHeight="1">
      <c r="A37" s="1202" t="s">
        <v>1075</v>
      </c>
      <c r="B37" s="347" t="s">
        <v>1453</v>
      </c>
      <c r="C37" s="24">
        <f ca="1">ROUND(C13*F37,1)</f>
        <v>26.7</v>
      </c>
      <c r="D37" s="1799" t="s">
        <v>1454</v>
      </c>
      <c r="E37" s="347" t="s">
        <v>1455</v>
      </c>
      <c r="F37" s="376">
        <f ca="1">INDIRECT("'数据-取费表'!Al"&amp;$G$1)</f>
        <v>1.5E-3</v>
      </c>
      <c r="G37" s="1852"/>
      <c r="H37" s="1860"/>
      <c r="I37" s="1861"/>
      <c r="J37" s="1862"/>
      <c r="K37" s="751"/>
      <c r="L37" s="1860"/>
      <c r="M37" s="1860"/>
    </row>
    <row r="38" spans="1:18" ht="18" customHeight="1" thickBot="1">
      <c r="A38" s="1340" t="s">
        <v>1393</v>
      </c>
      <c r="B38" s="1341" t="s">
        <v>1439</v>
      </c>
      <c r="C38" s="1342">
        <f ca="1">ROUND(C5*F38,1)</f>
        <v>8.8000000000000007</v>
      </c>
      <c r="D38" s="1343" t="s">
        <v>1459</v>
      </c>
      <c r="E38" s="1341" t="s">
        <v>1455</v>
      </c>
      <c r="F38" s="1337">
        <f ca="1">INDIRECT("'数据-取费表'!Am"&amp;$G$1)</f>
        <v>5.0000000000000001E-3</v>
      </c>
      <c r="G38" s="1852"/>
      <c r="H38" s="1860"/>
      <c r="I38" s="1861"/>
      <c r="J38" s="1862"/>
      <c r="K38" s="1866"/>
      <c r="L38" s="1860"/>
      <c r="M38" s="1860"/>
    </row>
    <row r="39" spans="1:18" ht="24.6" customHeight="1" thickTop="1">
      <c r="A39" s="1330" t="s">
        <v>1031</v>
      </c>
      <c r="B39" s="1345" t="s">
        <v>1483</v>
      </c>
      <c r="C39" s="355">
        <f ca="1">C5-C30</f>
        <v>1283</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25102</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28.14</v>
      </c>
      <c r="G41" s="1852"/>
      <c r="H41" s="732"/>
      <c r="I41" s="1861"/>
      <c r="J41" s="1862"/>
      <c r="K41" s="751"/>
      <c r="L41" s="732"/>
      <c r="M41" s="732"/>
    </row>
    <row r="42" spans="1:18" ht="18" customHeight="1">
      <c r="A42" s="353"/>
      <c r="B42" s="354"/>
      <c r="C42" s="355"/>
      <c r="D42" s="373"/>
      <c r="E42" s="347" t="s">
        <v>1477</v>
      </c>
      <c r="F42" s="357">
        <f ca="1">INDIRECT("'数据-取费表'!v"&amp;$G$1)</f>
        <v>3.5000000000000003E-2</v>
      </c>
      <c r="G42" s="1852"/>
      <c r="H42" s="732"/>
      <c r="I42" s="1861"/>
      <c r="J42" s="1862"/>
      <c r="K42" s="751"/>
      <c r="L42" s="732"/>
      <c r="M42" s="732"/>
    </row>
    <row r="43" spans="1:18" ht="18" customHeight="1" thickBot="1">
      <c r="A43" s="380" t="s">
        <v>1033</v>
      </c>
      <c r="B43" s="381" t="s">
        <v>1487</v>
      </c>
      <c r="C43" s="382">
        <f ca="1">ROUND(C40*10000/F43,0)</f>
        <v>11897</v>
      </c>
      <c r="D43" s="383" t="s">
        <v>1488</v>
      </c>
      <c r="E43" s="384" t="s">
        <v>1489</v>
      </c>
      <c r="F43" s="385">
        <f ca="1">INDIRECT("'数据-取费表'!k"&amp;$G$1)</f>
        <v>21099.64</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8" thickBot="1">
      <c r="A46" s="1871" t="s">
        <v>1520</v>
      </c>
      <c r="C46" s="1872">
        <f ca="1">C68-C40</f>
        <v>-30233</v>
      </c>
      <c r="D46" s="1873" t="str">
        <f>C2</f>
        <v>万元</v>
      </c>
      <c r="E46" s="1867"/>
      <c r="F46" s="1867"/>
      <c r="I46" s="1874" t="s">
        <v>1521</v>
      </c>
      <c r="J46" s="1875"/>
      <c r="K46" s="1876"/>
      <c r="L46" s="1877">
        <f ca="1">IF(M47="住宅",0,IF(L48&gt;J51,L60,J60))</f>
        <v>787</v>
      </c>
      <c r="O46" s="1878" t="s">
        <v>1522</v>
      </c>
      <c r="P46" s="1879" t="s">
        <v>1523</v>
      </c>
      <c r="Q46" s="1880" t="s">
        <v>1524</v>
      </c>
      <c r="R46" s="1880" t="s">
        <v>1525</v>
      </c>
    </row>
    <row r="47" spans="1:18" s="1843" customFormat="1" ht="13.8" thickBot="1">
      <c r="A47" s="1166" t="s">
        <v>1396</v>
      </c>
      <c r="B47" s="1198" t="s">
        <v>1397</v>
      </c>
      <c r="C47" s="1368" t="s">
        <v>1398</v>
      </c>
      <c r="D47" s="1198" t="s">
        <v>1399</v>
      </c>
      <c r="E47" s="1280" t="s">
        <v>1400</v>
      </c>
      <c r="F47" s="1281"/>
      <c r="G47" s="792"/>
      <c r="I47" s="1881" t="s">
        <v>1526</v>
      </c>
      <c r="J47" s="1882" t="s">
        <v>3082</v>
      </c>
      <c r="K47" s="1883" t="s">
        <v>1527</v>
      </c>
      <c r="L47" s="1884">
        <f ca="1">INDIRECT("'数据-取费表'!d"&amp;$G$1)</f>
        <v>40</v>
      </c>
      <c r="M47" s="1839" t="str">
        <f>IF(ISNUMBER(FIND("住宅",C1)),"住宅","非住宅")</f>
        <v>非住宅</v>
      </c>
      <c r="O47" s="1885" t="s">
        <v>1040</v>
      </c>
      <c r="P47" s="1886" t="s">
        <v>1528</v>
      </c>
      <c r="Q47" s="1887">
        <f ca="1">C40+J29</f>
        <v>25102</v>
      </c>
      <c r="R47" s="1887" t="s">
        <v>1529</v>
      </c>
    </row>
    <row r="48" spans="1:18" s="1843" customFormat="1" ht="40.200000000000003" thickBot="1">
      <c r="A48" s="1361" t="s">
        <v>1135</v>
      </c>
      <c r="B48" s="345" t="s">
        <v>1401</v>
      </c>
      <c r="C48" s="1818">
        <f ca="1">C49+C53+C55</f>
        <v>0</v>
      </c>
      <c r="D48" s="1363"/>
      <c r="E48" s="1364"/>
      <c r="F48" s="1182"/>
      <c r="G48" s="792"/>
      <c r="H48" s="793"/>
      <c r="I48" s="1888" t="s">
        <v>1530</v>
      </c>
      <c r="J48" s="1889" t="s">
        <v>3083</v>
      </c>
      <c r="K48" s="1890" t="s">
        <v>1531</v>
      </c>
      <c r="L48" s="1891">
        <f ca="1">INDIRECT("'数据-取费表'!f"&amp;$G$1)</f>
        <v>28.14</v>
      </c>
      <c r="O48" s="1885" t="s">
        <v>1041</v>
      </c>
      <c r="P48" s="1886" t="s">
        <v>1532</v>
      </c>
      <c r="Q48" s="1887">
        <f ca="1">J60</f>
        <v>787</v>
      </c>
      <c r="R48" s="1887" t="s">
        <v>1533</v>
      </c>
    </row>
    <row r="49" spans="1:18" s="1843" customFormat="1" ht="13.8" thickBot="1">
      <c r="A49" s="1195" t="s">
        <v>1136</v>
      </c>
      <c r="B49" s="1830" t="s">
        <v>1490</v>
      </c>
      <c r="C49" s="1365">
        <f ca="1">ROUND(F49*F51*F50*(1-F52)/10000,0)</f>
        <v>0</v>
      </c>
      <c r="D49" s="1277" t="s">
        <v>3029</v>
      </c>
      <c r="E49" s="1831" t="s">
        <v>1491</v>
      </c>
      <c r="F49" s="1282"/>
      <c r="G49" s="1892"/>
      <c r="H49" s="793"/>
      <c r="I49" s="1888" t="s">
        <v>1534</v>
      </c>
      <c r="J49" s="1893">
        <v>2014</v>
      </c>
      <c r="K49" s="1890" t="s">
        <v>1535</v>
      </c>
      <c r="L49" s="1894"/>
      <c r="O49" s="1895" t="s">
        <v>1042</v>
      </c>
      <c r="P49" s="1886" t="s">
        <v>1536</v>
      </c>
      <c r="Q49" s="1887">
        <f ca="1">C29</f>
        <v>19174</v>
      </c>
      <c r="R49" s="1887" t="s">
        <v>1529</v>
      </c>
    </row>
    <row r="50" spans="1:18" s="1843" customFormat="1" ht="13.8" thickBot="1">
      <c r="A50" s="1196"/>
      <c r="B50" s="1199"/>
      <c r="C50" s="1369"/>
      <c r="D50" s="1173"/>
      <c r="E50" s="1278" t="s">
        <v>1406</v>
      </c>
      <c r="F50" s="1279">
        <f ca="1">F7</f>
        <v>1</v>
      </c>
      <c r="H50" s="793"/>
      <c r="I50" s="1888" t="s">
        <v>1537</v>
      </c>
      <c r="J50" s="1896">
        <f>SUMPRODUCT((I63:I65=J47)*(J62:L62=J48)*(J63:L65))</f>
        <v>60</v>
      </c>
      <c r="K50" s="1890" t="s">
        <v>1538</v>
      </c>
      <c r="L50" s="1894"/>
      <c r="M50" s="1897"/>
      <c r="O50" s="1895" t="s">
        <v>1043</v>
      </c>
      <c r="P50" s="1886" t="s">
        <v>1539</v>
      </c>
      <c r="Q50" s="1898">
        <f ca="1">J58</f>
        <v>0.46400000000000002</v>
      </c>
      <c r="R50" s="1887"/>
    </row>
    <row r="51" spans="1:18" s="1843" customFormat="1" ht="13.8" thickBot="1">
      <c r="A51" s="1197"/>
      <c r="B51" s="1199"/>
      <c r="C51" s="1200"/>
      <c r="D51" s="1173"/>
      <c r="E51" s="1201" t="s">
        <v>1407</v>
      </c>
      <c r="F51" s="348">
        <f ca="1">F8</f>
        <v>1</v>
      </c>
      <c r="I51" s="1899" t="s">
        <v>1540</v>
      </c>
      <c r="J51" s="1900">
        <f>IF(J49="",J50,J49+J50-YEAR('数据-取费表'!B2))</f>
        <v>56</v>
      </c>
      <c r="K51" s="1901" t="s">
        <v>1541</v>
      </c>
      <c r="L51" s="1902">
        <f ca="1">ROUND(-PV(INDIRECT("'数据-取费表'!h"&amp;$G$1),L48,(C39-C13*C76),0),0)</f>
        <v>-3329</v>
      </c>
      <c r="M51" s="1903"/>
      <c r="O51" s="1895" t="s">
        <v>1044</v>
      </c>
      <c r="P51" s="1886" t="s">
        <v>1542</v>
      </c>
      <c r="Q51" s="1898">
        <f>J52</f>
        <v>0.09</v>
      </c>
      <c r="R51" s="1887"/>
    </row>
    <row r="52" spans="1:18" s="1843" customFormat="1" ht="13.8" thickBot="1">
      <c r="A52" s="1197"/>
      <c r="B52" s="1199"/>
      <c r="C52" s="1200"/>
      <c r="D52" s="1173"/>
      <c r="E52" s="1201" t="s">
        <v>1408</v>
      </c>
      <c r="F52" s="1276"/>
      <c r="I52" s="1904" t="s">
        <v>1543</v>
      </c>
      <c r="J52" s="1905">
        <v>0.09</v>
      </c>
      <c r="K52" s="1904" t="s">
        <v>1544</v>
      </c>
      <c r="L52" s="1905"/>
      <c r="O52" s="1895" t="s">
        <v>1045</v>
      </c>
      <c r="P52" s="1886" t="s">
        <v>1545</v>
      </c>
      <c r="Q52" s="1887">
        <f ca="1">J53</f>
        <v>28.14</v>
      </c>
      <c r="R52" s="1887" t="s">
        <v>1546</v>
      </c>
    </row>
    <row r="53" spans="1:18" s="1843" customFormat="1" ht="36.6" thickBot="1">
      <c r="A53" s="1406" t="s">
        <v>1137</v>
      </c>
      <c r="B53" s="1832" t="s">
        <v>1409</v>
      </c>
      <c r="C53" s="361">
        <f ca="1">ROUND(IF(F53="押一",C49/12*F11,IF(F53="押二",C49/12*2*F11,IF(F53="押三",C49/12*3*F11,C54*F11))),0)</f>
        <v>0</v>
      </c>
      <c r="D53" s="1825" t="s">
        <v>3036</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28.14</v>
      </c>
      <c r="K53" s="3566" t="s">
        <v>1548</v>
      </c>
      <c r="L53" s="3567"/>
      <c r="O53" s="1885" t="s">
        <v>1046</v>
      </c>
      <c r="P53" s="1886" t="s">
        <v>1549</v>
      </c>
      <c r="Q53" s="1887">
        <f ca="1">Q47+Q48</f>
        <v>25889</v>
      </c>
      <c r="R53" s="1887" t="s">
        <v>1047</v>
      </c>
    </row>
    <row r="54" spans="1:18" s="1843" customFormat="1" ht="24.6"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8" thickBot="1">
      <c r="A55" s="1334" t="s">
        <v>1075</v>
      </c>
      <c r="B55" s="1828" t="s">
        <v>1413</v>
      </c>
      <c r="C55" s="1335"/>
      <c r="D55" s="1825"/>
      <c r="E55" s="1833"/>
      <c r="F55" s="1908"/>
      <c r="I55" s="1911" t="s">
        <v>1551</v>
      </c>
      <c r="J55" s="1912">
        <f ca="1">ROUND(IF(J47="钢混",J57/J50,1-(1-2%)*(J50-J57)/J50),3)</f>
        <v>0.46400000000000002</v>
      </c>
      <c r="K55" s="1913" t="s">
        <v>1552</v>
      </c>
      <c r="L55" s="1914" t="s">
        <v>1553</v>
      </c>
      <c r="O55" s="1878" t="s">
        <v>1522</v>
      </c>
      <c r="P55" s="1879" t="s">
        <v>1523</v>
      </c>
      <c r="Q55" s="1880" t="s">
        <v>1524</v>
      </c>
      <c r="R55" s="1880" t="s">
        <v>1525</v>
      </c>
    </row>
    <row r="56" spans="1:18" s="1843" customFormat="1" ht="37.200000000000003" thickTop="1" thickBot="1">
      <c r="A56" s="1177">
        <v>2</v>
      </c>
      <c r="B56" s="1178" t="s">
        <v>1414</v>
      </c>
      <c r="C56" s="276">
        <f ca="1">C13</f>
        <v>17832</v>
      </c>
      <c r="D56" s="1915"/>
      <c r="E56" s="1916"/>
      <c r="F56" s="1908"/>
      <c r="I56" s="1917" t="s">
        <v>1554</v>
      </c>
      <c r="J56" s="1918" t="s">
        <v>3084</v>
      </c>
      <c r="K56" s="1888" t="s">
        <v>1555</v>
      </c>
      <c r="L56" s="1891" t="str">
        <f ca="1">IF(L48&lt;J51,"——",L48-J53)</f>
        <v>——</v>
      </c>
      <c r="O56" s="1885" t="s">
        <v>1040</v>
      </c>
      <c r="P56" s="1886" t="s">
        <v>1528</v>
      </c>
      <c r="Q56" s="1887">
        <f ca="1">C40+J29</f>
        <v>25102</v>
      </c>
      <c r="R56" s="1887" t="s">
        <v>1529</v>
      </c>
    </row>
    <row r="57" spans="1:18" s="1843" customFormat="1" ht="24.6" thickBot="1">
      <c r="A57" s="1919"/>
      <c r="B57" s="1170" t="s">
        <v>1478</v>
      </c>
      <c r="C57" s="282">
        <f ca="1">C29</f>
        <v>19174</v>
      </c>
      <c r="D57" s="1920"/>
      <c r="E57" s="1921"/>
      <c r="F57" s="1922"/>
      <c r="I57" s="1923" t="s">
        <v>1556</v>
      </c>
      <c r="J57" s="1924">
        <f ca="1">IF(OR(M47="住宅",J51&lt;L48,J56="是"),"——",J51-L48)</f>
        <v>27.86</v>
      </c>
      <c r="K57" s="1888" t="s">
        <v>1557</v>
      </c>
      <c r="L57" s="1891" t="str">
        <f ca="1">IF(L48&lt;J51,"——",IF(L55="比较法",L49,IF(L55="基准地价",L50,L51)))</f>
        <v>——</v>
      </c>
      <c r="O57" s="1885" t="s">
        <v>1041</v>
      </c>
      <c r="P57" s="1886" t="s">
        <v>1558</v>
      </c>
      <c r="Q57" s="1887">
        <f ca="1">L60</f>
        <v>0</v>
      </c>
      <c r="R57" s="1887" t="s">
        <v>1559</v>
      </c>
    </row>
    <row r="58" spans="1:18" s="1843" customFormat="1" ht="24.6" thickBot="1">
      <c r="A58" s="360" t="s">
        <v>1030</v>
      </c>
      <c r="B58" s="1178" t="s">
        <v>1424</v>
      </c>
      <c r="C58" s="361">
        <f ca="1">ROUND(C59+C64+C65+C66,0)</f>
        <v>382</v>
      </c>
      <c r="D58" s="1180" t="s">
        <v>1425</v>
      </c>
      <c r="E58" s="1181"/>
      <c r="F58" s="1182"/>
      <c r="I58" s="1923" t="s">
        <v>1560</v>
      </c>
      <c r="J58" s="1925">
        <f ca="1">IF(J55&lt;0.4,0.4,J55)</f>
        <v>0.46400000000000002</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6" thickBot="1">
      <c r="A59" s="1202" t="s">
        <v>1035</v>
      </c>
      <c r="B59" s="1170" t="s">
        <v>1429</v>
      </c>
      <c r="C59" s="24">
        <f ca="1">ROUND(IF(项目基本情况!B11="自然人",C48*F59,C60+C61+C62),1)</f>
        <v>163.69999999999999</v>
      </c>
      <c r="D59" s="1183" t="s">
        <v>1430</v>
      </c>
      <c r="E59" s="1184" t="s">
        <v>1431</v>
      </c>
      <c r="F59" s="368" t="str">
        <f ca="1">IF(项目基本情况!B11="企业","",IF(INDIRECT("'数据-取费表'!c"&amp;$G$1)="住宅",5%,IF(F49*F50*F51/12/(1+'数据-取费表'!C42)&gt;20000,12%,7%)))</f>
        <v/>
      </c>
      <c r="I59" s="1923" t="s">
        <v>1563</v>
      </c>
      <c r="J59" s="1924">
        <f ca="1">IF(OR(M47="住宅",J51&lt;L48,J56="是"),"——",ROUND(C29*J58,0))</f>
        <v>8897</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2"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787</v>
      </c>
      <c r="K60" s="1928" t="s">
        <v>1566</v>
      </c>
      <c r="L60" s="1927">
        <f ca="1">IF(OR(M47="住宅",L48&lt;J51),0,ROUND(L57*(L58/L59-1),0))</f>
        <v>0</v>
      </c>
      <c r="O60" s="1895" t="s">
        <v>1044</v>
      </c>
      <c r="P60" s="1886" t="s">
        <v>1567</v>
      </c>
      <c r="Q60" s="1887" t="e">
        <f ca="1">L58</f>
        <v>#DIV/0!</v>
      </c>
      <c r="R60" s="1887" t="s">
        <v>1568</v>
      </c>
    </row>
    <row r="61" spans="1:18" s="1843" customFormat="1" ht="13.8" thickBot="1">
      <c r="A61" s="1202" t="s">
        <v>1492</v>
      </c>
      <c r="B61" s="1170" t="s">
        <v>1493</v>
      </c>
      <c r="C61" s="24">
        <f ca="1">IF(项目基本情况!B11="自然人","——",IF(D61="按租金收入计税",ROUND(C48*F61,2),IF(D61="按房产原值计税",ROUND(C57*F61*0.7,2),INDIRECT("'数据-取费表'!Aj"&amp;$G$1))))</f>
        <v>161.06</v>
      </c>
      <c r="D61" s="1829" t="s">
        <v>1438</v>
      </c>
      <c r="E61" s="1170" t="s">
        <v>1494</v>
      </c>
      <c r="F61" s="367">
        <f t="shared" si="0"/>
        <v>1.2E-2</v>
      </c>
      <c r="I61" s="1929"/>
      <c r="J61" s="1929"/>
      <c r="K61" s="1929"/>
      <c r="L61" s="1929"/>
      <c r="O61" s="1895" t="s">
        <v>1045</v>
      </c>
      <c r="P61" s="1886" t="str">
        <f>K59</f>
        <v>建筑物剩余耐用年限下的土地年期修正系数Kn</v>
      </c>
      <c r="Q61" s="1887" t="e">
        <f ca="1">L59</f>
        <v>#DIV/0!</v>
      </c>
      <c r="R61" s="1887" t="s">
        <v>1569</v>
      </c>
    </row>
    <row r="62" spans="1:18" s="1843" customFormat="1" ht="13.8" thickBot="1">
      <c r="A62" s="1202" t="s">
        <v>1495</v>
      </c>
      <c r="B62" s="1169" t="s">
        <v>1496</v>
      </c>
      <c r="C62" s="25">
        <f ca="1">IF(项目基本情况!B11="自然人","——",ROUND(F62*F63/10000,2))</f>
        <v>2.68</v>
      </c>
      <c r="D62" s="1185" t="s">
        <v>1497</v>
      </c>
      <c r="E62" s="1170" t="s">
        <v>1498</v>
      </c>
      <c r="F62" s="371">
        <f t="shared" si="0"/>
        <v>12</v>
      </c>
      <c r="I62" s="1930" t="s">
        <v>1570</v>
      </c>
      <c r="J62" s="1931" t="s">
        <v>1571</v>
      </c>
      <c r="K62" s="1931" t="s">
        <v>1572</v>
      </c>
      <c r="L62" s="1931" t="s">
        <v>1573</v>
      </c>
      <c r="M62" s="1932" t="s">
        <v>1574</v>
      </c>
      <c r="O62" s="1885" t="s">
        <v>1046</v>
      </c>
      <c r="P62" s="1886" t="s">
        <v>1575</v>
      </c>
      <c r="Q62" s="1887">
        <f ca="1">Q56+Q57</f>
        <v>25102</v>
      </c>
      <c r="R62" s="1887" t="s">
        <v>1047</v>
      </c>
    </row>
    <row r="63" spans="1:18" s="1843" customFormat="1" ht="13.8" thickBot="1">
      <c r="A63" s="372"/>
      <c r="B63" s="1176"/>
      <c r="C63" s="29"/>
      <c r="D63" s="1186"/>
      <c r="E63" s="1170" t="s">
        <v>1499</v>
      </c>
      <c r="F63" s="348">
        <f t="shared" ca="1" si="0"/>
        <v>2233.89</v>
      </c>
      <c r="I63" s="1930" t="s">
        <v>1576</v>
      </c>
      <c r="J63" s="1931">
        <v>70</v>
      </c>
      <c r="K63" s="1931">
        <v>50</v>
      </c>
      <c r="L63" s="1931">
        <v>80</v>
      </c>
      <c r="M63" s="1933">
        <v>0.02</v>
      </c>
      <c r="O63" s="1870" t="s">
        <v>1577</v>
      </c>
      <c r="P63" s="1840"/>
      <c r="Q63" s="1840"/>
      <c r="R63" s="1840"/>
    </row>
    <row r="64" spans="1:18" s="1843" customFormat="1" ht="13.8" thickBot="1">
      <c r="A64" s="1202" t="s">
        <v>1500</v>
      </c>
      <c r="B64" s="1170" t="s">
        <v>1501</v>
      </c>
      <c r="C64" s="24">
        <f ca="1">ROUND(C57*F64,1)</f>
        <v>191.7</v>
      </c>
      <c r="D64" s="1184" t="s">
        <v>1502</v>
      </c>
      <c r="E64" s="1170" t="s">
        <v>1494</v>
      </c>
      <c r="F64" s="374">
        <f t="shared" ca="1" si="0"/>
        <v>0.01</v>
      </c>
      <c r="I64" s="1930" t="s">
        <v>1578</v>
      </c>
      <c r="J64" s="1931">
        <v>50</v>
      </c>
      <c r="K64" s="1931">
        <v>35</v>
      </c>
      <c r="L64" s="1931">
        <v>60</v>
      </c>
      <c r="M64" s="1932">
        <v>0</v>
      </c>
      <c r="O64" s="1878" t="s">
        <v>1522</v>
      </c>
      <c r="P64" s="1879" t="s">
        <v>1523</v>
      </c>
      <c r="Q64" s="1880" t="s">
        <v>1524</v>
      </c>
      <c r="R64" s="1880" t="s">
        <v>1525</v>
      </c>
    </row>
    <row r="65" spans="1:18" s="1843" customFormat="1" ht="13.8" thickBot="1">
      <c r="A65" s="1202" t="s">
        <v>1503</v>
      </c>
      <c r="B65" s="1170" t="s">
        <v>1453</v>
      </c>
      <c r="C65" s="24">
        <f ca="1">ROUND(C56*F65,1)</f>
        <v>26.7</v>
      </c>
      <c r="D65" s="1184" t="s">
        <v>1454</v>
      </c>
      <c r="E65" s="1170" t="s">
        <v>1455</v>
      </c>
      <c r="F65" s="376">
        <f t="shared" ca="1" si="0"/>
        <v>1.5E-3</v>
      </c>
      <c r="I65" s="1930" t="s">
        <v>1579</v>
      </c>
      <c r="J65" s="1931">
        <v>40</v>
      </c>
      <c r="K65" s="1931">
        <v>30</v>
      </c>
      <c r="L65" s="1931">
        <v>50</v>
      </c>
      <c r="M65" s="1933">
        <v>0.02</v>
      </c>
      <c r="O65" s="1885" t="s">
        <v>1040</v>
      </c>
      <c r="P65" s="1886" t="s">
        <v>1580</v>
      </c>
      <c r="Q65" s="1887">
        <f ca="1">C40+J29</f>
        <v>25102</v>
      </c>
      <c r="R65" s="1887" t="s">
        <v>1529</v>
      </c>
    </row>
    <row r="66" spans="1:18" s="1843" customFormat="1" ht="16.2" thickBot="1">
      <c r="A66" s="1202" t="s">
        <v>1504</v>
      </c>
      <c r="B66" s="1170" t="s">
        <v>1439</v>
      </c>
      <c r="C66" s="24">
        <f ca="1">ROUND(C48*F66,1)</f>
        <v>0</v>
      </c>
      <c r="D66" s="1184" t="s">
        <v>1505</v>
      </c>
      <c r="E66" s="1170" t="s">
        <v>1422</v>
      </c>
      <c r="F66" s="357">
        <f t="shared" ca="1" si="0"/>
        <v>5.0000000000000001E-3</v>
      </c>
      <c r="O66" s="1885" t="s">
        <v>1041</v>
      </c>
      <c r="P66" s="1886" t="s">
        <v>1558</v>
      </c>
      <c r="Q66" s="1887">
        <f ca="1">L60</f>
        <v>0</v>
      </c>
      <c r="R66" s="1887" t="s">
        <v>1581</v>
      </c>
    </row>
    <row r="67" spans="1:18" s="1843" customFormat="1" ht="24.6" thickBot="1">
      <c r="A67" s="1177" t="s">
        <v>1031</v>
      </c>
      <c r="B67" s="1187" t="s">
        <v>1463</v>
      </c>
      <c r="C67" s="361">
        <f ca="1">C48-C58</f>
        <v>-382</v>
      </c>
      <c r="D67" s="1183" t="s">
        <v>1464</v>
      </c>
      <c r="E67" s="1188"/>
      <c r="F67" s="1189"/>
      <c r="O67" s="1895" t="s">
        <v>1042</v>
      </c>
      <c r="P67" s="1886" t="s">
        <v>1562</v>
      </c>
      <c r="Q67" s="1934">
        <f ca="1">L51</f>
        <v>-3329</v>
      </c>
      <c r="R67" s="1887" t="s">
        <v>1582</v>
      </c>
    </row>
    <row r="68" spans="1:18" s="1843" customFormat="1" ht="16.2" thickBot="1">
      <c r="A68" s="1167" t="s">
        <v>1032</v>
      </c>
      <c r="B68" s="1168" t="s">
        <v>1485</v>
      </c>
      <c r="C68" s="346">
        <f ca="1">ROUND(C67*(1-((1+F70)/(1+F68))^F69)/(F68-F70),0)</f>
        <v>-5131</v>
      </c>
      <c r="D68" s="1185" t="s">
        <v>1469</v>
      </c>
      <c r="E68" s="1170" t="s">
        <v>1470</v>
      </c>
      <c r="F68" s="357">
        <f ca="1">F40</f>
        <v>0.06</v>
      </c>
      <c r="O68" s="1895" t="s">
        <v>1043</v>
      </c>
      <c r="P68" s="1935" t="s">
        <v>1583</v>
      </c>
      <c r="Q68" s="1887">
        <f ca="1">ROUND(Q69-Q70*Q71,0)</f>
        <v>-233</v>
      </c>
      <c r="R68" s="1887" t="s">
        <v>1051</v>
      </c>
    </row>
    <row r="69" spans="1:18" s="1843" customFormat="1" ht="13.8" thickBot="1">
      <c r="A69" s="1171"/>
      <c r="B69" s="1172"/>
      <c r="C69" s="351"/>
      <c r="D69" s="1190" t="s">
        <v>1473</v>
      </c>
      <c r="E69" s="1170" t="s">
        <v>1474</v>
      </c>
      <c r="F69" s="379">
        <f ca="1">F41</f>
        <v>28.14</v>
      </c>
      <c r="I69" s="1843">
        <f>18872*0.464/(1+9%)^28.14</f>
        <v>774.73692654537592</v>
      </c>
      <c r="O69" s="1895" t="s">
        <v>1048</v>
      </c>
      <c r="P69" s="1935" t="s">
        <v>1584</v>
      </c>
      <c r="Q69" s="1887">
        <f ca="1">C39</f>
        <v>1283</v>
      </c>
      <c r="R69" s="1887" t="s">
        <v>1529</v>
      </c>
    </row>
    <row r="70" spans="1:18" s="1843" customFormat="1" ht="13.8" thickBot="1">
      <c r="A70" s="1174"/>
      <c r="B70" s="1175"/>
      <c r="C70" s="355"/>
      <c r="D70" s="1186"/>
      <c r="E70" s="1170" t="s">
        <v>1477</v>
      </c>
      <c r="F70" s="1276"/>
      <c r="O70" s="1895" t="s">
        <v>1049</v>
      </c>
      <c r="P70" s="1935" t="s">
        <v>1585</v>
      </c>
      <c r="Q70" s="1887">
        <f ca="1">C13</f>
        <v>17832</v>
      </c>
      <c r="R70" s="1887" t="s">
        <v>1529</v>
      </c>
    </row>
    <row r="71" spans="1:18" s="1843" customFormat="1" ht="13.8" thickBot="1">
      <c r="A71" s="1191" t="s">
        <v>1033</v>
      </c>
      <c r="B71" s="1192" t="s">
        <v>1487</v>
      </c>
      <c r="C71" s="382">
        <f ca="1">ROUND(C68*10000/F71,0)</f>
        <v>-2432</v>
      </c>
      <c r="D71" s="1193" t="s">
        <v>1488</v>
      </c>
      <c r="E71" s="1194" t="s">
        <v>1489</v>
      </c>
      <c r="F71" s="385">
        <f ca="1">F43</f>
        <v>21099.64</v>
      </c>
      <c r="O71" s="1895" t="s">
        <v>1050</v>
      </c>
      <c r="P71" s="1935" t="s">
        <v>1586</v>
      </c>
      <c r="Q71" s="1898">
        <f ca="1">C76</f>
        <v>8.5000000000000006E-2</v>
      </c>
      <c r="R71" s="1887"/>
    </row>
    <row r="72" spans="1:18" s="1843" customFormat="1" ht="13.8" thickBot="1">
      <c r="B72" s="796"/>
      <c r="C72" s="796"/>
      <c r="O72" s="1895" t="s">
        <v>1044</v>
      </c>
      <c r="P72" s="1886" t="s">
        <v>1564</v>
      </c>
      <c r="Q72" s="1898">
        <f>L52</f>
        <v>0</v>
      </c>
      <c r="R72" s="1887"/>
    </row>
    <row r="73" spans="1:18" ht="16.2" thickBot="1">
      <c r="A73" s="1843"/>
      <c r="B73" s="796"/>
      <c r="C73" s="796"/>
      <c r="D73" s="1843"/>
      <c r="E73" s="1843"/>
      <c r="F73" s="1843"/>
      <c r="O73" s="1895" t="s">
        <v>1045</v>
      </c>
      <c r="P73" s="1886" t="s">
        <v>1567</v>
      </c>
      <c r="Q73" s="1887" t="e">
        <f ca="1">L58</f>
        <v>#DIV/0!</v>
      </c>
      <c r="R73" s="1887" t="s">
        <v>1568</v>
      </c>
    </row>
    <row r="74" spans="1:18" ht="13.8"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8" thickBot="1">
      <c r="A75" s="1843"/>
      <c r="B75" s="386" t="s">
        <v>1506</v>
      </c>
      <c r="C75" s="387">
        <f ca="1">ROUND(C13*C76,0)</f>
        <v>1516</v>
      </c>
      <c r="D75" s="1843"/>
      <c r="E75" s="1843"/>
      <c r="F75" s="1843"/>
      <c r="K75" s="1869"/>
      <c r="L75" s="1843"/>
      <c r="O75" s="1885" t="s">
        <v>1046</v>
      </c>
      <c r="P75" s="1886" t="s">
        <v>1549</v>
      </c>
      <c r="Q75" s="1887">
        <f ca="1">Q65+Q66</f>
        <v>25102</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-0.18199999999999994</v>
      </c>
    </row>
    <row r="80" spans="1:18">
      <c r="B80" s="386" t="s">
        <v>1511</v>
      </c>
      <c r="C80" s="318">
        <f ca="1">ROUND(C75/C39,3)</f>
        <v>1.1819999999999999</v>
      </c>
    </row>
    <row r="81" spans="2:3">
      <c r="B81" s="314" t="s">
        <v>1512</v>
      </c>
      <c r="C81" s="282"/>
    </row>
    <row r="82" spans="2:3">
      <c r="B82" s="317" t="s">
        <v>1513</v>
      </c>
      <c r="C82" s="319">
        <f ca="1">1-C83</f>
        <v>0.29000000000000004</v>
      </c>
    </row>
    <row r="83" spans="2:3">
      <c r="B83" s="317" t="s">
        <v>1514</v>
      </c>
      <c r="C83" s="318">
        <f ca="1">ROUND(C13/C40,3)</f>
        <v>0.71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1"/>
  <sheetViews>
    <sheetView topLeftCell="A7" workbookViewId="0">
      <selection activeCell="K24" sqref="K24"/>
    </sheetView>
  </sheetViews>
  <sheetFormatPr defaultRowHeight="14.4"/>
  <cols>
    <col min="1" max="1" width="10.44140625" customWidth="1"/>
    <col min="2" max="2" width="12.88671875" customWidth="1"/>
    <col min="3" max="3" width="8.77734375" customWidth="1"/>
  </cols>
  <sheetData>
    <row r="1" spans="1:9" ht="15.6">
      <c r="A1" s="3568" t="s">
        <v>1076</v>
      </c>
      <c r="B1" s="3569"/>
      <c r="C1" s="3570"/>
      <c r="D1" s="3571">
        <f>SUM(I10,I15,I20,I21,I23)</f>
        <v>4038.2</v>
      </c>
      <c r="E1" s="3571"/>
      <c r="F1" s="3571"/>
      <c r="G1" s="3571"/>
      <c r="H1" s="3571"/>
      <c r="I1" s="3572"/>
    </row>
    <row r="2" spans="1:9">
      <c r="A2" s="3573" t="s">
        <v>1077</v>
      </c>
      <c r="B2" s="3574" t="s">
        <v>1078</v>
      </c>
      <c r="C2" s="3574"/>
      <c r="D2" s="1302" t="s">
        <v>1079</v>
      </c>
      <c r="E2" s="1302" t="s">
        <v>1080</v>
      </c>
      <c r="F2" s="1302" t="s">
        <v>1081</v>
      </c>
      <c r="G2" s="1302" t="s">
        <v>1082</v>
      </c>
      <c r="H2" s="1302" t="s">
        <v>1083</v>
      </c>
      <c r="I2" s="1303" t="s">
        <v>1084</v>
      </c>
    </row>
    <row r="3" spans="1:9">
      <c r="A3" s="3573"/>
      <c r="B3" s="3574" t="s">
        <v>1085</v>
      </c>
      <c r="C3" s="3574"/>
      <c r="D3" s="1304">
        <v>138</v>
      </c>
      <c r="E3" s="1302">
        <v>881</v>
      </c>
      <c r="F3" s="1305">
        <v>1</v>
      </c>
      <c r="G3" s="1305">
        <v>0.7</v>
      </c>
      <c r="H3" s="1306">
        <v>365</v>
      </c>
      <c r="I3" s="1307">
        <f>ROUND(D3*E3*F3*G3*H3/10000,0)</f>
        <v>3106</v>
      </c>
    </row>
    <row r="4" spans="1:9">
      <c r="A4" s="3573"/>
      <c r="B4" s="3574" t="s">
        <v>1086</v>
      </c>
      <c r="C4" s="3574"/>
      <c r="D4" s="1304"/>
      <c r="E4" s="1302"/>
      <c r="F4" s="1305"/>
      <c r="G4" s="1305"/>
      <c r="H4" s="1306"/>
      <c r="I4" s="1307">
        <f t="shared" ref="I4:I9" si="0">ROUND(D4*E4*F4*G4*H4/10000,0)</f>
        <v>0</v>
      </c>
    </row>
    <row r="5" spans="1:9">
      <c r="A5" s="3573"/>
      <c r="B5" s="3574" t="s">
        <v>1087</v>
      </c>
      <c r="C5" s="3574"/>
      <c r="D5" s="1304"/>
      <c r="E5" s="1302"/>
      <c r="F5" s="1305"/>
      <c r="G5" s="1305"/>
      <c r="H5" s="1306"/>
      <c r="I5" s="1307">
        <f t="shared" si="0"/>
        <v>0</v>
      </c>
    </row>
    <row r="6" spans="1:9">
      <c r="A6" s="3573"/>
      <c r="B6" s="3574" t="s">
        <v>1088</v>
      </c>
      <c r="C6" s="3574"/>
      <c r="D6" s="1304"/>
      <c r="E6" s="1302"/>
      <c r="F6" s="1305"/>
      <c r="G6" s="1305"/>
      <c r="H6" s="1306"/>
      <c r="I6" s="1307">
        <f t="shared" si="0"/>
        <v>0</v>
      </c>
    </row>
    <row r="7" spans="1:9">
      <c r="A7" s="3573"/>
      <c r="B7" s="3574" t="s">
        <v>1089</v>
      </c>
      <c r="C7" s="3574"/>
      <c r="D7" s="1304"/>
      <c r="E7" s="1302"/>
      <c r="F7" s="1305"/>
      <c r="G7" s="1305"/>
      <c r="H7" s="1306"/>
      <c r="I7" s="1307">
        <f t="shared" si="0"/>
        <v>0</v>
      </c>
    </row>
    <row r="8" spans="1:9">
      <c r="A8" s="3573"/>
      <c r="B8" s="3574" t="s">
        <v>1090</v>
      </c>
      <c r="C8" s="3574"/>
      <c r="D8" s="1304"/>
      <c r="E8" s="1302"/>
      <c r="F8" s="1305"/>
      <c r="G8" s="1305"/>
      <c r="H8" s="1306"/>
      <c r="I8" s="1307">
        <f t="shared" si="0"/>
        <v>0</v>
      </c>
    </row>
    <row r="9" spans="1:9">
      <c r="A9" s="3573"/>
      <c r="B9" s="3574" t="s">
        <v>1091</v>
      </c>
      <c r="C9" s="3574"/>
      <c r="D9" s="1304"/>
      <c r="E9" s="1302"/>
      <c r="F9" s="1305"/>
      <c r="G9" s="1305"/>
      <c r="H9" s="1306"/>
      <c r="I9" s="1307">
        <f t="shared" si="0"/>
        <v>0</v>
      </c>
    </row>
    <row r="10" spans="1:9">
      <c r="A10" s="3573"/>
      <c r="B10" s="3575" t="s">
        <v>1092</v>
      </c>
      <c r="C10" s="3575"/>
      <c r="D10" s="1308"/>
      <c r="E10" s="1308" t="e">
        <f>ROUND(D1*10000/D10/H9,0)</f>
        <v>#DIV/0!</v>
      </c>
      <c r="F10" s="1309"/>
      <c r="G10" s="1309"/>
      <c r="H10" s="1310"/>
      <c r="I10" s="1311">
        <f>SUM(I3:I9)</f>
        <v>3106</v>
      </c>
    </row>
    <row r="11" spans="1:9" ht="15.6">
      <c r="A11" s="3573" t="s">
        <v>1093</v>
      </c>
      <c r="B11" s="3574" t="s">
        <v>1094</v>
      </c>
      <c r="C11" s="3574"/>
      <c r="D11" s="1304" t="s">
        <v>1095</v>
      </c>
      <c r="E11" s="1304" t="s">
        <v>1096</v>
      </c>
      <c r="F11" s="1305" t="s">
        <v>1097</v>
      </c>
      <c r="G11" s="1305" t="s">
        <v>1083</v>
      </c>
      <c r="H11" s="1312" t="s">
        <v>1098</v>
      </c>
      <c r="I11" s="1303" t="s">
        <v>1084</v>
      </c>
    </row>
    <row r="12" spans="1:9">
      <c r="A12" s="3573"/>
      <c r="B12" s="3574" t="s">
        <v>1099</v>
      </c>
      <c r="C12" s="3574"/>
      <c r="D12" s="1304"/>
      <c r="E12" s="1304"/>
      <c r="F12" s="1305"/>
      <c r="G12" s="1306"/>
      <c r="H12" s="1313"/>
      <c r="I12" s="1303">
        <f>ROUND(D12*E12*F12*G12/10000,0)</f>
        <v>0</v>
      </c>
    </row>
    <row r="13" spans="1:9">
      <c r="A13" s="3573"/>
      <c r="B13" s="3574" t="s">
        <v>1100</v>
      </c>
      <c r="C13" s="3574"/>
      <c r="D13" s="1304"/>
      <c r="E13" s="1304"/>
      <c r="F13" s="1305"/>
      <c r="G13" s="1306"/>
      <c r="H13" s="1313"/>
      <c r="I13" s="1303">
        <f>ROUND(D13*E13*F13*G13/10000,0)</f>
        <v>0</v>
      </c>
    </row>
    <row r="14" spans="1:9">
      <c r="A14" s="3573"/>
      <c r="B14" s="3574" t="s">
        <v>1101</v>
      </c>
      <c r="C14" s="3574"/>
      <c r="D14" s="1304"/>
      <c r="E14" s="1304"/>
      <c r="F14" s="1305"/>
      <c r="G14" s="1306"/>
      <c r="H14" s="1313"/>
      <c r="I14" s="1303">
        <f>ROUND(D14*E14*F14*G14/10000,0)</f>
        <v>0</v>
      </c>
    </row>
    <row r="15" spans="1:9">
      <c r="A15" s="3573"/>
      <c r="B15" s="3575" t="s">
        <v>1092</v>
      </c>
      <c r="C15" s="3575"/>
      <c r="D15" s="1308"/>
      <c r="E15" s="1308">
        <f>SUM(E12:E14)</f>
        <v>0</v>
      </c>
      <c r="F15" s="1309"/>
      <c r="G15" s="1306"/>
      <c r="H15" s="1313"/>
      <c r="I15" s="1314">
        <f>I10*10%</f>
        <v>310.60000000000002</v>
      </c>
    </row>
    <row r="16" spans="1:9" ht="24">
      <c r="A16" s="3573" t="s">
        <v>1102</v>
      </c>
      <c r="B16" s="3574" t="s">
        <v>1103</v>
      </c>
      <c r="C16" s="3574"/>
      <c r="D16" s="1304" t="s">
        <v>1079</v>
      </c>
      <c r="E16" s="1315" t="s">
        <v>1104</v>
      </c>
      <c r="F16" s="1305" t="s">
        <v>1105</v>
      </c>
      <c r="G16" s="1306" t="s">
        <v>1083</v>
      </c>
      <c r="H16" s="1312" t="s">
        <v>1098</v>
      </c>
      <c r="I16" s="1303" t="s">
        <v>1084</v>
      </c>
    </row>
    <row r="17" spans="1:9" ht="15.6">
      <c r="A17" s="3573"/>
      <c r="B17" s="3574" t="s">
        <v>1106</v>
      </c>
      <c r="C17" s="3574"/>
      <c r="D17" s="1304"/>
      <c r="E17" s="1304"/>
      <c r="F17" s="1305"/>
      <c r="G17" s="1306"/>
      <c r="H17" s="1316"/>
      <c r="I17" s="1317">
        <f>ROUND(D17*E17*F17*G17/10000,0)</f>
        <v>0</v>
      </c>
    </row>
    <row r="18" spans="1:9" ht="15.6">
      <c r="A18" s="3573"/>
      <c r="B18" s="3574" t="s">
        <v>1107</v>
      </c>
      <c r="C18" s="3574"/>
      <c r="D18" s="1304"/>
      <c r="E18" s="1304"/>
      <c r="F18" s="1305"/>
      <c r="G18" s="1306"/>
      <c r="H18" s="1316"/>
      <c r="I18" s="1317">
        <f>ROUND(D18*E18*F18*G18/10000,0)</f>
        <v>0</v>
      </c>
    </row>
    <row r="19" spans="1:9" ht="15.6">
      <c r="A19" s="3573"/>
      <c r="B19" s="3574" t="s">
        <v>1108</v>
      </c>
      <c r="C19" s="3574"/>
      <c r="D19" s="1304"/>
      <c r="E19" s="1304"/>
      <c r="F19" s="1305"/>
      <c r="G19" s="1306"/>
      <c r="H19" s="1316"/>
      <c r="I19" s="1317">
        <f>ROUND(D19*E19*F19*G19/10000,0)</f>
        <v>0</v>
      </c>
    </row>
    <row r="20" spans="1:9">
      <c r="A20" s="3573"/>
      <c r="B20" s="3575" t="s">
        <v>1092</v>
      </c>
      <c r="C20" s="3575"/>
      <c r="D20" s="1308">
        <f>SUM(D17:D19)</f>
        <v>0</v>
      </c>
      <c r="E20" s="1308"/>
      <c r="F20" s="1309"/>
      <c r="G20" s="1306"/>
      <c r="H20" s="1313"/>
      <c r="I20" s="1314">
        <f>I15</f>
        <v>310.60000000000002</v>
      </c>
    </row>
    <row r="21" spans="1:9">
      <c r="A21" s="3573" t="s">
        <v>1109</v>
      </c>
      <c r="B21" s="3577"/>
      <c r="C21" s="3577"/>
      <c r="D21" s="3577"/>
      <c r="E21" s="3577"/>
      <c r="F21" s="3577"/>
      <c r="G21" s="3577"/>
      <c r="H21" s="1766">
        <v>0.1</v>
      </c>
      <c r="I21" s="1311">
        <f>ROUND(I10*H21,0)</f>
        <v>311</v>
      </c>
    </row>
    <row r="22" spans="1:9" ht="15.6">
      <c r="A22" s="3578" t="s">
        <v>1110</v>
      </c>
      <c r="B22" s="3579"/>
      <c r="C22" s="3580"/>
      <c r="D22" s="1318" t="s">
        <v>1111</v>
      </c>
      <c r="E22" s="1318" t="s">
        <v>1112</v>
      </c>
      <c r="F22" s="1319" t="s">
        <v>1113</v>
      </c>
      <c r="G22" s="1319" t="s">
        <v>1114</v>
      </c>
      <c r="H22" s="1312" t="s">
        <v>1115</v>
      </c>
      <c r="I22" s="1303" t="s">
        <v>1116</v>
      </c>
    </row>
    <row r="23" spans="1:9" ht="15" thickBot="1">
      <c r="A23" s="3581"/>
      <c r="B23" s="3582"/>
      <c r="C23" s="3583"/>
      <c r="D23" s="1320"/>
      <c r="E23" s="1320"/>
      <c r="F23" s="1320"/>
      <c r="G23" s="1321"/>
      <c r="H23" s="1322"/>
      <c r="I23" s="1323">
        <f>ROUND(E23*D23*F23*(1-G23)/10000,0)</f>
        <v>0</v>
      </c>
    </row>
    <row r="26" spans="1:9">
      <c r="A26" s="1324" t="s">
        <v>1117</v>
      </c>
      <c r="B26" s="1324"/>
      <c r="C26" s="1324"/>
      <c r="D26" s="1324"/>
      <c r="E26" s="3584">
        <f>C27-C30-C31-C32</f>
        <v>1768</v>
      </c>
      <c r="F26" s="3584"/>
      <c r="G26" s="3584"/>
      <c r="H26" s="1738" t="s">
        <v>1340</v>
      </c>
    </row>
    <row r="27" spans="1:9">
      <c r="A27" s="1325">
        <v>1</v>
      </c>
      <c r="B27" s="1326" t="s">
        <v>1118</v>
      </c>
      <c r="C27" s="1326">
        <f>ROUND(35699930.81/10000*1.1,0)</f>
        <v>3927</v>
      </c>
      <c r="D27" s="1326"/>
      <c r="E27" s="3585"/>
      <c r="F27" s="3585"/>
      <c r="G27" s="3585"/>
    </row>
    <row r="28" spans="1:9">
      <c r="A28" s="1327" t="s">
        <v>1119</v>
      </c>
      <c r="B28" s="1326" t="s">
        <v>1120</v>
      </c>
      <c r="C28" s="1326"/>
      <c r="D28" s="1326"/>
      <c r="E28" s="3585"/>
      <c r="F28" s="3585"/>
      <c r="G28" s="3585"/>
    </row>
    <row r="29" spans="1:9">
      <c r="A29" s="1327" t="s">
        <v>1121</v>
      </c>
      <c r="B29" s="1326" t="s">
        <v>1122</v>
      </c>
      <c r="C29" s="1326"/>
      <c r="D29" s="1326"/>
      <c r="E29" s="1326" t="s">
        <v>1123</v>
      </c>
      <c r="F29" s="1326"/>
      <c r="G29" s="1326"/>
    </row>
    <row r="30" spans="1:9">
      <c r="A30" s="1325">
        <v>2</v>
      </c>
      <c r="B30" s="1326" t="s">
        <v>1124</v>
      </c>
      <c r="C30" s="1326">
        <f>ROUND(C27*D30,0)</f>
        <v>1374</v>
      </c>
      <c r="D30" s="1328">
        <v>0.35</v>
      </c>
      <c r="E30" s="1326" t="s">
        <v>1125</v>
      </c>
      <c r="F30" s="1326"/>
      <c r="G30" s="1326"/>
    </row>
    <row r="31" spans="1:9">
      <c r="A31" s="1325">
        <v>3</v>
      </c>
      <c r="B31" s="1326" t="s">
        <v>1126</v>
      </c>
      <c r="C31" s="3218">
        <f>ROUND(C27*D31,0)</f>
        <v>589</v>
      </c>
      <c r="D31" s="1328">
        <v>0.15</v>
      </c>
      <c r="E31" s="1326" t="s">
        <v>1127</v>
      </c>
      <c r="F31" s="1326"/>
      <c r="G31" s="1326"/>
    </row>
    <row r="32" spans="1:9">
      <c r="A32" s="1325">
        <v>4</v>
      </c>
      <c r="B32" s="1326" t="s">
        <v>1128</v>
      </c>
      <c r="C32" s="1326">
        <f>ROUND(C27*D32,0)</f>
        <v>196</v>
      </c>
      <c r="D32" s="1328">
        <v>0.05</v>
      </c>
      <c r="E32" s="3576"/>
      <c r="F32" s="3576"/>
      <c r="G32" s="3576"/>
    </row>
    <row r="33" spans="1:7" hidden="1">
      <c r="A33" s="3586" t="s">
        <v>1129</v>
      </c>
      <c r="B33" s="3587"/>
      <c r="C33" s="3587"/>
      <c r="D33" s="3588"/>
      <c r="E33" s="3584"/>
      <c r="F33" s="3584"/>
      <c r="G33" s="3584"/>
    </row>
    <row r="34" spans="1:7" hidden="1">
      <c r="A34" s="1329">
        <v>1</v>
      </c>
      <c r="B34" s="1326" t="s">
        <v>1130</v>
      </c>
      <c r="C34" s="1326"/>
      <c r="D34" s="1326"/>
      <c r="E34" s="3585"/>
      <c r="F34" s="3585"/>
      <c r="G34" s="3585"/>
    </row>
    <row r="35" spans="1:7" hidden="1">
      <c r="A35" s="1329">
        <v>2</v>
      </c>
      <c r="B35" s="1326" t="s">
        <v>1131</v>
      </c>
      <c r="C35" s="1326"/>
      <c r="D35" s="1326"/>
      <c r="E35" s="3585"/>
      <c r="F35" s="3585"/>
      <c r="G35" s="3585"/>
    </row>
    <row r="36" spans="1:7" hidden="1">
      <c r="A36" s="1329">
        <v>3</v>
      </c>
      <c r="B36" s="1326" t="s">
        <v>1132</v>
      </c>
      <c r="C36" s="1326"/>
      <c r="D36" s="1326"/>
      <c r="E36" s="3585"/>
      <c r="F36" s="3585"/>
      <c r="G36" s="3585"/>
    </row>
    <row r="37" spans="1:7" hidden="1">
      <c r="A37" s="1329">
        <v>4</v>
      </c>
      <c r="B37" s="1326" t="s">
        <v>1133</v>
      </c>
      <c r="C37" s="1326"/>
      <c r="D37" s="1326"/>
      <c r="E37" s="3585"/>
      <c r="F37" s="3585"/>
      <c r="G37" s="3585"/>
    </row>
    <row r="38" spans="1:7" hidden="1">
      <c r="A38" s="3586" t="s">
        <v>1134</v>
      </c>
      <c r="B38" s="3587"/>
      <c r="C38" s="3587"/>
      <c r="D38" s="3588"/>
      <c r="E38" s="3584"/>
      <c r="F38" s="3584"/>
      <c r="G38" s="3584"/>
    </row>
    <row r="41" spans="1:7">
      <c r="E41">
        <f>C27/365/'数据-汇总表'!F20</f>
        <v>6.3343972846389008E-4</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6" customWidth="1"/>
    <col min="2" max="16384" width="9" style="1946"/>
  </cols>
  <sheetData>
    <row r="1" spans="1:1" ht="22.8">
      <c r="A1" s="1945" t="s">
        <v>1611</v>
      </c>
    </row>
    <row r="2" spans="1:1">
      <c r="A2" s="1947"/>
    </row>
    <row r="3" spans="1:1" ht="17.399999999999999">
      <c r="A3" s="1948" t="str">
        <f>项目基本情况!B5&amp;"："</f>
        <v>北京万国城酒店运营管理有限公司：</v>
      </c>
    </row>
    <row r="4" spans="1:1" ht="34.799999999999997">
      <c r="A4" s="1949" t="str">
        <f>"受贵公司委托，我公司对"&amp;项目基本情况!S1&amp;"进行了预评估。"</f>
        <v>受贵公司委托，我公司对北京市东城区香河园街1号11号楼房地产抵押价值进行了预评估。</v>
      </c>
    </row>
    <row r="5" spans="1:1" ht="17.399999999999999">
      <c r="A5" s="1950" t="s">
        <v>1612</v>
      </c>
    </row>
    <row r="6" spans="1:1" ht="17.399999999999999">
      <c r="A6" s="1951" t="s">
        <v>1613</v>
      </c>
    </row>
    <row r="7" spans="1:1" ht="69.59999999999999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11号楼房地产，为所有。根据《国有土地使用证》[京东国用（2015出）第00294号]，估价对象（分摊）出让国有建设用地使用权面积为5235.2平方米。根据《房屋所有权证》[X京房权证东字第103218号]，估价对象建筑面积为50120.32平方米。</v>
      </c>
    </row>
    <row r="8" spans="1:1" ht="54.6">
      <c r="A8" s="1952" t="s">
        <v>1614</v>
      </c>
    </row>
    <row r="9" spans="1:1" ht="17.399999999999999">
      <c r="A9" s="1951" t="s">
        <v>1615</v>
      </c>
    </row>
    <row r="10" spans="1:1" ht="87">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11号楼房地产,属开发建设的，该项目尚在开发建设中。根据《国有土地使用证》[京东国用（2015出）第00294号]，估价对象（分摊）出让国有建设用地使用权面积为5235.2平方米。根据《房屋所有权证》[X京房权证东字第103218号]，估价对象规划建筑面积为50120.32平方米。</v>
      </c>
    </row>
    <row r="11" spans="1:1" ht="72">
      <c r="A11" s="1952" t="s">
        <v>1616</v>
      </c>
    </row>
    <row r="12" spans="1:1" ht="17.399999999999999">
      <c r="A12" s="1950" t="s">
        <v>1617</v>
      </c>
    </row>
    <row r="13" spans="1:1" ht="38.25" customHeight="1">
      <c r="A13" s="1953" t="str">
        <f>IF(项目基本情况!B8="抵押",IF(项目基本情况!B5=项目基本情况!B6,定义!C51,定义!B51),定义!D51)</f>
        <v>为估价委托人在向工商银行总行北京分行东城支行办理贷款手续过程中，确定房地产抵押贷款额度提供参考依据而评估房地产抵押价值。</v>
      </c>
    </row>
    <row r="14" spans="1:1" ht="17.399999999999999">
      <c r="A14" s="1954" t="s">
        <v>1618</v>
      </c>
    </row>
    <row r="15" spans="1:1" ht="17.399999999999999">
      <c r="A15" s="1955" t="str">
        <f>TEXT(项目基本情况!D3,"yyyy年m月d日;;")&amp;IF(项目基本情况!D3=项目基本情况!B3,"（评估专业人员实地查勘之日）","")</f>
        <v>2018年12月24日（评估专业人员实地查勘之日）</v>
      </c>
    </row>
    <row r="16" spans="1:1" ht="17.399999999999999">
      <c r="A16" s="1954" t="s">
        <v>1619</v>
      </c>
    </row>
    <row r="17" spans="1:1" ht="69.599999999999994">
      <c r="A17" s="1949" t="s">
        <v>1620</v>
      </c>
    </row>
    <row r="18" spans="1:1" ht="69.59999999999999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24日，估价对象规划用途为办公、车库、酒店，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酒店，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4" t="s">
        <v>1609</v>
      </c>
    </row>
    <row r="24" spans="1:1" ht="17.399999999999999">
      <c r="A24" s="1956" t="str">
        <f>"本次评估采用的主估价方法为"&amp;结果表!K4&amp;"和"&amp;结果表!L4&amp;"。"</f>
        <v>本次评估采用的主估价方法为成本法和收益法。</v>
      </c>
    </row>
    <row r="25" spans="1:1" ht="17.399999999999999">
      <c r="A25" s="1956"/>
    </row>
    <row r="26" spans="1:1" ht="17.399999999999999">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582" t="s">
        <v>2527</v>
      </c>
      <c r="C1" s="1635" t="s">
        <v>2528</v>
      </c>
      <c r="D1" s="1622"/>
      <c r="E1" s="2583"/>
      <c r="F1" s="2584" t="s">
        <v>2529</v>
      </c>
      <c r="G1" s="1632" t="s">
        <v>2530</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86"/>
      <c r="D2" s="1366" t="e">
        <f ca="1">SUMIF(INDIRECT("'"&amp;F2&amp;"'"&amp;"!A:A"),"承租人权益价值",INDIRECT("'"&amp;F2&amp;"'"&amp;"!c:c"))</f>
        <v>#REF!</v>
      </c>
      <c r="E2" s="2587" t="s">
        <v>2531</v>
      </c>
      <c r="F2" s="2588"/>
      <c r="G2" s="1125"/>
      <c r="H2" s="1125"/>
      <c r="I2" s="1125"/>
      <c r="J2" s="1125"/>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50120.32</v>
      </c>
      <c r="E3" s="1125"/>
      <c r="F3" s="2595"/>
      <c r="G3" s="1125"/>
      <c r="H3" s="1125"/>
      <c r="I3" s="1125"/>
      <c r="J3" s="1125"/>
      <c r="K3" s="2589"/>
      <c r="L3" s="2590"/>
      <c r="M3" s="2591"/>
      <c r="N3" s="2591"/>
      <c r="O3" s="2591"/>
      <c r="P3" s="2592"/>
      <c r="Q3" s="2593"/>
      <c r="R3" s="2593"/>
      <c r="S3" s="2593"/>
      <c r="T3" s="2593"/>
      <c r="U3" s="2593"/>
      <c r="V3" s="2593"/>
      <c r="W3" s="2593"/>
      <c r="X3" s="2593"/>
      <c r="Y3" s="2593"/>
      <c r="Z3" s="2593"/>
      <c r="AA3" s="2593"/>
      <c r="AB3" s="2593"/>
      <c r="AC3" s="1283"/>
    </row>
    <row r="4" spans="1:29" ht="14.4">
      <c r="A4" s="401" t="s">
        <v>2533</v>
      </c>
      <c r="B4" s="402"/>
      <c r="C4" s="3607" t="s">
        <v>2534</v>
      </c>
      <c r="D4" s="3608"/>
      <c r="E4" s="3609" t="s">
        <v>2535</v>
      </c>
      <c r="F4" s="3610"/>
      <c r="G4" s="3607" t="s">
        <v>2536</v>
      </c>
      <c r="H4" s="3608"/>
      <c r="I4" s="3607" t="s">
        <v>2537</v>
      </c>
      <c r="J4" s="3608"/>
      <c r="K4" s="2596" t="s">
        <v>2538</v>
      </c>
      <c r="L4" s="1131"/>
      <c r="M4" s="1132"/>
      <c r="N4" s="1132"/>
      <c r="O4" s="1132"/>
      <c r="P4" s="3611" t="s">
        <v>2539</v>
      </c>
      <c r="Q4" s="3612"/>
      <c r="R4" s="3594" t="s">
        <v>2535</v>
      </c>
      <c r="S4" s="3595"/>
      <c r="T4" s="3594" t="s">
        <v>2536</v>
      </c>
      <c r="U4" s="3595"/>
      <c r="V4" s="3619" t="s">
        <v>2537</v>
      </c>
      <c r="W4" s="3619"/>
      <c r="X4" s="1814"/>
      <c r="Y4" s="3594" t="s">
        <v>2539</v>
      </c>
      <c r="Z4" s="3595"/>
      <c r="AA4" s="3589" t="s">
        <v>2535</v>
      </c>
      <c r="AB4" s="3589" t="s">
        <v>2536</v>
      </c>
      <c r="AC4" s="3589" t="s">
        <v>2537</v>
      </c>
    </row>
    <row r="5" spans="1:29">
      <c r="A5" s="404"/>
      <c r="B5" s="405"/>
      <c r="C5" s="3600" t="s">
        <v>2540</v>
      </c>
      <c r="D5" s="3601"/>
      <c r="E5" s="3598" t="s">
        <v>2541</v>
      </c>
      <c r="F5" s="3599"/>
      <c r="G5" s="3600" t="s">
        <v>2542</v>
      </c>
      <c r="H5" s="3601"/>
      <c r="I5" s="3600" t="s">
        <v>2543</v>
      </c>
      <c r="J5" s="3601"/>
      <c r="K5" s="2597"/>
      <c r="L5" s="1131"/>
      <c r="M5" s="1132"/>
      <c r="N5" s="1132"/>
      <c r="O5" s="1132"/>
      <c r="P5" s="3613"/>
      <c r="Q5" s="3614"/>
      <c r="R5" s="3596"/>
      <c r="S5" s="3597"/>
      <c r="T5" s="3596"/>
      <c r="U5" s="3597"/>
      <c r="V5" s="3619"/>
      <c r="W5" s="3619"/>
      <c r="X5" s="1814"/>
      <c r="Y5" s="3596"/>
      <c r="Z5" s="3597"/>
      <c r="AA5" s="3590"/>
      <c r="AB5" s="3590"/>
      <c r="AC5" s="3590"/>
    </row>
    <row r="6" spans="1:29" ht="15" thickBot="1">
      <c r="A6" s="406"/>
      <c r="B6" s="407"/>
      <c r="C6" s="3602" t="s">
        <v>2544</v>
      </c>
      <c r="D6" s="3603"/>
      <c r="E6" s="3604" t="s">
        <v>2544</v>
      </c>
      <c r="F6" s="3605"/>
      <c r="G6" s="3602" t="s">
        <v>2544</v>
      </c>
      <c r="H6" s="3603"/>
      <c r="I6" s="3602" t="s">
        <v>2544</v>
      </c>
      <c r="J6" s="3603"/>
      <c r="K6" s="2597" t="s">
        <v>2545</v>
      </c>
      <c r="L6" s="1131"/>
      <c r="M6" s="1132"/>
      <c r="N6" s="1132"/>
      <c r="O6" s="1132"/>
      <c r="P6" s="3615"/>
      <c r="Q6" s="3616"/>
      <c r="R6" s="3596"/>
      <c r="S6" s="3597"/>
      <c r="T6" s="3617"/>
      <c r="U6" s="3618"/>
      <c r="V6" s="3619"/>
      <c r="W6" s="3619"/>
      <c r="X6" s="1814"/>
      <c r="Y6" s="3617"/>
      <c r="Z6" s="3618"/>
      <c r="AA6" s="3591"/>
      <c r="AB6" s="3591"/>
      <c r="AC6" s="3591"/>
    </row>
    <row r="7" spans="1:29" s="117" customFormat="1" ht="15" thickBot="1">
      <c r="A7" s="408" t="s">
        <v>2546</v>
      </c>
      <c r="B7" s="409"/>
      <c r="C7" s="410">
        <f>'数据-取费表'!B2</f>
        <v>43458</v>
      </c>
      <c r="D7" s="411">
        <v>100</v>
      </c>
      <c r="E7" s="412"/>
      <c r="F7" s="413">
        <f>SUMIF(58:58,YEAR(E7)&amp;"-"&amp;MONTH(E7),59:59)</f>
        <v>0</v>
      </c>
      <c r="G7" s="412"/>
      <c r="H7" s="411">
        <f>SUMIF(58:58,YEAR(G7)&amp;"-"&amp;MONTH(G7),59:59)</f>
        <v>0</v>
      </c>
      <c r="I7" s="412"/>
      <c r="J7" s="411">
        <f>SUMIF(58:58,YEAR(I7)&amp;"-"&amp;MONTH(I7),59:59)</f>
        <v>0</v>
      </c>
      <c r="K7" s="2598"/>
      <c r="L7" s="1133"/>
      <c r="M7" s="1134"/>
      <c r="N7" s="1134"/>
      <c r="O7" s="1134"/>
      <c r="P7" s="3592" t="s">
        <v>2547</v>
      </c>
      <c r="Q7" s="3620"/>
      <c r="R7" s="770" t="s">
        <v>23</v>
      </c>
      <c r="S7" s="771">
        <f t="shared" ref="S7:S15" si="0">F7</f>
        <v>0</v>
      </c>
      <c r="T7" s="770" t="s">
        <v>23</v>
      </c>
      <c r="U7" s="771">
        <f t="shared" ref="U7:U15" si="1">H7</f>
        <v>0</v>
      </c>
      <c r="V7" s="770" t="s">
        <v>23</v>
      </c>
      <c r="W7" s="771">
        <f t="shared" ref="W7:W15" si="2">J7</f>
        <v>0</v>
      </c>
      <c r="X7" s="772"/>
      <c r="Y7" s="3592" t="s">
        <v>2547</v>
      </c>
      <c r="Z7" s="3593"/>
      <c r="AA7" s="773" t="e">
        <f>D7/F7</f>
        <v>#DIV/0!</v>
      </c>
      <c r="AB7" s="773" t="e">
        <f>D7/H7</f>
        <v>#DIV/0!</v>
      </c>
      <c r="AC7" s="773" t="e">
        <f>D7/J7</f>
        <v>#DIV/0!</v>
      </c>
    </row>
    <row r="8" spans="1:29" s="117" customFormat="1" ht="1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3"/>
      <c r="M8" s="1134"/>
      <c r="N8" s="1134"/>
      <c r="O8" s="1134"/>
      <c r="P8" s="3592" t="s">
        <v>2550</v>
      </c>
      <c r="Q8" s="3593"/>
      <c r="R8" s="770" t="s">
        <v>23</v>
      </c>
      <c r="S8" s="771">
        <f t="shared" si="0"/>
        <v>0</v>
      </c>
      <c r="T8" s="770" t="s">
        <v>23</v>
      </c>
      <c r="U8" s="771">
        <f t="shared" si="1"/>
        <v>0</v>
      </c>
      <c r="V8" s="770" t="s">
        <v>23</v>
      </c>
      <c r="W8" s="771">
        <f t="shared" si="2"/>
        <v>0</v>
      </c>
      <c r="X8" s="772"/>
      <c r="Y8" s="3592" t="s">
        <v>2550</v>
      </c>
      <c r="Z8" s="3593"/>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3"/>
      <c r="M9" s="1134"/>
      <c r="N9" s="1134"/>
      <c r="O9" s="1134"/>
      <c r="P9" s="3606" t="s">
        <v>2553</v>
      </c>
      <c r="Q9" s="1796" t="str">
        <f t="shared" ref="Q9:Q15" si="6">B9</f>
        <v>用途</v>
      </c>
      <c r="R9" s="770" t="s">
        <v>17</v>
      </c>
      <c r="S9" s="771">
        <f t="shared" si="0"/>
        <v>100</v>
      </c>
      <c r="T9" s="770" t="s">
        <v>17</v>
      </c>
      <c r="U9" s="771">
        <f t="shared" si="1"/>
        <v>100</v>
      </c>
      <c r="V9" s="770" t="s">
        <v>17</v>
      </c>
      <c r="W9" s="771">
        <f t="shared" si="2"/>
        <v>100</v>
      </c>
      <c r="X9" s="772"/>
      <c r="Y9" s="3439"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606"/>
      <c r="Q10" s="1796" t="str">
        <f t="shared" si="6"/>
        <v>土地使用年限（年）</v>
      </c>
      <c r="R10" s="770" t="s">
        <v>17</v>
      </c>
      <c r="S10" s="771">
        <f t="shared" si="0"/>
        <v>100</v>
      </c>
      <c r="T10" s="770" t="s">
        <v>17</v>
      </c>
      <c r="U10" s="771">
        <f t="shared" si="1"/>
        <v>100</v>
      </c>
      <c r="V10" s="770" t="s">
        <v>17</v>
      </c>
      <c r="W10" s="771">
        <f t="shared" si="2"/>
        <v>100</v>
      </c>
      <c r="X10" s="772"/>
      <c r="Y10" s="343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606"/>
      <c r="Q11" s="1796" t="str">
        <f t="shared" si="6"/>
        <v>容积率</v>
      </c>
      <c r="R11" s="770" t="s">
        <v>21</v>
      </c>
      <c r="S11" s="771" t="e">
        <f t="shared" si="0"/>
        <v>#N/A</v>
      </c>
      <c r="T11" s="770" t="s">
        <v>21</v>
      </c>
      <c r="U11" s="771" t="e">
        <f t="shared" si="1"/>
        <v>#N/A</v>
      </c>
      <c r="V11" s="770" t="s">
        <v>21</v>
      </c>
      <c r="W11" s="771" t="e">
        <f t="shared" si="2"/>
        <v>#N/A</v>
      </c>
      <c r="X11" s="772"/>
      <c r="Y11" s="343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3"/>
      <c r="M12" s="1134"/>
      <c r="N12" s="1134"/>
      <c r="O12" s="1134"/>
      <c r="P12" s="3606"/>
      <c r="Q12" s="1796">
        <f t="shared" si="6"/>
        <v>111</v>
      </c>
      <c r="R12" s="770" t="s">
        <v>21</v>
      </c>
      <c r="S12" s="771">
        <f t="shared" si="0"/>
        <v>100</v>
      </c>
      <c r="T12" s="770" t="s">
        <v>21</v>
      </c>
      <c r="U12" s="771">
        <f t="shared" si="1"/>
        <v>100</v>
      </c>
      <c r="V12" s="770" t="s">
        <v>21</v>
      </c>
      <c r="W12" s="771">
        <f t="shared" si="2"/>
        <v>100</v>
      </c>
      <c r="X12" s="772"/>
      <c r="Y12" s="343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1"/>
      <c r="M13" s="1132"/>
      <c r="N13" s="1132"/>
      <c r="O13" s="1132"/>
      <c r="P13" s="3606"/>
      <c r="Q13" s="1796">
        <f t="shared" si="6"/>
        <v>111</v>
      </c>
      <c r="R13" s="770" t="s">
        <v>21</v>
      </c>
      <c r="S13" s="771">
        <f t="shared" si="0"/>
        <v>100</v>
      </c>
      <c r="T13" s="770" t="s">
        <v>21</v>
      </c>
      <c r="U13" s="771">
        <f t="shared" si="1"/>
        <v>100</v>
      </c>
      <c r="V13" s="770" t="s">
        <v>21</v>
      </c>
      <c r="W13" s="771">
        <f t="shared" si="2"/>
        <v>100</v>
      </c>
      <c r="X13" s="772"/>
      <c r="Y13" s="3439"/>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1"/>
      <c r="M14" s="1132"/>
      <c r="N14" s="1132"/>
      <c r="O14" s="1132"/>
      <c r="P14" s="3606"/>
      <c r="Q14" s="1796">
        <f t="shared" si="6"/>
        <v>111</v>
      </c>
      <c r="R14" s="770" t="s">
        <v>21</v>
      </c>
      <c r="S14" s="771">
        <f t="shared" si="0"/>
        <v>100</v>
      </c>
      <c r="T14" s="770" t="s">
        <v>21</v>
      </c>
      <c r="U14" s="771">
        <f t="shared" si="1"/>
        <v>100</v>
      </c>
      <c r="V14" s="770" t="s">
        <v>21</v>
      </c>
      <c r="W14" s="771">
        <f t="shared" si="2"/>
        <v>100</v>
      </c>
      <c r="X14" s="772"/>
      <c r="Y14" s="3439"/>
      <c r="Z14" s="55">
        <f t="shared" si="7"/>
        <v>111</v>
      </c>
      <c r="AA14" s="773">
        <f t="shared" si="3"/>
        <v>1</v>
      </c>
      <c r="AB14" s="773">
        <f t="shared" si="4"/>
        <v>1</v>
      </c>
      <c r="AC14" s="773">
        <f t="shared" si="5"/>
        <v>1</v>
      </c>
    </row>
    <row r="15" spans="1:29" ht="96.6">
      <c r="A15" s="440" t="s">
        <v>2557</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633" t="s">
        <v>2558</v>
      </c>
      <c r="Q15" s="1811" t="str">
        <f t="shared" si="6"/>
        <v>居住社区成熟度</v>
      </c>
      <c r="R15" s="774" t="s">
        <v>21</v>
      </c>
      <c r="S15" s="775">
        <f t="shared" si="0"/>
        <v>100</v>
      </c>
      <c r="T15" s="774" t="s">
        <v>21</v>
      </c>
      <c r="U15" s="775">
        <f t="shared" si="1"/>
        <v>100</v>
      </c>
      <c r="V15" s="774" t="s">
        <v>21</v>
      </c>
      <c r="W15" s="775">
        <f t="shared" si="2"/>
        <v>100</v>
      </c>
      <c r="X15" s="1814"/>
      <c r="Y15" s="3626" t="s">
        <v>2558</v>
      </c>
      <c r="Z15" s="1815" t="str">
        <f t="shared" si="7"/>
        <v>居住社区成熟度</v>
      </c>
      <c r="AA15" s="1812">
        <f t="shared" si="3"/>
        <v>1</v>
      </c>
      <c r="AB15" s="1812">
        <f t="shared" si="4"/>
        <v>1</v>
      </c>
      <c r="AC15" s="1812">
        <f t="shared" si="5"/>
        <v>1</v>
      </c>
    </row>
    <row r="16" spans="1:29" ht="15">
      <c r="A16" s="428"/>
      <c r="B16" s="446"/>
      <c r="C16" s="447"/>
      <c r="D16" s="448"/>
      <c r="E16" s="2604"/>
      <c r="F16" s="448"/>
      <c r="G16" s="2605"/>
      <c r="H16" s="450"/>
      <c r="I16" s="2605"/>
      <c r="J16" s="448"/>
      <c r="K16" s="2606"/>
      <c r="L16" s="1141"/>
      <c r="M16" s="1132"/>
      <c r="N16" s="1132"/>
      <c r="O16" s="1132"/>
      <c r="P16" s="3634"/>
      <c r="Q16" s="1811"/>
      <c r="R16" s="774"/>
      <c r="S16" s="775"/>
      <c r="T16" s="774"/>
      <c r="U16" s="775"/>
      <c r="V16" s="774"/>
      <c r="W16" s="775"/>
      <c r="X16" s="1814"/>
      <c r="Y16" s="3627"/>
      <c r="Z16" s="1815"/>
      <c r="AA16" s="1812">
        <v>1</v>
      </c>
      <c r="AB16" s="1812">
        <v>1</v>
      </c>
      <c r="AC16" s="1812">
        <v>1</v>
      </c>
    </row>
    <row r="17" spans="1:29" ht="165.6">
      <c r="A17" s="428"/>
      <c r="B17" s="451" t="s">
        <v>2095</v>
      </c>
      <c r="C17" s="2607" t="str">
        <f>估价对象房地状况!C6</f>
        <v>估价对象周边道路状况较好（机场高速、香河园路）、公共交通较通达（2、机场线东直门站，18路、916路香河园路，359、915路东直门外站）、停车便捷程度，综合评价交通便捷度较好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634"/>
      <c r="Q17" s="1811" t="str">
        <f>B17</f>
        <v>交通便捷度</v>
      </c>
      <c r="R17" s="774" t="s">
        <v>21</v>
      </c>
      <c r="S17" s="775">
        <f>F17</f>
        <v>100</v>
      </c>
      <c r="T17" s="774" t="s">
        <v>21</v>
      </c>
      <c r="U17" s="775">
        <f>H17</f>
        <v>100</v>
      </c>
      <c r="V17" s="774" t="s">
        <v>21</v>
      </c>
      <c r="W17" s="775">
        <f>J17</f>
        <v>100</v>
      </c>
      <c r="X17" s="1814"/>
      <c r="Y17" s="3627"/>
      <c r="Z17" s="1815" t="str">
        <f>Q17</f>
        <v>交通便捷度</v>
      </c>
      <c r="AA17" s="1812">
        <f t="shared" si="3"/>
        <v>1</v>
      </c>
      <c r="AB17" s="1812">
        <f t="shared" si="4"/>
        <v>1</v>
      </c>
      <c r="AC17" s="1812">
        <f t="shared" si="5"/>
        <v>1</v>
      </c>
    </row>
    <row r="18" spans="1:29" ht="15">
      <c r="A18" s="428"/>
      <c r="B18" s="456"/>
      <c r="C18" s="2608"/>
      <c r="D18" s="450"/>
      <c r="E18" s="2609"/>
      <c r="F18" s="450"/>
      <c r="G18" s="2610"/>
      <c r="H18" s="448"/>
      <c r="I18" s="2610"/>
      <c r="J18" s="448"/>
      <c r="K18" s="2606"/>
      <c r="L18" s="1141"/>
      <c r="M18" s="1132"/>
      <c r="N18" s="1132"/>
      <c r="O18" s="1132"/>
      <c r="P18" s="3634"/>
      <c r="Q18" s="1811"/>
      <c r="R18" s="774"/>
      <c r="S18" s="775"/>
      <c r="T18" s="774"/>
      <c r="U18" s="775"/>
      <c r="V18" s="774"/>
      <c r="W18" s="775"/>
      <c r="X18" s="1814"/>
      <c r="Y18" s="3627"/>
      <c r="Z18" s="1815"/>
      <c r="AA18" s="1812">
        <v>1</v>
      </c>
      <c r="AB18" s="1812">
        <v>1</v>
      </c>
      <c r="AC18" s="1812">
        <v>1</v>
      </c>
    </row>
    <row r="19" spans="1:29" ht="41.4">
      <c r="A19" s="428"/>
      <c r="B19" s="451" t="s">
        <v>2093</v>
      </c>
      <c r="C19" s="2607"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634"/>
      <c r="Q19" s="1811" t="str">
        <f>B19</f>
        <v>公共配套设施</v>
      </c>
      <c r="R19" s="774" t="s">
        <v>21</v>
      </c>
      <c r="S19" s="775">
        <f>F19</f>
        <v>100</v>
      </c>
      <c r="T19" s="774" t="s">
        <v>21</v>
      </c>
      <c r="U19" s="775">
        <f>H19</f>
        <v>100</v>
      </c>
      <c r="V19" s="774" t="s">
        <v>21</v>
      </c>
      <c r="W19" s="775">
        <f>J19</f>
        <v>100</v>
      </c>
      <c r="X19" s="1814"/>
      <c r="Y19" s="3627"/>
      <c r="Z19" s="1815" t="str">
        <f>Q19</f>
        <v>公共配套设施</v>
      </c>
      <c r="AA19" s="1812">
        <f t="shared" si="3"/>
        <v>1</v>
      </c>
      <c r="AB19" s="1812">
        <f t="shared" si="4"/>
        <v>1</v>
      </c>
      <c r="AC19" s="1812">
        <f t="shared" si="5"/>
        <v>1</v>
      </c>
    </row>
    <row r="20" spans="1:29" ht="15">
      <c r="A20" s="428"/>
      <c r="B20" s="456"/>
      <c r="C20" s="447"/>
      <c r="D20" s="448"/>
      <c r="E20" s="2604"/>
      <c r="F20" s="448"/>
      <c r="G20" s="2605"/>
      <c r="H20" s="448"/>
      <c r="I20" s="2605"/>
      <c r="J20" s="448"/>
      <c r="K20" s="2606"/>
      <c r="L20" s="1141"/>
      <c r="M20" s="1132"/>
      <c r="N20" s="1132"/>
      <c r="O20" s="1132"/>
      <c r="P20" s="3634"/>
      <c r="Q20" s="1811"/>
      <c r="R20" s="774"/>
      <c r="S20" s="775"/>
      <c r="T20" s="774"/>
      <c r="U20" s="775"/>
      <c r="V20" s="774"/>
      <c r="W20" s="775"/>
      <c r="X20" s="1814"/>
      <c r="Y20" s="3627"/>
      <c r="Z20" s="1815"/>
      <c r="AA20" s="1812">
        <v>1</v>
      </c>
      <c r="AB20" s="1812">
        <v>1</v>
      </c>
      <c r="AC20" s="1812">
        <v>1</v>
      </c>
    </row>
    <row r="21" spans="1:29" ht="41.4">
      <c r="A21" s="428"/>
      <c r="B21" s="1385" t="s">
        <v>2096</v>
      </c>
      <c r="C21" s="2607" t="str">
        <f>估价对象房地状况!C8</f>
        <v>估价对象所在区域基础设施水平较高</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634"/>
      <c r="Q21" s="1811" t="str">
        <f>B21</f>
        <v>基础设施水平</v>
      </c>
      <c r="R21" s="774" t="s">
        <v>17</v>
      </c>
      <c r="S21" s="775">
        <f>F21</f>
        <v>100</v>
      </c>
      <c r="T21" s="774" t="s">
        <v>17</v>
      </c>
      <c r="U21" s="775">
        <f>H21</f>
        <v>100</v>
      </c>
      <c r="V21" s="774" t="s">
        <v>17</v>
      </c>
      <c r="W21" s="775">
        <f>J21</f>
        <v>100</v>
      </c>
      <c r="X21" s="1814"/>
      <c r="Y21" s="3627"/>
      <c r="Z21" s="1815" t="str">
        <f>Q21</f>
        <v>基础设施水平</v>
      </c>
      <c r="AA21" s="1812">
        <f>D21/F21</f>
        <v>1</v>
      </c>
      <c r="AB21" s="1812">
        <f>D21/H21</f>
        <v>1</v>
      </c>
      <c r="AC21" s="1812">
        <f>D21/J21</f>
        <v>1</v>
      </c>
    </row>
    <row r="22" spans="1:29" ht="15">
      <c r="A22" s="428"/>
      <c r="B22" s="1385"/>
      <c r="C22" s="2608"/>
      <c r="D22" s="448"/>
      <c r="E22" s="447"/>
      <c r="F22" s="448"/>
      <c r="G22" s="2611"/>
      <c r="H22" s="448"/>
      <c r="I22" s="447"/>
      <c r="J22" s="448"/>
      <c r="K22" s="2612"/>
      <c r="L22" s="1141"/>
      <c r="M22" s="1132"/>
      <c r="N22" s="1132"/>
      <c r="O22" s="1132"/>
      <c r="P22" s="3634"/>
      <c r="Q22" s="1811"/>
      <c r="R22" s="774"/>
      <c r="S22" s="775"/>
      <c r="T22" s="774"/>
      <c r="U22" s="775"/>
      <c r="V22" s="774"/>
      <c r="W22" s="775"/>
      <c r="X22" s="1814"/>
      <c r="Y22" s="3627"/>
      <c r="Z22" s="1815"/>
      <c r="AA22" s="1812">
        <v>1</v>
      </c>
      <c r="AB22" s="1812">
        <v>1</v>
      </c>
      <c r="AC22" s="1812">
        <v>1</v>
      </c>
    </row>
    <row r="23" spans="1:29" ht="82.8">
      <c r="A23" s="428"/>
      <c r="B23" s="451" t="s">
        <v>2100</v>
      </c>
      <c r="C23" s="2607" t="str">
        <f>估价对象房地状况!C9</f>
        <v>区域自然环境：廉政文化公园；人文环境：自来水博物馆；综合评价环境状况较好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634"/>
      <c r="Q23" s="1811" t="str">
        <f>B23</f>
        <v>自然及人文环境</v>
      </c>
      <c r="R23" s="774" t="s">
        <v>21</v>
      </c>
      <c r="S23" s="775">
        <f>F23</f>
        <v>100</v>
      </c>
      <c r="T23" s="774" t="s">
        <v>21</v>
      </c>
      <c r="U23" s="775">
        <f>H23</f>
        <v>100</v>
      </c>
      <c r="V23" s="774" t="s">
        <v>21</v>
      </c>
      <c r="W23" s="775">
        <f>J23</f>
        <v>100</v>
      </c>
      <c r="X23" s="1814"/>
      <c r="Y23" s="3627"/>
      <c r="Z23" s="1815" t="str">
        <f>Q23</f>
        <v>自然及人文环境</v>
      </c>
      <c r="AA23" s="1812">
        <f>D23/F23</f>
        <v>1</v>
      </c>
      <c r="AB23" s="1812">
        <f>D23/H23</f>
        <v>1</v>
      </c>
      <c r="AC23" s="1812">
        <f>D23/J23</f>
        <v>1</v>
      </c>
    </row>
    <row r="24" spans="1:29" ht="15">
      <c r="A24" s="428"/>
      <c r="B24" s="456"/>
      <c r="C24" s="447"/>
      <c r="D24" s="448"/>
      <c r="E24" s="2604"/>
      <c r="F24" s="448"/>
      <c r="G24" s="2605"/>
      <c r="H24" s="448"/>
      <c r="I24" s="2605"/>
      <c r="J24" s="448"/>
      <c r="K24" s="2606"/>
      <c r="L24" s="1141"/>
      <c r="M24" s="1132"/>
      <c r="N24" s="1132"/>
      <c r="O24" s="1132"/>
      <c r="P24" s="3634"/>
      <c r="Q24" s="1811"/>
      <c r="R24" s="774"/>
      <c r="S24" s="775"/>
      <c r="T24" s="774"/>
      <c r="U24" s="775"/>
      <c r="V24" s="774"/>
      <c r="W24" s="775"/>
      <c r="X24" s="1814"/>
      <c r="Y24" s="3627"/>
      <c r="Z24" s="1815"/>
      <c r="AA24" s="1812">
        <v>1</v>
      </c>
      <c r="AB24" s="1812">
        <v>1</v>
      </c>
      <c r="AC24" s="1812">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1"/>
      <c r="M25" s="1132"/>
      <c r="N25" s="1132"/>
      <c r="O25" s="1132"/>
      <c r="P25" s="3634"/>
      <c r="Q25" s="1811" t="str">
        <f t="shared" ref="Q25:Q46" si="8">B25</f>
        <v>楼层-1</v>
      </c>
      <c r="R25" s="774" t="s">
        <v>21</v>
      </c>
      <c r="S25" s="775">
        <f t="shared" ref="S25:S46" si="9">F25</f>
        <v>100</v>
      </c>
      <c r="T25" s="774" t="s">
        <v>21</v>
      </c>
      <c r="U25" s="775">
        <f t="shared" ref="U25:U46" si="10">H25</f>
        <v>100</v>
      </c>
      <c r="V25" s="774" t="s">
        <v>21</v>
      </c>
      <c r="W25" s="775">
        <f t="shared" ref="W25:W46" si="11">J25</f>
        <v>100</v>
      </c>
      <c r="X25" s="1814"/>
      <c r="Y25" s="3627"/>
      <c r="Z25" s="1815" t="str">
        <f>Q25</f>
        <v>楼层-1</v>
      </c>
      <c r="AA25" s="1812">
        <f t="shared" ref="AA25:AA46" si="12">D25/F25</f>
        <v>1</v>
      </c>
      <c r="AB25" s="1812">
        <f t="shared" ref="AB25:AB46" si="13">D25/H25</f>
        <v>1</v>
      </c>
      <c r="AC25" s="1812">
        <f t="shared" ref="AC25:AC46" si="14">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1"/>
      <c r="M26" s="1132"/>
      <c r="N26" s="1132"/>
      <c r="O26" s="1132"/>
      <c r="P26" s="3634"/>
      <c r="Q26" s="1811" t="str">
        <f t="shared" si="8"/>
        <v>朝向</v>
      </c>
      <c r="R26" s="774" t="s">
        <v>21</v>
      </c>
      <c r="S26" s="775">
        <f t="shared" si="9"/>
        <v>100</v>
      </c>
      <c r="T26" s="774" t="s">
        <v>21</v>
      </c>
      <c r="U26" s="775">
        <f t="shared" si="10"/>
        <v>100</v>
      </c>
      <c r="V26" s="774" t="s">
        <v>21</v>
      </c>
      <c r="W26" s="775">
        <f t="shared" si="11"/>
        <v>100</v>
      </c>
      <c r="X26" s="1814"/>
      <c r="Y26" s="3627"/>
      <c r="Z26" s="1815" t="str">
        <f>Q26</f>
        <v>朝向</v>
      </c>
      <c r="AA26" s="1812">
        <f t="shared" si="12"/>
        <v>1</v>
      </c>
      <c r="AB26" s="1812">
        <f t="shared" si="13"/>
        <v>1</v>
      </c>
      <c r="AC26" s="1812">
        <f t="shared" si="14"/>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1"/>
      <c r="L27" s="1133"/>
      <c r="M27" s="1134"/>
      <c r="N27" s="1134"/>
      <c r="O27" s="1134"/>
      <c r="P27" s="3634"/>
      <c r="Q27" s="1796">
        <f t="shared" si="8"/>
        <v>111</v>
      </c>
      <c r="R27" s="770" t="s">
        <v>21</v>
      </c>
      <c r="S27" s="771">
        <f t="shared" si="9"/>
        <v>100</v>
      </c>
      <c r="T27" s="770" t="s">
        <v>21</v>
      </c>
      <c r="U27" s="771">
        <f t="shared" si="10"/>
        <v>100</v>
      </c>
      <c r="V27" s="770" t="s">
        <v>21</v>
      </c>
      <c r="W27" s="771">
        <f t="shared" si="11"/>
        <v>100</v>
      </c>
      <c r="X27" s="772"/>
      <c r="Y27" s="3627"/>
      <c r="Z27" s="55">
        <f>Q27</f>
        <v>111</v>
      </c>
      <c r="AA27" s="1812">
        <f t="shared" si="12"/>
        <v>1</v>
      </c>
      <c r="AB27" s="1812">
        <f t="shared" si="13"/>
        <v>1</v>
      </c>
      <c r="AC27" s="1812">
        <f t="shared" si="14"/>
        <v>1</v>
      </c>
    </row>
    <row r="28" spans="1:29" ht="15">
      <c r="A28" s="428"/>
      <c r="B28" s="1387">
        <v>111</v>
      </c>
      <c r="C28" s="434"/>
      <c r="D28" s="435">
        <v>100</v>
      </c>
      <c r="E28" s="434"/>
      <c r="F28" s="435">
        <f>SUMIF(92:92,E28,93:93)-SUMIF(92:92,C28,93:93)+100</f>
        <v>100</v>
      </c>
      <c r="G28" s="2615"/>
      <c r="H28" s="435">
        <f>SUMIF(92:92,G28,93:93)-SUMIF(92:92,C28,93:93)+100</f>
        <v>100</v>
      </c>
      <c r="I28" s="434"/>
      <c r="J28" s="435">
        <f>SUMIF(92:92,I28,93:93)-SUMIF(92:92,C28,93:93)+100</f>
        <v>100</v>
      </c>
      <c r="K28" s="2601"/>
      <c r="L28" s="1141"/>
      <c r="M28" s="1132"/>
      <c r="N28" s="1132"/>
      <c r="O28" s="1132"/>
      <c r="P28" s="3634"/>
      <c r="Q28" s="1811">
        <f t="shared" si="8"/>
        <v>111</v>
      </c>
      <c r="R28" s="774" t="s">
        <v>21</v>
      </c>
      <c r="S28" s="775">
        <f t="shared" si="9"/>
        <v>100</v>
      </c>
      <c r="T28" s="774" t="s">
        <v>21</v>
      </c>
      <c r="U28" s="775">
        <f t="shared" si="10"/>
        <v>100</v>
      </c>
      <c r="V28" s="774" t="s">
        <v>21</v>
      </c>
      <c r="W28" s="775">
        <f t="shared" si="11"/>
        <v>100</v>
      </c>
      <c r="X28" s="1814"/>
      <c r="Y28" s="3627"/>
      <c r="Z28" s="1815">
        <f t="shared" ref="Z28:Z46" si="15">Q28</f>
        <v>111</v>
      </c>
      <c r="AA28" s="1812">
        <f t="shared" si="12"/>
        <v>1</v>
      </c>
      <c r="AB28" s="1812">
        <f t="shared" si="13"/>
        <v>1</v>
      </c>
      <c r="AC28" s="1812">
        <f t="shared" si="14"/>
        <v>1</v>
      </c>
    </row>
    <row r="29" spans="1:29" ht="15">
      <c r="A29" s="428"/>
      <c r="B29" s="1387">
        <v>111</v>
      </c>
      <c r="C29" s="434"/>
      <c r="D29" s="435">
        <v>100</v>
      </c>
      <c r="E29" s="434"/>
      <c r="F29" s="435">
        <f>SUMIF(94:94,E29,95:95)-SUMIF(94:94,C29,95:95)+100</f>
        <v>100</v>
      </c>
      <c r="G29" s="2615"/>
      <c r="H29" s="435">
        <f>SUMIF(94:94,G29,95:95)-SUMIF(94:94,C29,95:95)+100</f>
        <v>100</v>
      </c>
      <c r="I29" s="434"/>
      <c r="J29" s="435">
        <f>SUMIF(94:94,I29,95:95)-SUMIF(94:94,C29,95:95)+100</f>
        <v>100</v>
      </c>
      <c r="K29" s="2601"/>
      <c r="L29" s="1141"/>
      <c r="M29" s="1132"/>
      <c r="N29" s="1132"/>
      <c r="O29" s="1132"/>
      <c r="P29" s="3634"/>
      <c r="Q29" s="1811">
        <f t="shared" si="8"/>
        <v>111</v>
      </c>
      <c r="R29" s="774" t="s">
        <v>21</v>
      </c>
      <c r="S29" s="775">
        <f t="shared" si="9"/>
        <v>100</v>
      </c>
      <c r="T29" s="774" t="s">
        <v>21</v>
      </c>
      <c r="U29" s="775">
        <f t="shared" si="10"/>
        <v>100</v>
      </c>
      <c r="V29" s="774" t="s">
        <v>21</v>
      </c>
      <c r="W29" s="775">
        <f t="shared" si="11"/>
        <v>100</v>
      </c>
      <c r="X29" s="1814"/>
      <c r="Y29" s="3627"/>
      <c r="Z29" s="1815">
        <f t="shared" si="15"/>
        <v>111</v>
      </c>
      <c r="AA29" s="1812">
        <f t="shared" si="12"/>
        <v>1</v>
      </c>
      <c r="AB29" s="1812">
        <f t="shared" si="13"/>
        <v>1</v>
      </c>
      <c r="AC29" s="1812">
        <f t="shared" si="14"/>
        <v>1</v>
      </c>
    </row>
    <row r="30" spans="1:29" ht="15">
      <c r="A30" s="428"/>
      <c r="B30" s="1387">
        <v>111</v>
      </c>
      <c r="C30" s="434"/>
      <c r="D30" s="435">
        <v>100</v>
      </c>
      <c r="E30" s="434"/>
      <c r="F30" s="435">
        <f>SUMIF(96:96,E30,97:97)-SUMIF(96:96,C30,97:97)+100</f>
        <v>100</v>
      </c>
      <c r="G30" s="2615"/>
      <c r="H30" s="435">
        <f>SUMIF(96:96,G30,97:97)-SUMIF(96:96,C30,97:97)+100</f>
        <v>100</v>
      </c>
      <c r="I30" s="434"/>
      <c r="J30" s="435">
        <f>SUMIF(96:96,I30,97:97)-SUMIF(96:96,C30,97:97)+100</f>
        <v>100</v>
      </c>
      <c r="K30" s="2601"/>
      <c r="L30" s="1141"/>
      <c r="M30" s="1132"/>
      <c r="N30" s="1132"/>
      <c r="O30" s="1132"/>
      <c r="P30" s="3634"/>
      <c r="Q30" s="1811">
        <f t="shared" si="8"/>
        <v>111</v>
      </c>
      <c r="R30" s="774" t="s">
        <v>21</v>
      </c>
      <c r="S30" s="775">
        <f t="shared" si="9"/>
        <v>100</v>
      </c>
      <c r="T30" s="774" t="s">
        <v>21</v>
      </c>
      <c r="U30" s="775">
        <f t="shared" si="10"/>
        <v>100</v>
      </c>
      <c r="V30" s="774" t="s">
        <v>21</v>
      </c>
      <c r="W30" s="775">
        <f t="shared" si="11"/>
        <v>100</v>
      </c>
      <c r="X30" s="1814"/>
      <c r="Y30" s="3627"/>
      <c r="Z30" s="1815">
        <f t="shared" si="15"/>
        <v>111</v>
      </c>
      <c r="AA30" s="1812">
        <f t="shared" si="12"/>
        <v>1</v>
      </c>
      <c r="AB30" s="1812">
        <f t="shared" si="13"/>
        <v>1</v>
      </c>
      <c r="AC30" s="1812">
        <f t="shared" si="14"/>
        <v>1</v>
      </c>
    </row>
    <row r="31" spans="1:29" ht="15.6" thickBot="1">
      <c r="A31" s="436"/>
      <c r="B31" s="1387">
        <v>111</v>
      </c>
      <c r="C31" s="437"/>
      <c r="D31" s="438">
        <v>100</v>
      </c>
      <c r="E31" s="437"/>
      <c r="F31" s="438">
        <f>SUMIF(98:98,E31,99:99)-SUMIF(98:98,C31,99:99)+100</f>
        <v>100</v>
      </c>
      <c r="G31" s="2616"/>
      <c r="H31" s="438">
        <f>SUMIF(98:98,G31,99:99)-SUMIF(98:98,C31,99:99)+100</f>
        <v>100</v>
      </c>
      <c r="I31" s="437"/>
      <c r="J31" s="438">
        <f>SUMIF(98:98,I31,99:99)-SUMIF(98:98,C31,99:99)+100</f>
        <v>100</v>
      </c>
      <c r="K31" s="2601"/>
      <c r="L31" s="1141"/>
      <c r="M31" s="1132"/>
      <c r="N31" s="1132"/>
      <c r="O31" s="1132"/>
      <c r="P31" s="3634"/>
      <c r="Q31" s="1811">
        <f t="shared" si="8"/>
        <v>111</v>
      </c>
      <c r="R31" s="774" t="s">
        <v>21</v>
      </c>
      <c r="S31" s="775">
        <f t="shared" si="9"/>
        <v>100</v>
      </c>
      <c r="T31" s="774" t="s">
        <v>21</v>
      </c>
      <c r="U31" s="775">
        <f t="shared" si="10"/>
        <v>100</v>
      </c>
      <c r="V31" s="774" t="s">
        <v>21</v>
      </c>
      <c r="W31" s="775">
        <f t="shared" si="11"/>
        <v>100</v>
      </c>
      <c r="X31" s="1814"/>
      <c r="Y31" s="3627"/>
      <c r="Z31" s="1815">
        <f t="shared" si="15"/>
        <v>111</v>
      </c>
      <c r="AA31" s="1812">
        <f t="shared" si="12"/>
        <v>1</v>
      </c>
      <c r="AB31" s="1812">
        <f t="shared" si="13"/>
        <v>1</v>
      </c>
      <c r="AC31" s="1812">
        <f t="shared" si="14"/>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1"/>
      <c r="M32" s="1132"/>
      <c r="N32" s="1132"/>
      <c r="O32" s="1132"/>
      <c r="P32" s="3628" t="s">
        <v>2563</v>
      </c>
      <c r="Q32" s="1811" t="str">
        <f t="shared" si="8"/>
        <v>建筑类型</v>
      </c>
      <c r="R32" s="774" t="s">
        <v>21</v>
      </c>
      <c r="S32" s="775">
        <f t="shared" si="9"/>
        <v>100</v>
      </c>
      <c r="T32" s="774" t="s">
        <v>21</v>
      </c>
      <c r="U32" s="775">
        <f t="shared" si="10"/>
        <v>100</v>
      </c>
      <c r="V32" s="774" t="s">
        <v>21</v>
      </c>
      <c r="W32" s="775">
        <f t="shared" si="11"/>
        <v>100</v>
      </c>
      <c r="X32" s="1814"/>
      <c r="Y32" s="3631" t="s">
        <v>2563</v>
      </c>
      <c r="Z32" s="1815" t="str">
        <f t="shared" si="15"/>
        <v>建筑类型</v>
      </c>
      <c r="AA32" s="1812">
        <f t="shared" si="12"/>
        <v>1</v>
      </c>
      <c r="AB32" s="1812">
        <f t="shared" si="13"/>
        <v>1</v>
      </c>
      <c r="AC32" s="1812">
        <f t="shared" si="14"/>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9"/>
      <c r="M33" s="1142"/>
      <c r="N33" s="1142"/>
      <c r="O33" s="1142"/>
      <c r="P33" s="3629"/>
      <c r="Q33" s="776" t="str">
        <f t="shared" si="8"/>
        <v>项目建筑规模</v>
      </c>
      <c r="R33" s="777" t="s">
        <v>21</v>
      </c>
      <c r="S33" s="778" t="e">
        <f t="shared" si="9"/>
        <v>#N/A</v>
      </c>
      <c r="T33" s="777" t="s">
        <v>21</v>
      </c>
      <c r="U33" s="778" t="e">
        <f t="shared" si="10"/>
        <v>#N/A</v>
      </c>
      <c r="V33" s="777" t="s">
        <v>21</v>
      </c>
      <c r="W33" s="778" t="e">
        <f t="shared" si="11"/>
        <v>#N/A</v>
      </c>
      <c r="X33" s="779"/>
      <c r="Y33" s="3631"/>
      <c r="Z33" s="780" t="str">
        <f t="shared" si="15"/>
        <v>项目建筑规模</v>
      </c>
      <c r="AA33" s="1812" t="e">
        <f t="shared" si="12"/>
        <v>#N/A</v>
      </c>
      <c r="AB33" s="1812" t="e">
        <f t="shared" si="13"/>
        <v>#N/A</v>
      </c>
      <c r="AC33" s="1812" t="e">
        <f t="shared" si="14"/>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1"/>
      <c r="M34" s="1132"/>
      <c r="N34" s="1132"/>
      <c r="O34" s="1132"/>
      <c r="P34" s="3629"/>
      <c r="Q34" s="1811" t="str">
        <f t="shared" si="8"/>
        <v>建筑结构</v>
      </c>
      <c r="R34" s="774" t="s">
        <v>21</v>
      </c>
      <c r="S34" s="775">
        <f t="shared" si="9"/>
        <v>100</v>
      </c>
      <c r="T34" s="774" t="s">
        <v>21</v>
      </c>
      <c r="U34" s="775">
        <f t="shared" si="10"/>
        <v>100</v>
      </c>
      <c r="V34" s="774" t="s">
        <v>21</v>
      </c>
      <c r="W34" s="775">
        <f t="shared" si="11"/>
        <v>100</v>
      </c>
      <c r="X34" s="1814"/>
      <c r="Y34" s="3631"/>
      <c r="Z34" s="1815" t="str">
        <f t="shared" si="15"/>
        <v>建筑结构</v>
      </c>
      <c r="AA34" s="1812">
        <f t="shared" si="12"/>
        <v>1</v>
      </c>
      <c r="AB34" s="1812">
        <f t="shared" si="13"/>
        <v>1</v>
      </c>
      <c r="AC34" s="1812">
        <f t="shared" si="14"/>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1"/>
      <c r="M35" s="1132"/>
      <c r="N35" s="1132"/>
      <c r="O35" s="1132"/>
      <c r="P35" s="3629"/>
      <c r="Q35" s="1811" t="str">
        <f t="shared" si="8"/>
        <v>建筑品质</v>
      </c>
      <c r="R35" s="774" t="s">
        <v>21</v>
      </c>
      <c r="S35" s="775">
        <f t="shared" si="9"/>
        <v>100</v>
      </c>
      <c r="T35" s="774" t="s">
        <v>21</v>
      </c>
      <c r="U35" s="775">
        <f t="shared" si="10"/>
        <v>100</v>
      </c>
      <c r="V35" s="774" t="s">
        <v>21</v>
      </c>
      <c r="W35" s="775">
        <f t="shared" si="11"/>
        <v>100</v>
      </c>
      <c r="X35" s="1814"/>
      <c r="Y35" s="3631"/>
      <c r="Z35" s="1815" t="str">
        <f t="shared" si="15"/>
        <v>建筑品质</v>
      </c>
      <c r="AA35" s="1812">
        <f t="shared" si="12"/>
        <v>1</v>
      </c>
      <c r="AB35" s="1812">
        <f t="shared" si="13"/>
        <v>1</v>
      </c>
      <c r="AC35" s="1812">
        <f t="shared" si="14"/>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1"/>
      <c r="M36" s="1132"/>
      <c r="N36" s="1132"/>
      <c r="O36" s="1132"/>
      <c r="P36" s="3629"/>
      <c r="Q36" s="1811" t="str">
        <f t="shared" si="8"/>
        <v>公共部分装修</v>
      </c>
      <c r="R36" s="774" t="s">
        <v>21</v>
      </c>
      <c r="S36" s="775">
        <f t="shared" si="9"/>
        <v>100</v>
      </c>
      <c r="T36" s="774" t="s">
        <v>21</v>
      </c>
      <c r="U36" s="775">
        <f t="shared" si="10"/>
        <v>100</v>
      </c>
      <c r="V36" s="774" t="s">
        <v>21</v>
      </c>
      <c r="W36" s="775">
        <f t="shared" si="11"/>
        <v>100</v>
      </c>
      <c r="X36" s="1814"/>
      <c r="Y36" s="3631"/>
      <c r="Z36" s="1815" t="str">
        <f t="shared" si="15"/>
        <v>公共部分装修</v>
      </c>
      <c r="AA36" s="1812">
        <f t="shared" si="12"/>
        <v>1</v>
      </c>
      <c r="AB36" s="1812">
        <f t="shared" si="13"/>
        <v>1</v>
      </c>
      <c r="AC36" s="1812">
        <f t="shared" si="14"/>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629"/>
      <c r="Q37" s="1796" t="str">
        <f t="shared" si="8"/>
        <v>成新度</v>
      </c>
      <c r="R37" s="770" t="s">
        <v>21</v>
      </c>
      <c r="S37" s="771" t="e">
        <f t="shared" si="9"/>
        <v>#N/A</v>
      </c>
      <c r="T37" s="770" t="s">
        <v>21</v>
      </c>
      <c r="U37" s="771" t="e">
        <f t="shared" si="10"/>
        <v>#N/A</v>
      </c>
      <c r="V37" s="770" t="s">
        <v>21</v>
      </c>
      <c r="W37" s="771" t="e">
        <f t="shared" si="11"/>
        <v>#N/A</v>
      </c>
      <c r="X37" s="772"/>
      <c r="Y37" s="3631"/>
      <c r="Z37" s="55" t="str">
        <f t="shared" si="15"/>
        <v>成新度</v>
      </c>
      <c r="AA37" s="773" t="e">
        <f t="shared" si="12"/>
        <v>#N/A</v>
      </c>
      <c r="AB37" s="773" t="e">
        <f t="shared" si="13"/>
        <v>#N/A</v>
      </c>
      <c r="AC37" s="773" t="e">
        <f t="shared" si="14"/>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1"/>
      <c r="M38" s="1132"/>
      <c r="N38" s="1132"/>
      <c r="O38" s="1132"/>
      <c r="P38" s="3629" t="s">
        <v>2563</v>
      </c>
      <c r="Q38" s="1811" t="str">
        <f t="shared" si="8"/>
        <v>物业管理</v>
      </c>
      <c r="R38" s="774" t="s">
        <v>21</v>
      </c>
      <c r="S38" s="775">
        <f t="shared" si="9"/>
        <v>100</v>
      </c>
      <c r="T38" s="774" t="s">
        <v>21</v>
      </c>
      <c r="U38" s="775">
        <f t="shared" si="10"/>
        <v>100</v>
      </c>
      <c r="V38" s="774" t="s">
        <v>21</v>
      </c>
      <c r="W38" s="775">
        <f t="shared" si="11"/>
        <v>100</v>
      </c>
      <c r="X38" s="1814"/>
      <c r="Y38" s="3631" t="s">
        <v>2563</v>
      </c>
      <c r="Z38" s="1815" t="str">
        <f t="shared" si="15"/>
        <v>物业管理</v>
      </c>
      <c r="AA38" s="1812">
        <f t="shared" si="12"/>
        <v>1</v>
      </c>
      <c r="AB38" s="1812">
        <f t="shared" si="13"/>
        <v>1</v>
      </c>
      <c r="AC38" s="1812">
        <f t="shared" si="14"/>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1"/>
      <c r="M39" s="1132"/>
      <c r="N39" s="1132"/>
      <c r="O39" s="1132"/>
      <c r="P39" s="3629"/>
      <c r="Q39" s="1811" t="str">
        <f t="shared" si="8"/>
        <v>市政基础设施</v>
      </c>
      <c r="R39" s="774" t="s">
        <v>21</v>
      </c>
      <c r="S39" s="775">
        <f t="shared" si="9"/>
        <v>100</v>
      </c>
      <c r="T39" s="774" t="s">
        <v>21</v>
      </c>
      <c r="U39" s="775">
        <f t="shared" si="10"/>
        <v>100</v>
      </c>
      <c r="V39" s="774" t="s">
        <v>21</v>
      </c>
      <c r="W39" s="775">
        <f t="shared" si="11"/>
        <v>100</v>
      </c>
      <c r="X39" s="1814"/>
      <c r="Y39" s="3631"/>
      <c r="Z39" s="1815" t="str">
        <f t="shared" si="15"/>
        <v>市政基础设施</v>
      </c>
      <c r="AA39" s="1812">
        <f t="shared" si="12"/>
        <v>1</v>
      </c>
      <c r="AB39" s="1812">
        <f t="shared" si="13"/>
        <v>1</v>
      </c>
      <c r="AC39" s="1812">
        <f t="shared" si="14"/>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1"/>
      <c r="M40" s="1132"/>
      <c r="N40" s="1132"/>
      <c r="O40" s="1132"/>
      <c r="P40" s="3629"/>
      <c r="Q40" s="1811" t="str">
        <f t="shared" si="8"/>
        <v>房型</v>
      </c>
      <c r="R40" s="774" t="s">
        <v>21</v>
      </c>
      <c r="S40" s="775">
        <f t="shared" si="9"/>
        <v>100</v>
      </c>
      <c r="T40" s="774" t="s">
        <v>21</v>
      </c>
      <c r="U40" s="775">
        <f t="shared" si="10"/>
        <v>100</v>
      </c>
      <c r="V40" s="774" t="s">
        <v>21</v>
      </c>
      <c r="W40" s="775">
        <f t="shared" si="11"/>
        <v>100</v>
      </c>
      <c r="X40" s="1814"/>
      <c r="Y40" s="3631"/>
      <c r="Z40" s="1815" t="str">
        <f t="shared" si="15"/>
        <v>房型</v>
      </c>
      <c r="AA40" s="1812">
        <f t="shared" si="12"/>
        <v>1</v>
      </c>
      <c r="AB40" s="1812">
        <f t="shared" si="13"/>
        <v>1</v>
      </c>
      <c r="AC40" s="1812">
        <f t="shared" si="14"/>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9"/>
      <c r="M41" s="1142"/>
      <c r="N41" s="1142"/>
      <c r="O41" s="1142"/>
      <c r="P41" s="3629"/>
      <c r="Q41" s="776" t="str">
        <f t="shared" si="8"/>
        <v>单套/主力户型建筑面积</v>
      </c>
      <c r="R41" s="777" t="s">
        <v>21</v>
      </c>
      <c r="S41" s="778">
        <f t="shared" si="9"/>
        <v>100</v>
      </c>
      <c r="T41" s="777" t="s">
        <v>21</v>
      </c>
      <c r="U41" s="778">
        <f t="shared" si="10"/>
        <v>100</v>
      </c>
      <c r="V41" s="777" t="s">
        <v>21</v>
      </c>
      <c r="W41" s="778">
        <f t="shared" si="11"/>
        <v>100</v>
      </c>
      <c r="X41" s="779"/>
      <c r="Y41" s="3631"/>
      <c r="Z41" s="780" t="str">
        <f t="shared" si="15"/>
        <v>单套/主力户型建筑面积</v>
      </c>
      <c r="AA41" s="1812">
        <f t="shared" si="12"/>
        <v>1</v>
      </c>
      <c r="AB41" s="1812">
        <f t="shared" si="13"/>
        <v>1</v>
      </c>
      <c r="AC41" s="1812">
        <f t="shared" si="14"/>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1"/>
      <c r="M42" s="1132"/>
      <c r="N42" s="1132"/>
      <c r="O42" s="1132"/>
      <c r="P42" s="3629"/>
      <c r="Q42" s="1811" t="str">
        <f t="shared" si="8"/>
        <v>内部装修</v>
      </c>
      <c r="R42" s="774" t="s">
        <v>21</v>
      </c>
      <c r="S42" s="775">
        <f t="shared" si="9"/>
        <v>100</v>
      </c>
      <c r="T42" s="774" t="s">
        <v>21</v>
      </c>
      <c r="U42" s="775">
        <f t="shared" si="10"/>
        <v>100</v>
      </c>
      <c r="V42" s="774" t="s">
        <v>21</v>
      </c>
      <c r="W42" s="775">
        <f t="shared" si="11"/>
        <v>100</v>
      </c>
      <c r="X42" s="1814"/>
      <c r="Y42" s="3631"/>
      <c r="Z42" s="1815" t="str">
        <f t="shared" si="15"/>
        <v>内部装修</v>
      </c>
      <c r="AA42" s="1812">
        <f t="shared" si="12"/>
        <v>1</v>
      </c>
      <c r="AB42" s="1812">
        <f t="shared" si="13"/>
        <v>1</v>
      </c>
      <c r="AC42" s="1812">
        <f t="shared" si="14"/>
        <v>1</v>
      </c>
    </row>
    <row r="43" spans="1:29" ht="28.8">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1"/>
      <c r="M43" s="1132"/>
      <c r="N43" s="1132"/>
      <c r="O43" s="1132"/>
      <c r="P43" s="3629"/>
      <c r="Q43" s="1811" t="str">
        <f t="shared" si="8"/>
        <v>内部装修维护情况</v>
      </c>
      <c r="R43" s="774" t="s">
        <v>21</v>
      </c>
      <c r="S43" s="775">
        <f t="shared" si="9"/>
        <v>100</v>
      </c>
      <c r="T43" s="774" t="s">
        <v>21</v>
      </c>
      <c r="U43" s="775">
        <f t="shared" si="10"/>
        <v>100</v>
      </c>
      <c r="V43" s="774" t="s">
        <v>21</v>
      </c>
      <c r="W43" s="775">
        <f t="shared" si="11"/>
        <v>100</v>
      </c>
      <c r="X43" s="1814"/>
      <c r="Y43" s="3631"/>
      <c r="Z43" s="1815" t="str">
        <f t="shared" si="15"/>
        <v>内部装修维护情况</v>
      </c>
      <c r="AA43" s="1812">
        <f t="shared" si="12"/>
        <v>1</v>
      </c>
      <c r="AB43" s="1812">
        <f t="shared" si="13"/>
        <v>1</v>
      </c>
      <c r="AC43" s="1812">
        <f t="shared" si="14"/>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3"/>
      <c r="M44" s="1134"/>
      <c r="N44" s="1134"/>
      <c r="O44" s="1134"/>
      <c r="P44" s="3629"/>
      <c r="Q44" s="1796">
        <f t="shared" si="8"/>
        <v>111</v>
      </c>
      <c r="R44" s="770" t="s">
        <v>21</v>
      </c>
      <c r="S44" s="771">
        <f t="shared" si="9"/>
        <v>100</v>
      </c>
      <c r="T44" s="770" t="s">
        <v>21</v>
      </c>
      <c r="U44" s="771">
        <f t="shared" si="10"/>
        <v>100</v>
      </c>
      <c r="V44" s="770" t="s">
        <v>21</v>
      </c>
      <c r="W44" s="771">
        <f t="shared" si="11"/>
        <v>100</v>
      </c>
      <c r="X44" s="772"/>
      <c r="Y44" s="3631"/>
      <c r="Z44" s="55">
        <f t="shared" si="15"/>
        <v>111</v>
      </c>
      <c r="AA44" s="773">
        <f t="shared" si="12"/>
        <v>1</v>
      </c>
      <c r="AB44" s="773">
        <f t="shared" si="13"/>
        <v>1</v>
      </c>
      <c r="AC44" s="773">
        <f t="shared" si="14"/>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1"/>
      <c r="M45" s="1132"/>
      <c r="N45" s="1132"/>
      <c r="O45" s="1132"/>
      <c r="P45" s="3629"/>
      <c r="Q45" s="1811">
        <f t="shared" si="8"/>
        <v>111</v>
      </c>
      <c r="R45" s="774" t="s">
        <v>21</v>
      </c>
      <c r="S45" s="775">
        <f t="shared" si="9"/>
        <v>100</v>
      </c>
      <c r="T45" s="774" t="s">
        <v>21</v>
      </c>
      <c r="U45" s="775">
        <f t="shared" si="10"/>
        <v>100</v>
      </c>
      <c r="V45" s="774" t="s">
        <v>21</v>
      </c>
      <c r="W45" s="775">
        <f t="shared" si="11"/>
        <v>100</v>
      </c>
      <c r="X45" s="1814"/>
      <c r="Y45" s="3631"/>
      <c r="Z45" s="1815">
        <f t="shared" si="15"/>
        <v>111</v>
      </c>
      <c r="AA45" s="1812">
        <f t="shared" si="12"/>
        <v>1</v>
      </c>
      <c r="AB45" s="1812">
        <f t="shared" si="13"/>
        <v>1</v>
      </c>
      <c r="AC45" s="1812">
        <f t="shared" si="14"/>
        <v>1</v>
      </c>
    </row>
    <row r="46" spans="1:29" ht="15.6"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1"/>
      <c r="M46" s="1132"/>
      <c r="N46" s="1132"/>
      <c r="O46" s="1132"/>
      <c r="P46" s="3630"/>
      <c r="Q46" s="1811">
        <f t="shared" si="8"/>
        <v>111</v>
      </c>
      <c r="R46" s="774" t="s">
        <v>20</v>
      </c>
      <c r="S46" s="775">
        <f t="shared" si="9"/>
        <v>100</v>
      </c>
      <c r="T46" s="774" t="s">
        <v>20</v>
      </c>
      <c r="U46" s="775">
        <f t="shared" si="10"/>
        <v>100</v>
      </c>
      <c r="V46" s="774" t="s">
        <v>20</v>
      </c>
      <c r="W46" s="775">
        <f t="shared" si="11"/>
        <v>100</v>
      </c>
      <c r="X46" s="1814"/>
      <c r="Y46" s="3632"/>
      <c r="Z46" s="1815">
        <f t="shared" si="15"/>
        <v>111</v>
      </c>
      <c r="AA46" s="1812">
        <f t="shared" si="12"/>
        <v>1</v>
      </c>
      <c r="AB46" s="1812">
        <f t="shared" si="13"/>
        <v>1</v>
      </c>
      <c r="AC46" s="1812">
        <f t="shared" si="14"/>
        <v>1</v>
      </c>
    </row>
    <row r="47" spans="1:29" ht="14.4">
      <c r="A47" s="479" t="s">
        <v>2575</v>
      </c>
      <c r="B47" s="480"/>
      <c r="C47" s="1408" t="s">
        <v>19</v>
      </c>
      <c r="D47" s="1409"/>
      <c r="E47" s="1410"/>
      <c r="F47" s="1411"/>
      <c r="G47" s="1412"/>
      <c r="H47" s="1413"/>
      <c r="I47" s="1410"/>
      <c r="J47" s="1413"/>
      <c r="K47" s="2621"/>
      <c r="L47" s="1144"/>
      <c r="M47" s="1145"/>
      <c r="N47" s="1132"/>
      <c r="O47" s="1145"/>
      <c r="P47" s="3624" t="str">
        <f>A47</f>
        <v>成交单价（元/平方米）</v>
      </c>
      <c r="Q47" s="3624"/>
      <c r="R47" s="3625">
        <f>E47</f>
        <v>0</v>
      </c>
      <c r="S47" s="3625"/>
      <c r="T47" s="3625">
        <f>G47</f>
        <v>0</v>
      </c>
      <c r="U47" s="3625"/>
      <c r="V47" s="3625">
        <f>I47</f>
        <v>0</v>
      </c>
      <c r="W47" s="3625"/>
      <c r="X47" s="759"/>
      <c r="Y47" s="781"/>
      <c r="Z47" s="759"/>
      <c r="AA47" s="759"/>
      <c r="AB47" s="759"/>
      <c r="AC47" s="759"/>
    </row>
    <row r="48" spans="1:29" ht="15" thickBot="1">
      <c r="A48" s="486" t="s">
        <v>2576</v>
      </c>
      <c r="B48" s="487"/>
      <c r="C48" s="1414" t="e">
        <f>R49</f>
        <v>#DIV/0!</v>
      </c>
      <c r="D48" s="1415"/>
      <c r="E48" s="1416" t="e">
        <f>R48</f>
        <v>#DIV/0!</v>
      </c>
      <c r="F48" s="1416"/>
      <c r="G48" s="1414" t="e">
        <f>T48</f>
        <v>#DIV/0!</v>
      </c>
      <c r="H48" s="1415"/>
      <c r="I48" s="1416" t="e">
        <f>V48</f>
        <v>#DIV/0!</v>
      </c>
      <c r="J48" s="1415"/>
      <c r="K48" s="2622"/>
      <c r="L48" s="1144"/>
      <c r="M48" s="1145"/>
      <c r="N48" s="1145"/>
      <c r="O48" s="1145"/>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759"/>
      <c r="Y48" s="759"/>
      <c r="Z48" s="759"/>
      <c r="AA48" s="759"/>
      <c r="AB48" s="759"/>
      <c r="AC48" s="759"/>
    </row>
    <row r="49" spans="1:29" ht="15" thickBot="1">
      <c r="A49" s="492" t="s">
        <v>2577</v>
      </c>
      <c r="B49" s="493"/>
      <c r="C49" s="1417" t="e">
        <f>R49</f>
        <v>#DIV/0!</v>
      </c>
      <c r="D49" s="1418"/>
      <c r="E49" s="1418"/>
      <c r="F49" s="1418"/>
      <c r="G49" s="1418"/>
      <c r="H49" s="1418"/>
      <c r="I49" s="1418"/>
      <c r="J49" s="1418"/>
      <c r="K49" s="2623"/>
      <c r="L49" s="1144"/>
      <c r="M49" s="1145"/>
      <c r="N49" s="1145"/>
      <c r="O49" s="1145"/>
      <c r="P49" s="3621" t="str">
        <f>A49</f>
        <v>估价对象XX用房的比较价值（楼面单价，元/平方米）</v>
      </c>
      <c r="Q49" s="3622"/>
      <c r="R49" s="3623" t="e">
        <f>IF(F1="售价",ROUND(AVERAGE(R48:V48),0),ROUND(AVERAGE(R48:V48),1))</f>
        <v>#DIV/0!</v>
      </c>
      <c r="S49" s="3623"/>
      <c r="T49" s="3623"/>
      <c r="U49" s="3623"/>
      <c r="V49" s="3623"/>
      <c r="W49" s="3623"/>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5"/>
    </row>
    <row r="55" spans="1:29" s="502" customFormat="1">
      <c r="A55" s="1146"/>
      <c r="B55" s="1147"/>
      <c r="C55" s="1151"/>
      <c r="D55" s="1146"/>
      <c r="E55" s="1146"/>
      <c r="F55" s="1146"/>
      <c r="G55" s="1146"/>
      <c r="H55" s="1146"/>
      <c r="I55" s="1146"/>
      <c r="J55" s="1146"/>
      <c r="K55" s="1149"/>
      <c r="L55" s="1150"/>
      <c r="M55" s="1146"/>
      <c r="N55" s="1146"/>
      <c r="O55" s="1146"/>
      <c r="P55" s="2625"/>
    </row>
    <row r="56" spans="1:29">
      <c r="A56" s="1145"/>
      <c r="B56" s="1147"/>
      <c r="C56" s="1151"/>
      <c r="D56" s="1145"/>
      <c r="E56" s="1145"/>
      <c r="F56" s="1145"/>
      <c r="G56" s="1145"/>
      <c r="H56" s="1145"/>
      <c r="I56" s="1145"/>
      <c r="J56" s="1145"/>
      <c r="K56" s="1106"/>
      <c r="L56" s="1107"/>
      <c r="M56" s="1145"/>
      <c r="N56" s="1145"/>
      <c r="O56" s="1145"/>
    </row>
    <row r="57" spans="1:29" ht="22.2" thickBot="1">
      <c r="A57" s="763" t="s">
        <v>2581</v>
      </c>
      <c r="B57" s="759"/>
      <c r="C57" s="764"/>
      <c r="D57" s="764"/>
      <c r="E57" s="764"/>
      <c r="F57" s="765"/>
      <c r="G57" s="765"/>
      <c r="H57" s="764"/>
      <c r="I57" s="764"/>
      <c r="J57" s="764"/>
      <c r="K57" s="1161"/>
      <c r="L57" s="1162"/>
      <c r="M57" s="1160"/>
      <c r="N57" s="1160"/>
      <c r="O57" s="1160"/>
      <c r="P57" s="2626"/>
      <c r="Q57" s="504"/>
    </row>
    <row r="58" spans="1:29" s="508" customFormat="1" ht="14.4">
      <c r="A58" s="505" t="s">
        <v>2582</v>
      </c>
      <c r="B58" s="506"/>
      <c r="C58" s="1577" t="str">
        <f>YEAR(C7)&amp;"-"&amp;MONTH(C7)</f>
        <v>2018-12</v>
      </c>
      <c r="D58" s="1576">
        <f>EDATE(C58,-1)</f>
        <v>43405</v>
      </c>
      <c r="E58" s="1576">
        <f>EDATE(D58,-1)</f>
        <v>43374</v>
      </c>
      <c r="F58" s="1576">
        <f t="shared" ref="F58:O58" si="16">EDATE(E58,-1)</f>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 t="shared" si="16"/>
        <v>43070</v>
      </c>
      <c r="P58" s="1571"/>
    </row>
    <row r="59" spans="1:29" s="117" customFormat="1">
      <c r="A59" s="509"/>
      <c r="B59" s="2627"/>
      <c r="C59" s="1574">
        <v>100</v>
      </c>
      <c r="D59" s="511"/>
      <c r="E59" s="512"/>
      <c r="F59" s="512"/>
      <c r="G59" s="512"/>
      <c r="H59" s="512"/>
      <c r="I59" s="512"/>
      <c r="J59" s="512"/>
      <c r="K59" s="512"/>
      <c r="L59" s="512"/>
      <c r="M59" s="513"/>
      <c r="N59" s="512"/>
      <c r="O59" s="513"/>
      <c r="P59" s="2628"/>
    </row>
    <row r="60" spans="1:29" s="117" customFormat="1" ht="15" thickBot="1">
      <c r="A60" s="515" t="s">
        <v>2583</v>
      </c>
      <c r="B60" s="516"/>
      <c r="C60" s="517"/>
      <c r="D60" s="518"/>
      <c r="E60" s="518"/>
      <c r="F60" s="518"/>
      <c r="G60" s="518"/>
      <c r="H60" s="518"/>
      <c r="I60" s="518"/>
      <c r="J60" s="518"/>
      <c r="K60" s="518"/>
      <c r="L60" s="518"/>
      <c r="M60" s="519"/>
      <c r="N60" s="518"/>
      <c r="O60" s="519"/>
      <c r="P60" s="2628"/>
      <c r="Q60" s="504"/>
    </row>
    <row r="61" spans="1:29" s="117" customFormat="1" ht="14.4">
      <c r="A61" s="521" t="s">
        <v>2584</v>
      </c>
      <c r="B61" s="510"/>
      <c r="C61" s="522" t="s">
        <v>2585</v>
      </c>
      <c r="D61" s="523"/>
      <c r="E61" s="523"/>
      <c r="F61" s="523"/>
      <c r="G61" s="523"/>
      <c r="H61" s="523"/>
      <c r="I61" s="523"/>
      <c r="J61" s="523"/>
      <c r="K61" s="523"/>
      <c r="L61" s="524"/>
      <c r="M61" s="525"/>
      <c r="N61" s="1152"/>
      <c r="O61" s="1152"/>
      <c r="P61" s="2629"/>
      <c r="Q61" s="504"/>
    </row>
    <row r="62" spans="1:29" s="117" customFormat="1" ht="14.4" thickBot="1">
      <c r="A62" s="521"/>
      <c r="B62" s="510"/>
      <c r="C62" s="511">
        <v>100</v>
      </c>
      <c r="D62" s="512"/>
      <c r="E62" s="512"/>
      <c r="F62" s="512"/>
      <c r="G62" s="512"/>
      <c r="H62" s="512"/>
      <c r="I62" s="512"/>
      <c r="J62" s="512"/>
      <c r="K62" s="512"/>
      <c r="L62" s="512"/>
      <c r="M62" s="514"/>
      <c r="N62" s="1152"/>
      <c r="O62" s="1152"/>
      <c r="P62" s="2628"/>
      <c r="Q62" s="504"/>
    </row>
    <row r="63" spans="1:29" ht="14.4">
      <c r="A63" s="527" t="s">
        <v>2586</v>
      </c>
      <c r="B63" s="528" t="s">
        <v>2552</v>
      </c>
      <c r="C63" s="529">
        <f>C9</f>
        <v>0</v>
      </c>
      <c r="D63" s="530"/>
      <c r="E63" s="530"/>
      <c r="F63" s="530"/>
      <c r="G63" s="530"/>
      <c r="H63" s="530"/>
      <c r="I63" s="530"/>
      <c r="J63" s="530"/>
      <c r="K63" s="531"/>
      <c r="L63" s="532"/>
      <c r="M63" s="533"/>
      <c r="N63" s="1153"/>
      <c r="O63" s="1153"/>
      <c r="P63" s="2630"/>
      <c r="Q63" s="504"/>
    </row>
    <row r="64" spans="1:29" ht="14.4" thickBot="1">
      <c r="A64" s="534"/>
      <c r="B64" s="535"/>
      <c r="C64" s="536">
        <v>100</v>
      </c>
      <c r="D64" s="536"/>
      <c r="E64" s="536"/>
      <c r="F64" s="536"/>
      <c r="G64" s="536"/>
      <c r="H64" s="536"/>
      <c r="I64" s="536"/>
      <c r="J64" s="536"/>
      <c r="K64" s="536"/>
      <c r="L64" s="536"/>
      <c r="M64" s="537"/>
      <c r="N64" s="1154"/>
      <c r="O64" s="1154"/>
      <c r="P64" s="2630"/>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0"/>
      <c r="Q65" s="504"/>
    </row>
    <row r="66" spans="1:17" ht="14.4"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4"/>
      <c r="O66" s="1154"/>
      <c r="P66" s="2630"/>
      <c r="Q66" s="504"/>
    </row>
    <row r="67" spans="1:17" ht="15" thickTop="1">
      <c r="A67" s="534"/>
      <c r="B67" s="546" t="s">
        <v>2556</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4"/>
      <c r="O67" s="1154"/>
      <c r="P67" s="2630"/>
      <c r="Q67" s="504"/>
    </row>
    <row r="68" spans="1:17">
      <c r="A68" s="534"/>
      <c r="B68" s="548"/>
      <c r="C68" s="549"/>
      <c r="D68" s="549"/>
      <c r="E68" s="549"/>
      <c r="F68" s="549"/>
      <c r="G68" s="549"/>
      <c r="H68" s="549"/>
      <c r="I68" s="549"/>
      <c r="J68" s="549"/>
      <c r="K68" s="550"/>
      <c r="L68" s="551"/>
      <c r="M68" s="552"/>
      <c r="N68" s="1153"/>
      <c r="O68" s="1153"/>
      <c r="P68" s="2630"/>
      <c r="Q68" s="504"/>
    </row>
    <row r="69" spans="1:17" ht="14.4"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4"/>
      <c r="O69" s="1154"/>
      <c r="P69" s="2630"/>
      <c r="Q69" s="504"/>
    </row>
    <row r="70" spans="1:17" s="471" customFormat="1" ht="14.4" thickTop="1">
      <c r="A70" s="553"/>
      <c r="B70" s="538">
        <f>B12</f>
        <v>111</v>
      </c>
      <c r="C70" s="554"/>
      <c r="D70" s="554"/>
      <c r="E70" s="554"/>
      <c r="F70" s="554"/>
      <c r="G70" s="554"/>
      <c r="H70" s="555"/>
      <c r="I70" s="555"/>
      <c r="J70" s="555"/>
      <c r="K70" s="555"/>
      <c r="L70" s="556"/>
      <c r="M70" s="557"/>
      <c r="N70" s="1155"/>
      <c r="O70" s="1155"/>
      <c r="P70" s="2631"/>
      <c r="Q70" s="559"/>
    </row>
    <row r="71" spans="1:17" s="471" customFormat="1" ht="14.4" thickBot="1">
      <c r="A71" s="553"/>
      <c r="B71" s="543"/>
      <c r="C71" s="560"/>
      <c r="D71" s="536"/>
      <c r="E71" s="536"/>
      <c r="F71" s="536"/>
      <c r="G71" s="536"/>
      <c r="H71" s="536"/>
      <c r="I71" s="536"/>
      <c r="J71" s="536"/>
      <c r="K71" s="536"/>
      <c r="L71" s="536"/>
      <c r="M71" s="537"/>
      <c r="N71" s="1154"/>
      <c r="O71" s="1154"/>
      <c r="P71" s="2631"/>
      <c r="Q71" s="559"/>
    </row>
    <row r="72" spans="1:17" s="471" customFormat="1" ht="14.4" thickTop="1">
      <c r="A72" s="553"/>
      <c r="B72" s="538">
        <f>B13</f>
        <v>111</v>
      </c>
      <c r="C72" s="554"/>
      <c r="D72" s="554"/>
      <c r="E72" s="554"/>
      <c r="F72" s="554"/>
      <c r="G72" s="554"/>
      <c r="H72" s="555"/>
      <c r="I72" s="555"/>
      <c r="J72" s="555"/>
      <c r="K72" s="555"/>
      <c r="L72" s="556"/>
      <c r="M72" s="557"/>
      <c r="N72" s="1155"/>
      <c r="O72" s="1155"/>
      <c r="P72" s="2632"/>
      <c r="Q72" s="561"/>
    </row>
    <row r="73" spans="1:17" s="471" customFormat="1" ht="14.4" thickBot="1">
      <c r="A73" s="553"/>
      <c r="B73" s="543"/>
      <c r="C73" s="560"/>
      <c r="D73" s="560"/>
      <c r="E73" s="560"/>
      <c r="F73" s="560"/>
      <c r="G73" s="560"/>
      <c r="H73" s="562"/>
      <c r="I73" s="562"/>
      <c r="J73" s="562"/>
      <c r="K73" s="562"/>
      <c r="L73" s="562"/>
      <c r="M73" s="563"/>
      <c r="N73" s="1155"/>
      <c r="O73" s="1155"/>
      <c r="P73" s="2631"/>
      <c r="Q73" s="559"/>
    </row>
    <row r="74" spans="1:17" s="471" customFormat="1" ht="14.4" thickTop="1">
      <c r="A74" s="553"/>
      <c r="B74" s="546">
        <f>B14</f>
        <v>111</v>
      </c>
      <c r="C74" s="554"/>
      <c r="D74" s="554"/>
      <c r="E74" s="554"/>
      <c r="F74" s="554"/>
      <c r="G74" s="523"/>
      <c r="H74" s="564"/>
      <c r="I74" s="564"/>
      <c r="J74" s="564"/>
      <c r="K74" s="564"/>
      <c r="L74" s="565"/>
      <c r="M74" s="566"/>
      <c r="N74" s="1155"/>
      <c r="O74" s="1155"/>
      <c r="P74" s="2633"/>
      <c r="Q74" s="559"/>
    </row>
    <row r="75" spans="1:17" s="471" customFormat="1" ht="14.4" thickBot="1">
      <c r="A75" s="568"/>
      <c r="B75" s="569"/>
      <c r="C75" s="570"/>
      <c r="D75" s="570"/>
      <c r="E75" s="570"/>
      <c r="F75" s="570"/>
      <c r="G75" s="570"/>
      <c r="H75" s="571"/>
      <c r="I75" s="571"/>
      <c r="J75" s="571"/>
      <c r="K75" s="571"/>
      <c r="L75" s="571"/>
      <c r="M75" s="572"/>
      <c r="N75" s="1155"/>
      <c r="O75" s="1155"/>
      <c r="P75" s="2631"/>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3"/>
      <c r="O76" s="1153"/>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0"/>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3"/>
      <c r="O78" s="1153"/>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0"/>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3"/>
      <c r="O80" s="1153"/>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0"/>
      <c r="Q81" s="504"/>
    </row>
    <row r="82" spans="1:17" ht="15" thickTop="1">
      <c r="A82" s="534"/>
      <c r="B82" s="546" t="s">
        <v>2096</v>
      </c>
      <c r="C82" s="539" t="s">
        <v>2602</v>
      </c>
      <c r="D82" s="539" t="s">
        <v>2603</v>
      </c>
      <c r="E82" s="539" t="s">
        <v>2604</v>
      </c>
      <c r="F82" s="539" t="s">
        <v>2605</v>
      </c>
      <c r="G82" s="539" t="s">
        <v>2606</v>
      </c>
      <c r="H82" s="539"/>
      <c r="I82" s="539"/>
      <c r="J82" s="539"/>
      <c r="K82" s="539"/>
      <c r="L82" s="539"/>
      <c r="M82" s="1383"/>
      <c r="N82" s="1154"/>
      <c r="O82" s="1154"/>
      <c r="P82" s="2630"/>
      <c r="Q82" s="504"/>
    </row>
    <row r="83" spans="1:17" ht="14.4" thickBot="1">
      <c r="A83" s="534"/>
      <c r="B83" s="546"/>
      <c r="C83" s="660">
        <v>100</v>
      </c>
      <c r="D83" s="660">
        <f>C83-$K21</f>
        <v>100</v>
      </c>
      <c r="E83" s="660">
        <f>D83-$K21</f>
        <v>100</v>
      </c>
      <c r="F83" s="660">
        <f>E83-$K21</f>
        <v>100</v>
      </c>
      <c r="G83" s="660">
        <f>F83-$K21</f>
        <v>100</v>
      </c>
      <c r="H83" s="660"/>
      <c r="I83" s="660"/>
      <c r="J83" s="660"/>
      <c r="K83" s="660"/>
      <c r="L83" s="660"/>
      <c r="M83" s="450"/>
      <c r="N83" s="1154"/>
      <c r="O83" s="1154"/>
      <c r="P83" s="2630"/>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3"/>
      <c r="O84" s="1153"/>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0"/>
      <c r="Q85" s="504"/>
    </row>
    <row r="86" spans="1:17" s="117" customFormat="1" ht="15" thickTop="1">
      <c r="A86" s="579"/>
      <c r="B86" s="538" t="s">
        <v>2608</v>
      </c>
      <c r="C86" s="554"/>
      <c r="D86" s="554"/>
      <c r="E86" s="554"/>
      <c r="F86" s="554"/>
      <c r="G86" s="554"/>
      <c r="H86" s="554"/>
      <c r="I86" s="554"/>
      <c r="J86" s="554"/>
      <c r="K86" s="554"/>
      <c r="L86" s="580"/>
      <c r="M86" s="581"/>
      <c r="N86" s="1152"/>
      <c r="O86" s="1152"/>
      <c r="P86" s="2630"/>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30"/>
      <c r="Q87" s="504"/>
    </row>
    <row r="88" spans="1:17" s="117" customFormat="1" ht="15" thickTop="1">
      <c r="A88" s="579"/>
      <c r="B88" s="538" t="s">
        <v>2609</v>
      </c>
      <c r="C88" s="554"/>
      <c r="D88" s="554"/>
      <c r="E88" s="554"/>
      <c r="F88" s="2635"/>
      <c r="G88" s="554"/>
      <c r="H88" s="554"/>
      <c r="I88" s="554"/>
      <c r="J88" s="554"/>
      <c r="K88" s="554"/>
      <c r="L88" s="554"/>
      <c r="M88" s="581"/>
      <c r="N88" s="1152"/>
      <c r="O88" s="1152"/>
      <c r="P88" s="2630"/>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4"/>
      <c r="O89" s="1154"/>
      <c r="P89" s="2630"/>
      <c r="Q89" s="504"/>
    </row>
    <row r="90" spans="1:17" s="471" customFormat="1" ht="14.4" thickTop="1">
      <c r="A90" s="553"/>
      <c r="B90" s="538">
        <f>B27</f>
        <v>111</v>
      </c>
      <c r="C90" s="554"/>
      <c r="D90" s="554"/>
      <c r="E90" s="554"/>
      <c r="F90" s="554"/>
      <c r="G90" s="554"/>
      <c r="H90" s="555"/>
      <c r="I90" s="555"/>
      <c r="J90" s="555"/>
      <c r="K90" s="555"/>
      <c r="L90" s="556"/>
      <c r="M90" s="557"/>
      <c r="N90" s="1155"/>
      <c r="O90" s="1155"/>
      <c r="P90" s="2631"/>
      <c r="Q90" s="559"/>
    </row>
    <row r="91" spans="1:17" s="471" customFormat="1" ht="14.4" thickBot="1">
      <c r="A91" s="553"/>
      <c r="B91" s="543"/>
      <c r="C91" s="560"/>
      <c r="D91" s="560"/>
      <c r="E91" s="560"/>
      <c r="F91" s="560"/>
      <c r="G91" s="560"/>
      <c r="H91" s="562"/>
      <c r="I91" s="562"/>
      <c r="J91" s="562"/>
      <c r="K91" s="562"/>
      <c r="L91" s="562"/>
      <c r="M91" s="563"/>
      <c r="N91" s="1155"/>
      <c r="O91" s="1155"/>
      <c r="P91" s="2631"/>
      <c r="Q91" s="559"/>
    </row>
    <row r="92" spans="1:17" ht="14.4" thickTop="1">
      <c r="A92" s="534"/>
      <c r="B92" s="538">
        <f>B28</f>
        <v>111</v>
      </c>
      <c r="C92" s="554"/>
      <c r="D92" s="554"/>
      <c r="E92" s="554"/>
      <c r="F92" s="554"/>
      <c r="G92" s="583"/>
      <c r="H92" s="583"/>
      <c r="I92" s="583"/>
      <c r="J92" s="583"/>
      <c r="K92" s="584"/>
      <c r="L92" s="585"/>
      <c r="M92" s="586"/>
      <c r="N92" s="1153"/>
      <c r="O92" s="1153"/>
      <c r="P92" s="2630"/>
      <c r="Q92" s="504"/>
    </row>
    <row r="93" spans="1:17" ht="14.4" thickBot="1">
      <c r="A93" s="534"/>
      <c r="B93" s="543"/>
      <c r="C93" s="560"/>
      <c r="D93" s="536"/>
      <c r="E93" s="536"/>
      <c r="F93" s="536"/>
      <c r="G93" s="536"/>
      <c r="H93" s="536"/>
      <c r="I93" s="536"/>
      <c r="J93" s="536"/>
      <c r="K93" s="536"/>
      <c r="L93" s="536"/>
      <c r="M93" s="537"/>
      <c r="N93" s="1154"/>
      <c r="O93" s="1154"/>
      <c r="P93" s="2630"/>
      <c r="Q93" s="504"/>
    </row>
    <row r="94" spans="1:17" ht="14.4" thickTop="1">
      <c r="A94" s="534"/>
      <c r="B94" s="538">
        <f>B29</f>
        <v>111</v>
      </c>
      <c r="C94" s="554"/>
      <c r="D94" s="554"/>
      <c r="E94" s="554"/>
      <c r="F94" s="554"/>
      <c r="G94" s="583"/>
      <c r="H94" s="583"/>
      <c r="I94" s="583"/>
      <c r="J94" s="583"/>
      <c r="K94" s="584"/>
      <c r="L94" s="585"/>
      <c r="M94" s="586"/>
      <c r="N94" s="1153"/>
      <c r="O94" s="1153"/>
      <c r="P94" s="2630"/>
      <c r="Q94" s="504"/>
    </row>
    <row r="95" spans="1:17" ht="14.4" thickBot="1">
      <c r="A95" s="534"/>
      <c r="B95" s="543"/>
      <c r="C95" s="560"/>
      <c r="D95" s="560"/>
      <c r="E95" s="560"/>
      <c r="F95" s="560"/>
      <c r="G95" s="536"/>
      <c r="H95" s="536"/>
      <c r="I95" s="536"/>
      <c r="J95" s="536"/>
      <c r="K95" s="536"/>
      <c r="L95" s="536"/>
      <c r="M95" s="537"/>
      <c r="N95" s="1154"/>
      <c r="O95" s="1154"/>
      <c r="P95" s="2630"/>
      <c r="Q95" s="504"/>
    </row>
    <row r="96" spans="1:17" ht="14.4" thickTop="1">
      <c r="A96" s="534"/>
      <c r="B96" s="538">
        <f>B30</f>
        <v>111</v>
      </c>
      <c r="C96" s="554"/>
      <c r="D96" s="554"/>
      <c r="E96" s="554"/>
      <c r="F96" s="554"/>
      <c r="G96" s="583"/>
      <c r="H96" s="583"/>
      <c r="I96" s="583"/>
      <c r="J96" s="583"/>
      <c r="K96" s="584"/>
      <c r="L96" s="585"/>
      <c r="M96" s="586"/>
      <c r="N96" s="1153"/>
      <c r="O96" s="1153"/>
      <c r="P96" s="2630"/>
      <c r="Q96" s="504"/>
    </row>
    <row r="97" spans="1:17" ht="14.4" thickBot="1">
      <c r="A97" s="534"/>
      <c r="B97" s="543"/>
      <c r="C97" s="570"/>
      <c r="D97" s="570"/>
      <c r="E97" s="570"/>
      <c r="F97" s="570"/>
      <c r="G97" s="536"/>
      <c r="H97" s="536"/>
      <c r="I97" s="536"/>
      <c r="J97" s="536"/>
      <c r="K97" s="536"/>
      <c r="L97" s="536"/>
      <c r="M97" s="537"/>
      <c r="N97" s="1154"/>
      <c r="O97" s="1154"/>
      <c r="P97" s="2630"/>
      <c r="Q97" s="504"/>
    </row>
    <row r="98" spans="1:17" ht="14.4" thickTop="1">
      <c r="A98" s="534"/>
      <c r="B98" s="546">
        <f>B31</f>
        <v>111</v>
      </c>
      <c r="C98" s="587"/>
      <c r="D98" s="587"/>
      <c r="E98" s="587"/>
      <c r="F98" s="587"/>
      <c r="G98" s="587"/>
      <c r="H98" s="587"/>
      <c r="I98" s="587"/>
      <c r="J98" s="587"/>
      <c r="K98" s="588"/>
      <c r="L98" s="589"/>
      <c r="M98" s="590"/>
      <c r="N98" s="1153"/>
      <c r="O98" s="1153"/>
      <c r="P98" s="2630"/>
      <c r="Q98" s="504"/>
    </row>
    <row r="99" spans="1:17" ht="14.4" thickBot="1">
      <c r="A99" s="2636"/>
      <c r="B99" s="569"/>
      <c r="C99" s="591"/>
      <c r="D99" s="591"/>
      <c r="E99" s="591"/>
      <c r="F99" s="591"/>
      <c r="G99" s="591"/>
      <c r="H99" s="591"/>
      <c r="I99" s="591"/>
      <c r="J99" s="591"/>
      <c r="K99" s="591"/>
      <c r="L99" s="591"/>
      <c r="M99" s="592"/>
      <c r="N99" s="1154"/>
      <c r="O99" s="1154"/>
      <c r="P99" s="2630"/>
      <c r="Q99" s="504"/>
    </row>
    <row r="100" spans="1:17" ht="14.4">
      <c r="A100" s="527" t="s">
        <v>2561</v>
      </c>
      <c r="B100" s="528" t="s">
        <v>2610</v>
      </c>
      <c r="C100" s="530"/>
      <c r="D100" s="530"/>
      <c r="E100" s="530"/>
      <c r="F100" s="530"/>
      <c r="G100" s="530"/>
      <c r="H100" s="530"/>
      <c r="I100" s="530"/>
      <c r="J100" s="530"/>
      <c r="K100" s="531"/>
      <c r="L100" s="532"/>
      <c r="M100" s="533"/>
      <c r="N100" s="1153"/>
      <c r="O100" s="1153"/>
      <c r="P100" s="263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4"/>
      <c r="O101" s="1154"/>
      <c r="P101" s="2630"/>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2"/>
      <c r="O102" s="1152"/>
      <c r="P102" s="2630"/>
      <c r="Q102" s="504"/>
    </row>
    <row r="103" spans="1:17" s="471" customFormat="1">
      <c r="A103" s="593"/>
      <c r="B103" s="594"/>
      <c r="C103" s="595"/>
      <c r="D103" s="595"/>
      <c r="E103" s="595"/>
      <c r="F103" s="595"/>
      <c r="G103" s="595"/>
      <c r="H103" s="595"/>
      <c r="I103" s="595"/>
      <c r="J103" s="596"/>
      <c r="K103" s="596"/>
      <c r="L103" s="597"/>
      <c r="M103" s="598"/>
      <c r="N103" s="1155"/>
      <c r="O103" s="1155"/>
      <c r="P103" s="2631"/>
      <c r="Q103" s="559"/>
    </row>
    <row r="104" spans="1:17" s="471" customFormat="1" ht="14.4" thickBot="1">
      <c r="A104" s="553"/>
      <c r="B104" s="543"/>
      <c r="C104" s="560"/>
      <c r="D104" s="536"/>
      <c r="E104" s="536"/>
      <c r="F104" s="536"/>
      <c r="G104" s="536"/>
      <c r="H104" s="536"/>
      <c r="I104" s="536"/>
      <c r="J104" s="536"/>
      <c r="K104" s="536"/>
      <c r="L104" s="536"/>
      <c r="M104" s="536"/>
      <c r="N104" s="1154"/>
      <c r="O104" s="1154"/>
      <c r="P104" s="2631"/>
      <c r="Q104" s="559"/>
    </row>
    <row r="105" spans="1:17" ht="15" thickTop="1">
      <c r="A105" s="599"/>
      <c r="B105" s="538" t="s">
        <v>2612</v>
      </c>
      <c r="C105" s="554"/>
      <c r="D105" s="554"/>
      <c r="E105" s="583"/>
      <c r="F105" s="583"/>
      <c r="G105" s="583"/>
      <c r="H105" s="583"/>
      <c r="I105" s="583"/>
      <c r="J105" s="583"/>
      <c r="K105" s="584"/>
      <c r="L105" s="585"/>
      <c r="M105" s="586"/>
      <c r="N105" s="1153"/>
      <c r="O105" s="1153"/>
      <c r="P105" s="263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4"/>
      <c r="O106" s="1154"/>
      <c r="P106" s="2630"/>
      <c r="Q106" s="504"/>
    </row>
    <row r="107" spans="1:17" ht="15" thickTop="1">
      <c r="A107" s="599"/>
      <c r="B107" s="538" t="s">
        <v>2613</v>
      </c>
      <c r="C107" s="583"/>
      <c r="D107" s="583"/>
      <c r="E107" s="583"/>
      <c r="F107" s="583"/>
      <c r="G107" s="583"/>
      <c r="H107" s="583"/>
      <c r="I107" s="583"/>
      <c r="J107" s="583"/>
      <c r="K107" s="584"/>
      <c r="L107" s="585"/>
      <c r="M107" s="586"/>
      <c r="N107" s="1153"/>
      <c r="O107" s="1153"/>
      <c r="P107" s="263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4"/>
      <c r="O108" s="1154"/>
      <c r="P108" s="2630"/>
      <c r="Q108" s="504"/>
    </row>
    <row r="109" spans="1:17" ht="15" thickTop="1">
      <c r="A109" s="599"/>
      <c r="B109" s="538" t="s">
        <v>2614</v>
      </c>
      <c r="C109" s="554"/>
      <c r="D109" s="554"/>
      <c r="E109" s="554"/>
      <c r="F109" s="583"/>
      <c r="G109" s="583"/>
      <c r="H109" s="583"/>
      <c r="I109" s="583"/>
      <c r="J109" s="583"/>
      <c r="K109" s="584"/>
      <c r="L109" s="585"/>
      <c r="M109" s="586"/>
      <c r="N109" s="1153"/>
      <c r="O109" s="1153"/>
      <c r="P109" s="2630"/>
      <c r="Q109" s="504"/>
    </row>
    <row r="110" spans="1:17" ht="14.4"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4"/>
      <c r="O110" s="1154"/>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1"/>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1"/>
      <c r="Q113" s="559"/>
    </row>
    <row r="114" spans="1:17" ht="15" thickTop="1">
      <c r="A114" s="599"/>
      <c r="B114" s="538" t="s">
        <v>2615</v>
      </c>
      <c r="C114" s="554"/>
      <c r="D114" s="554"/>
      <c r="E114" s="583"/>
      <c r="F114" s="583"/>
      <c r="G114" s="583"/>
      <c r="H114" s="583"/>
      <c r="I114" s="583"/>
      <c r="J114" s="583"/>
      <c r="K114" s="584"/>
      <c r="L114" s="585"/>
      <c r="M114" s="586"/>
      <c r="N114" s="1153"/>
      <c r="O114" s="1153"/>
      <c r="P114" s="2630"/>
      <c r="Q114" s="504"/>
    </row>
    <row r="115" spans="1:17" ht="14.4"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4"/>
      <c r="O115" s="1154"/>
      <c r="P115" s="2630"/>
      <c r="Q115" s="504"/>
    </row>
    <row r="116" spans="1:17" ht="15" thickTop="1">
      <c r="A116" s="599"/>
      <c r="B116" s="538" t="s">
        <v>2616</v>
      </c>
      <c r="C116" s="554"/>
      <c r="D116" s="554"/>
      <c r="E116" s="554"/>
      <c r="F116" s="554"/>
      <c r="G116" s="554"/>
      <c r="H116" s="583"/>
      <c r="I116" s="583"/>
      <c r="J116" s="583"/>
      <c r="K116" s="584"/>
      <c r="L116" s="585"/>
      <c r="M116" s="586"/>
      <c r="N116" s="1153"/>
      <c r="O116" s="1153"/>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0"/>
      <c r="Q117" s="504"/>
    </row>
    <row r="118" spans="1:17" ht="15" thickTop="1">
      <c r="A118" s="599"/>
      <c r="B118" s="538" t="s">
        <v>2617</v>
      </c>
      <c r="C118" s="583"/>
      <c r="D118" s="583"/>
      <c r="E118" s="583"/>
      <c r="F118" s="583"/>
      <c r="G118" s="583"/>
      <c r="H118" s="583"/>
      <c r="I118" s="583"/>
      <c r="J118" s="583"/>
      <c r="K118" s="584"/>
      <c r="L118" s="585"/>
      <c r="M118" s="586"/>
      <c r="N118" s="1153"/>
      <c r="O118" s="1153"/>
      <c r="P118" s="2630"/>
      <c r="Q118" s="504"/>
    </row>
    <row r="119" spans="1:17" ht="14.4"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4"/>
      <c r="O119" s="1154"/>
      <c r="P119" s="2630"/>
      <c r="Q119" s="504"/>
    </row>
    <row r="120" spans="1:17" s="471" customFormat="1" ht="29.4" thickTop="1">
      <c r="A120" s="593"/>
      <c r="B120" s="538" t="s">
        <v>2572</v>
      </c>
      <c r="C120" s="554"/>
      <c r="D120" s="554"/>
      <c r="E120" s="554"/>
      <c r="F120" s="554"/>
      <c r="G120" s="554"/>
      <c r="H120" s="554"/>
      <c r="I120" s="554"/>
      <c r="J120" s="554"/>
      <c r="K120" s="554"/>
      <c r="L120" s="580"/>
      <c r="M120" s="581"/>
      <c r="N120" s="1155"/>
      <c r="O120" s="1155"/>
      <c r="P120" s="2631"/>
      <c r="Q120" s="559"/>
    </row>
    <row r="121" spans="1:17" s="471" customFormat="1" ht="14.4" thickBot="1">
      <c r="A121" s="553"/>
      <c r="B121" s="535"/>
      <c r="C121" s="560"/>
      <c r="D121" s="536"/>
      <c r="E121" s="536"/>
      <c r="F121" s="536"/>
      <c r="G121" s="536"/>
      <c r="H121" s="536"/>
      <c r="I121" s="536"/>
      <c r="J121" s="536"/>
      <c r="K121" s="536"/>
      <c r="L121" s="536"/>
      <c r="M121" s="536"/>
      <c r="N121" s="1155"/>
      <c r="O121" s="1155"/>
      <c r="P121" s="2631"/>
      <c r="Q121" s="559"/>
    </row>
    <row r="122" spans="1:17" ht="15" thickTop="1">
      <c r="A122" s="599"/>
      <c r="B122" s="538" t="s">
        <v>2618</v>
      </c>
      <c r="C122" s="554"/>
      <c r="D122" s="554"/>
      <c r="E122" s="554"/>
      <c r="F122" s="583"/>
      <c r="G122" s="583"/>
      <c r="H122" s="583"/>
      <c r="I122" s="583"/>
      <c r="J122" s="583"/>
      <c r="K122" s="584"/>
      <c r="L122" s="585"/>
      <c r="M122" s="586"/>
      <c r="N122" s="1153"/>
      <c r="O122" s="1153"/>
      <c r="P122" s="2630"/>
      <c r="Q122" s="504"/>
    </row>
    <row r="123" spans="1:17" ht="14.4"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4"/>
      <c r="O123" s="1154"/>
      <c r="P123" s="2630"/>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1"/>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1"/>
      <c r="Q127" s="559"/>
    </row>
    <row r="128" spans="1:17" ht="14.4" thickTop="1">
      <c r="A128" s="599"/>
      <c r="B128" s="538">
        <f>B45</f>
        <v>111</v>
      </c>
      <c r="C128" s="554"/>
      <c r="D128" s="554"/>
      <c r="E128" s="554"/>
      <c r="F128" s="554"/>
      <c r="G128" s="583"/>
      <c r="H128" s="583"/>
      <c r="I128" s="583"/>
      <c r="J128" s="583"/>
      <c r="K128" s="584"/>
      <c r="L128" s="585"/>
      <c r="M128" s="586"/>
      <c r="N128" s="1153"/>
      <c r="O128" s="1153"/>
      <c r="P128" s="2630"/>
      <c r="Q128" s="504"/>
    </row>
    <row r="129" spans="1:17" ht="14.4" thickBot="1">
      <c r="A129" s="534"/>
      <c r="B129" s="543"/>
      <c r="C129" s="560"/>
      <c r="D129" s="560"/>
      <c r="E129" s="560"/>
      <c r="F129" s="560"/>
      <c r="G129" s="536"/>
      <c r="H129" s="536"/>
      <c r="I129" s="536"/>
      <c r="J129" s="536"/>
      <c r="K129" s="536"/>
      <c r="L129" s="536"/>
      <c r="M129" s="537"/>
      <c r="N129" s="1154"/>
      <c r="O129" s="1154"/>
      <c r="P129" s="2630"/>
      <c r="Q129" s="504"/>
    </row>
    <row r="130" spans="1:17" ht="14.4" thickTop="1">
      <c r="A130" s="599"/>
      <c r="B130" s="546">
        <f>B46</f>
        <v>111</v>
      </c>
      <c r="C130" s="554"/>
      <c r="D130" s="554"/>
      <c r="E130" s="554"/>
      <c r="F130" s="554"/>
      <c r="G130" s="587"/>
      <c r="H130" s="587"/>
      <c r="I130" s="587"/>
      <c r="J130" s="587"/>
      <c r="K130" s="523"/>
      <c r="L130" s="524"/>
      <c r="M130" s="590"/>
      <c r="N130" s="1153"/>
      <c r="O130" s="1153"/>
      <c r="P130" s="2630"/>
      <c r="Q130" s="504"/>
    </row>
    <row r="131" spans="1:17" ht="14.4" thickBot="1">
      <c r="A131" s="2636"/>
      <c r="B131" s="569"/>
      <c r="C131" s="570"/>
      <c r="D131" s="570"/>
      <c r="E131" s="570"/>
      <c r="F131" s="570"/>
      <c r="G131" s="591"/>
      <c r="H131" s="591"/>
      <c r="I131" s="591"/>
      <c r="J131" s="591"/>
      <c r="K131" s="591"/>
      <c r="L131" s="591"/>
      <c r="M131" s="592"/>
      <c r="N131" s="1154"/>
      <c r="O131" s="1154"/>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5">
        <v>6</v>
      </c>
      <c r="C139" s="1086">
        <v>96</v>
      </c>
      <c r="D139" s="2648" t="s">
        <v>2629</v>
      </c>
      <c r="E139" s="1087">
        <v>100</v>
      </c>
      <c r="F139" s="1088">
        <v>102.5</v>
      </c>
      <c r="G139" s="2648" t="s">
        <v>2629</v>
      </c>
      <c r="H139" s="1089">
        <v>105</v>
      </c>
      <c r="I139" s="2649" t="s">
        <v>2630</v>
      </c>
      <c r="J139" s="1086">
        <v>20</v>
      </c>
      <c r="K139" s="1090">
        <f>C145/(J139-2)</f>
        <v>4.0555555555555553E-3</v>
      </c>
    </row>
    <row r="140" spans="1:17" ht="15">
      <c r="B140" s="1091">
        <v>5</v>
      </c>
      <c r="C140" s="1092">
        <v>100</v>
      </c>
      <c r="D140" s="1092"/>
      <c r="E140" s="1093"/>
      <c r="F140" s="1094">
        <v>102</v>
      </c>
      <c r="G140" s="1092"/>
      <c r="H140" s="1095"/>
      <c r="I140" s="2650" t="s">
        <v>2631</v>
      </c>
      <c r="J140" s="315">
        <f>ROUNDUP((J139-1)/2,0)</f>
        <v>10</v>
      </c>
      <c r="K140" s="1096">
        <v>100</v>
      </c>
    </row>
    <row r="141" spans="1:17" ht="15">
      <c r="B141" s="1091">
        <v>4</v>
      </c>
      <c r="C141" s="1092">
        <v>102</v>
      </c>
      <c r="D141" s="1092"/>
      <c r="E141" s="1093"/>
      <c r="F141" s="1094">
        <v>101.5</v>
      </c>
      <c r="G141" s="1092"/>
      <c r="H141" s="1095"/>
      <c r="I141" s="2650" t="s">
        <v>2632</v>
      </c>
      <c r="J141" s="315">
        <v>1</v>
      </c>
      <c r="K141" s="1097">
        <f>ROUND(100+(J141-J140)*K139*100,1)</f>
        <v>96.4</v>
      </c>
    </row>
    <row r="142" spans="1:17" ht="15">
      <c r="B142" s="1091">
        <v>3</v>
      </c>
      <c r="C142" s="1092">
        <v>103</v>
      </c>
      <c r="D142" s="1092"/>
      <c r="E142" s="1093"/>
      <c r="F142" s="1094">
        <v>101</v>
      </c>
      <c r="G142" s="1092"/>
      <c r="H142" s="1095"/>
      <c r="I142" s="2650" t="s">
        <v>2633</v>
      </c>
      <c r="J142" s="315">
        <f>J139</f>
        <v>20</v>
      </c>
      <c r="K142" s="1098">
        <v>95</v>
      </c>
    </row>
    <row r="143" spans="1:17" ht="15">
      <c r="B143" s="1091">
        <v>2</v>
      </c>
      <c r="C143" s="1092">
        <v>100</v>
      </c>
      <c r="D143" s="1092"/>
      <c r="E143" s="1093"/>
      <c r="F143" s="1094">
        <v>100.5</v>
      </c>
      <c r="G143" s="1092"/>
      <c r="H143" s="1095"/>
      <c r="I143" s="2650" t="s">
        <v>2634</v>
      </c>
      <c r="J143" s="1092">
        <v>15</v>
      </c>
      <c r="K143" s="1097">
        <f>ROUND(100+(J143-J140)*K139*100,1)</f>
        <v>102</v>
      </c>
    </row>
    <row r="144" spans="1:17" ht="15">
      <c r="B144" s="1091">
        <v>1</v>
      </c>
      <c r="C144" s="1092">
        <v>98</v>
      </c>
      <c r="D144" s="2651" t="s">
        <v>2635</v>
      </c>
      <c r="E144" s="1093">
        <v>102</v>
      </c>
      <c r="F144" s="1099">
        <v>100</v>
      </c>
      <c r="G144" s="2651" t="s">
        <v>2635</v>
      </c>
      <c r="H144" s="1095">
        <v>105</v>
      </c>
      <c r="I144" s="2650" t="s">
        <v>2634</v>
      </c>
      <c r="J144" s="1092">
        <v>18</v>
      </c>
      <c r="K144" s="1097">
        <f>ROUND(100+(J144-J140)*K139*100,1)</f>
        <v>103.2</v>
      </c>
    </row>
    <row r="145" spans="2:11" ht="16.2" thickBot="1">
      <c r="B145" s="2652" t="s">
        <v>2636</v>
      </c>
      <c r="C145" s="1100">
        <f>ROUND(MAX(C139:C144)/MIN(C139:C144)-1,3)</f>
        <v>7.2999999999999995E-2</v>
      </c>
      <c r="D145" s="1101"/>
      <c r="E145" s="1101"/>
      <c r="F145" s="2653" t="s">
        <v>2637</v>
      </c>
      <c r="G145" s="2654"/>
      <c r="H145" s="2655"/>
      <c r="I145" s="2656" t="s">
        <v>2634</v>
      </c>
      <c r="J145" s="1102">
        <v>8</v>
      </c>
      <c r="K145" s="1103">
        <f>ROUND(100+(J145-J140)*K139*100,1)</f>
        <v>99.2</v>
      </c>
    </row>
    <row r="147" spans="2:11" ht="14.4">
      <c r="B147" s="2637" t="s">
        <v>2638</v>
      </c>
    </row>
    <row r="148" spans="2:11" ht="14.4">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582" t="s">
        <v>2640</v>
      </c>
      <c r="C1" s="1635" t="s">
        <v>2528</v>
      </c>
      <c r="D1" s="1622"/>
      <c r="E1" s="2657"/>
      <c r="F1" s="2584"/>
      <c r="G1" s="1632" t="s">
        <v>2641</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8" customFormat="1" ht="28.5" customHeight="1" thickTop="1">
      <c r="A2" s="1618" t="s">
        <v>2325</v>
      </c>
      <c r="B2" s="1419" t="e">
        <f ca="1">IF(C2="——",ROUND(C49*D3/10000,0),ROUND(C49*D3/10000,0)-D2)</f>
        <v>#DIV/0!</v>
      </c>
      <c r="C2" s="2586"/>
      <c r="D2" s="1366" t="e">
        <f ca="1">SUMIF(INDIRECT("'"&amp;F2&amp;"'"&amp;"!A:A"),"承租人权益价值",INDIRECT("'"&amp;F2&amp;"'"&amp;"!c:c"))</f>
        <v>#REF!</v>
      </c>
      <c r="E2" s="2587" t="s">
        <v>2326</v>
      </c>
      <c r="F2" s="2588"/>
      <c r="G2" s="1126"/>
      <c r="H2" s="1126"/>
      <c r="I2" s="1126"/>
      <c r="J2" s="1126"/>
      <c r="K2" s="1126"/>
      <c r="L2" s="1129"/>
      <c r="M2" s="1130"/>
      <c r="N2" s="1130"/>
      <c r="O2" s="1130"/>
      <c r="P2" s="2661"/>
      <c r="Q2" s="1130"/>
      <c r="R2" s="1130"/>
      <c r="S2" s="1130"/>
      <c r="T2" s="1130"/>
      <c r="U2" s="1130"/>
      <c r="V2" s="1130"/>
      <c r="W2" s="1130"/>
      <c r="X2" s="1130"/>
      <c r="Y2" s="1130"/>
      <c r="Z2" s="1130"/>
      <c r="AA2" s="1130"/>
      <c r="AB2" s="1130"/>
      <c r="AC2" s="2662"/>
    </row>
    <row r="3" spans="1:29" s="398" customFormat="1" ht="28.5" customHeight="1" thickBot="1">
      <c r="A3" s="247" t="s">
        <v>2327</v>
      </c>
      <c r="B3" s="609" t="e">
        <f ca="1">IF(C2="——",C49,ROUND(B2*10000/D3,0))</f>
        <v>#DIV/0!</v>
      </c>
      <c r="C3" s="400" t="s">
        <v>2642</v>
      </c>
      <c r="D3" s="399">
        <f>IF(D1="",'数据-汇总表'!E3,SUMIF('数据-汇总表'!$C19:$C33,D1,'数据-汇总表'!$E19:$E33))</f>
        <v>50120.32</v>
      </c>
      <c r="E3" s="2663"/>
      <c r="F3" s="1127"/>
      <c r="G3" s="1126"/>
      <c r="H3" s="1126"/>
      <c r="I3" s="1126"/>
      <c r="J3" s="1126"/>
      <c r="K3" s="1128"/>
      <c r="L3" s="1129"/>
      <c r="M3" s="1130"/>
      <c r="N3" s="1130"/>
      <c r="O3" s="1130"/>
      <c r="P3" s="2661"/>
      <c r="Q3" s="1130"/>
      <c r="R3" s="1130"/>
      <c r="S3" s="1130"/>
      <c r="T3" s="1130"/>
      <c r="U3" s="1130"/>
      <c r="V3" s="1130"/>
      <c r="W3" s="1130"/>
      <c r="X3" s="1130"/>
      <c r="Y3" s="1130"/>
      <c r="Z3" s="1130"/>
      <c r="AA3" s="1130"/>
      <c r="AB3" s="1130"/>
      <c r="AC3" s="2663"/>
    </row>
    <row r="4" spans="1:29" ht="14.4">
      <c r="A4" s="401" t="s">
        <v>2643</v>
      </c>
      <c r="B4" s="402"/>
      <c r="C4" s="3607" t="s">
        <v>2644</v>
      </c>
      <c r="D4" s="3608"/>
      <c r="E4" s="3609" t="s">
        <v>2645</v>
      </c>
      <c r="F4" s="3610"/>
      <c r="G4" s="3607" t="s">
        <v>2646</v>
      </c>
      <c r="H4" s="3608"/>
      <c r="I4" s="3607" t="s">
        <v>2647</v>
      </c>
      <c r="J4" s="3608"/>
      <c r="K4" s="610" t="s">
        <v>2648</v>
      </c>
      <c r="L4" s="1131"/>
      <c r="M4" s="1132"/>
      <c r="N4" s="1132"/>
      <c r="O4" s="1132"/>
      <c r="P4" s="3611" t="s">
        <v>2649</v>
      </c>
      <c r="Q4" s="3612"/>
      <c r="R4" s="3594" t="s">
        <v>2645</v>
      </c>
      <c r="S4" s="3595"/>
      <c r="T4" s="3594" t="s">
        <v>2646</v>
      </c>
      <c r="U4" s="3595"/>
      <c r="V4" s="3619" t="s">
        <v>2647</v>
      </c>
      <c r="W4" s="3619"/>
      <c r="X4" s="1814"/>
      <c r="Y4" s="3594" t="s">
        <v>2649</v>
      </c>
      <c r="Z4" s="3595"/>
      <c r="AA4" s="3589" t="s">
        <v>2645</v>
      </c>
      <c r="AB4" s="3619" t="s">
        <v>2646</v>
      </c>
      <c r="AC4" s="3589" t="s">
        <v>2647</v>
      </c>
    </row>
    <row r="5" spans="1:29">
      <c r="A5" s="404"/>
      <c r="B5" s="405"/>
      <c r="C5" s="3600" t="s">
        <v>2540</v>
      </c>
      <c r="D5" s="3601"/>
      <c r="E5" s="3598" t="s">
        <v>2541</v>
      </c>
      <c r="F5" s="3599"/>
      <c r="G5" s="3600" t="s">
        <v>2542</v>
      </c>
      <c r="H5" s="3601"/>
      <c r="I5" s="3600" t="s">
        <v>2543</v>
      </c>
      <c r="J5" s="3601"/>
      <c r="K5" s="610"/>
      <c r="L5" s="1131"/>
      <c r="M5" s="1132"/>
      <c r="N5" s="1132"/>
      <c r="O5" s="1132"/>
      <c r="P5" s="3613"/>
      <c r="Q5" s="3614"/>
      <c r="R5" s="3596"/>
      <c r="S5" s="3597"/>
      <c r="T5" s="3596"/>
      <c r="U5" s="3597"/>
      <c r="V5" s="3619"/>
      <c r="W5" s="3619"/>
      <c r="X5" s="1814"/>
      <c r="Y5" s="3596"/>
      <c r="Z5" s="3597"/>
      <c r="AA5" s="3590"/>
      <c r="AB5" s="3619"/>
      <c r="AC5" s="3590"/>
    </row>
    <row r="6" spans="1:29" ht="15" thickBot="1">
      <c r="A6" s="406"/>
      <c r="B6" s="407"/>
      <c r="C6" s="3602" t="s">
        <v>2544</v>
      </c>
      <c r="D6" s="3603"/>
      <c r="E6" s="3604" t="s">
        <v>2544</v>
      </c>
      <c r="F6" s="3605"/>
      <c r="G6" s="3602" t="s">
        <v>2544</v>
      </c>
      <c r="H6" s="3603"/>
      <c r="I6" s="3602" t="s">
        <v>2544</v>
      </c>
      <c r="J6" s="3603"/>
      <c r="K6" s="610" t="s">
        <v>2545</v>
      </c>
      <c r="L6" s="1131"/>
      <c r="M6" s="1132"/>
      <c r="N6" s="1132"/>
      <c r="O6" s="1132"/>
      <c r="P6" s="3615"/>
      <c r="Q6" s="3616"/>
      <c r="R6" s="3596"/>
      <c r="S6" s="3597"/>
      <c r="T6" s="3617"/>
      <c r="U6" s="3618"/>
      <c r="V6" s="3619"/>
      <c r="W6" s="3619"/>
      <c r="X6" s="1814"/>
      <c r="Y6" s="3617"/>
      <c r="Z6" s="3618"/>
      <c r="AA6" s="3591"/>
      <c r="AB6" s="3619"/>
      <c r="AC6" s="3591"/>
    </row>
    <row r="7" spans="1:29" s="117" customFormat="1" ht="15" thickBot="1">
      <c r="A7" s="408" t="s">
        <v>2546</v>
      </c>
      <c r="B7" s="409"/>
      <c r="C7" s="410">
        <f>'数据-取费表'!B2</f>
        <v>43458</v>
      </c>
      <c r="D7" s="411">
        <v>100</v>
      </c>
      <c r="E7" s="412"/>
      <c r="F7" s="413">
        <f>SUMIF(58:58,YEAR(E7)&amp;"-"&amp;MONTH(E7),59:59)</f>
        <v>0</v>
      </c>
      <c r="G7" s="412"/>
      <c r="H7" s="411">
        <f>SUMIF(58:58,YEAR(G7)&amp;"-"&amp;MONTH(G7),59:59)</f>
        <v>0</v>
      </c>
      <c r="I7" s="412"/>
      <c r="J7" s="411">
        <f>SUMIF(58:58,YEAR(I7)&amp;"-"&amp;MONTH(I7),59:59)</f>
        <v>0</v>
      </c>
      <c r="K7" s="611"/>
      <c r="L7" s="1133"/>
      <c r="M7" s="1134"/>
      <c r="N7" s="1134"/>
      <c r="O7" s="1134"/>
      <c r="P7" s="3592" t="s">
        <v>2547</v>
      </c>
      <c r="Q7" s="3620"/>
      <c r="R7" s="770" t="s">
        <v>17</v>
      </c>
      <c r="S7" s="771">
        <f t="shared" ref="S7:S15" si="0">F7</f>
        <v>0</v>
      </c>
      <c r="T7" s="770" t="s">
        <v>17</v>
      </c>
      <c r="U7" s="771">
        <f t="shared" ref="U7:U15" si="1">H7</f>
        <v>0</v>
      </c>
      <c r="V7" s="770" t="s">
        <v>17</v>
      </c>
      <c r="W7" s="771">
        <f t="shared" ref="W7:W15" si="2">J7</f>
        <v>0</v>
      </c>
      <c r="X7" s="772"/>
      <c r="Y7" s="3592" t="s">
        <v>2547</v>
      </c>
      <c r="Z7" s="3593"/>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592" t="s">
        <v>2550</v>
      </c>
      <c r="Q8" s="3593"/>
      <c r="R8" s="770" t="s">
        <v>17</v>
      </c>
      <c r="S8" s="771">
        <f t="shared" si="0"/>
        <v>0</v>
      </c>
      <c r="T8" s="770" t="s">
        <v>17</v>
      </c>
      <c r="U8" s="771">
        <f t="shared" si="1"/>
        <v>0</v>
      </c>
      <c r="V8" s="770" t="s">
        <v>17</v>
      </c>
      <c r="W8" s="771">
        <f t="shared" si="2"/>
        <v>0</v>
      </c>
      <c r="X8" s="772"/>
      <c r="Y8" s="3592" t="s">
        <v>2550</v>
      </c>
      <c r="Z8" s="3593"/>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606" t="s">
        <v>2553</v>
      </c>
      <c r="Q9" s="1796" t="str">
        <f t="shared" ref="Q9:Q15" si="6">B9</f>
        <v>用途</v>
      </c>
      <c r="R9" s="770" t="s">
        <v>17</v>
      </c>
      <c r="S9" s="771">
        <f t="shared" si="0"/>
        <v>100</v>
      </c>
      <c r="T9" s="770" t="s">
        <v>17</v>
      </c>
      <c r="U9" s="771">
        <f t="shared" si="1"/>
        <v>100</v>
      </c>
      <c r="V9" s="770" t="s">
        <v>17</v>
      </c>
      <c r="W9" s="771">
        <f t="shared" si="2"/>
        <v>100</v>
      </c>
      <c r="X9" s="772"/>
      <c r="Y9" s="3439"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606"/>
      <c r="Q10" s="1796" t="str">
        <f t="shared" si="6"/>
        <v>土地使用年限（年）</v>
      </c>
      <c r="R10" s="770" t="s">
        <v>17</v>
      </c>
      <c r="S10" s="771">
        <f t="shared" si="0"/>
        <v>100</v>
      </c>
      <c r="T10" s="770" t="s">
        <v>17</v>
      </c>
      <c r="U10" s="771">
        <f t="shared" si="1"/>
        <v>100</v>
      </c>
      <c r="V10" s="770" t="s">
        <v>17</v>
      </c>
      <c r="W10" s="771">
        <f t="shared" si="2"/>
        <v>100</v>
      </c>
      <c r="X10" s="772"/>
      <c r="Y10" s="343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606"/>
      <c r="Q11" s="1796" t="str">
        <f t="shared" si="6"/>
        <v>容积率</v>
      </c>
      <c r="R11" s="770" t="s">
        <v>17</v>
      </c>
      <c r="S11" s="771" t="e">
        <f t="shared" si="0"/>
        <v>#N/A</v>
      </c>
      <c r="T11" s="770" t="s">
        <v>17</v>
      </c>
      <c r="U11" s="771" t="e">
        <f t="shared" si="1"/>
        <v>#N/A</v>
      </c>
      <c r="V11" s="770" t="s">
        <v>17</v>
      </c>
      <c r="W11" s="771" t="e">
        <f t="shared" si="2"/>
        <v>#N/A</v>
      </c>
      <c r="X11" s="772"/>
      <c r="Y11" s="343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606"/>
      <c r="Q12" s="1796">
        <f t="shared" si="6"/>
        <v>111</v>
      </c>
      <c r="R12" s="770" t="s">
        <v>17</v>
      </c>
      <c r="S12" s="771">
        <f t="shared" si="0"/>
        <v>100</v>
      </c>
      <c r="T12" s="770" t="s">
        <v>17</v>
      </c>
      <c r="U12" s="771">
        <f t="shared" si="1"/>
        <v>100</v>
      </c>
      <c r="V12" s="770" t="s">
        <v>17</v>
      </c>
      <c r="W12" s="771">
        <f t="shared" si="2"/>
        <v>100</v>
      </c>
      <c r="X12" s="772"/>
      <c r="Y12" s="343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606"/>
      <c r="Q13" s="1796">
        <f t="shared" si="6"/>
        <v>111</v>
      </c>
      <c r="R13" s="770" t="s">
        <v>17</v>
      </c>
      <c r="S13" s="771">
        <f t="shared" si="0"/>
        <v>100</v>
      </c>
      <c r="T13" s="770" t="s">
        <v>17</v>
      </c>
      <c r="U13" s="771">
        <f t="shared" si="1"/>
        <v>100</v>
      </c>
      <c r="V13" s="770" t="s">
        <v>17</v>
      </c>
      <c r="W13" s="771">
        <f t="shared" si="2"/>
        <v>100</v>
      </c>
      <c r="X13" s="772"/>
      <c r="Y13" s="3439"/>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606"/>
      <c r="Q14" s="1796">
        <f t="shared" si="6"/>
        <v>111</v>
      </c>
      <c r="R14" s="770" t="s">
        <v>17</v>
      </c>
      <c r="S14" s="771">
        <f t="shared" si="0"/>
        <v>100</v>
      </c>
      <c r="T14" s="770" t="s">
        <v>17</v>
      </c>
      <c r="U14" s="771">
        <f t="shared" si="1"/>
        <v>100</v>
      </c>
      <c r="V14" s="770" t="s">
        <v>17</v>
      </c>
      <c r="W14" s="771">
        <f t="shared" si="2"/>
        <v>100</v>
      </c>
      <c r="X14" s="772"/>
      <c r="Y14" s="3439"/>
      <c r="Z14" s="55">
        <f t="shared" si="7"/>
        <v>111</v>
      </c>
      <c r="AA14" s="773">
        <f t="shared" si="3"/>
        <v>1</v>
      </c>
      <c r="AB14" s="773">
        <f t="shared" si="4"/>
        <v>1</v>
      </c>
      <c r="AC14" s="773">
        <f t="shared" si="5"/>
        <v>1</v>
      </c>
    </row>
    <row r="15" spans="1:29" ht="69">
      <c r="A15" s="440" t="s">
        <v>2557</v>
      </c>
      <c r="B15" s="69" t="s">
        <v>2651</v>
      </c>
      <c r="C15" s="2603" t="str">
        <f>估价对象房地状况!C4</f>
        <v>估价对象位于东直门商圈，周边商业氛围成熟，人流量大，商业繁华度好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633" t="s">
        <v>2558</v>
      </c>
      <c r="Q15" s="1811" t="str">
        <f t="shared" si="6"/>
        <v>商业繁华度</v>
      </c>
      <c r="R15" s="774" t="s">
        <v>17</v>
      </c>
      <c r="S15" s="775">
        <f t="shared" si="0"/>
        <v>100</v>
      </c>
      <c r="T15" s="774" t="s">
        <v>17</v>
      </c>
      <c r="U15" s="775">
        <f t="shared" si="1"/>
        <v>100</v>
      </c>
      <c r="V15" s="774" t="s">
        <v>17</v>
      </c>
      <c r="W15" s="775">
        <f t="shared" si="2"/>
        <v>100</v>
      </c>
      <c r="X15" s="1814"/>
      <c r="Y15" s="3626" t="s">
        <v>2558</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32"/>
      <c r="P16" s="3634"/>
      <c r="Q16" s="1811"/>
      <c r="R16" s="774"/>
      <c r="S16" s="775"/>
      <c r="T16" s="774"/>
      <c r="U16" s="775"/>
      <c r="V16" s="774"/>
      <c r="W16" s="775"/>
      <c r="X16" s="1814"/>
      <c r="Y16" s="3627"/>
      <c r="Z16" s="1815"/>
      <c r="AA16" s="1812">
        <v>1</v>
      </c>
      <c r="AB16" s="1812">
        <v>1</v>
      </c>
      <c r="AC16" s="1812">
        <v>1</v>
      </c>
    </row>
    <row r="17" spans="1:29" ht="165.6">
      <c r="A17" s="428"/>
      <c r="B17" s="451" t="s">
        <v>2095</v>
      </c>
      <c r="C17" s="2607" t="str">
        <f>估价对象房地状况!C6</f>
        <v>估价对象周边道路状况较好（机场高速、香河园路）、公共交通较通达（2、机场线东直门站，18路、916路香河园路，359、915路东直门外站）、停车便捷程度，综合评价交通便捷度较好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634"/>
      <c r="Q17" s="1811" t="str">
        <f>B17</f>
        <v>交通便捷度</v>
      </c>
      <c r="R17" s="774" t="s">
        <v>17</v>
      </c>
      <c r="S17" s="775">
        <f>F17</f>
        <v>100</v>
      </c>
      <c r="T17" s="774" t="s">
        <v>17</v>
      </c>
      <c r="U17" s="775">
        <f>H17</f>
        <v>100</v>
      </c>
      <c r="V17" s="774" t="s">
        <v>17</v>
      </c>
      <c r="W17" s="775">
        <f>J17</f>
        <v>100</v>
      </c>
      <c r="X17" s="1814"/>
      <c r="Y17" s="3627"/>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1"/>
      <c r="M18" s="1132"/>
      <c r="N18" s="1132"/>
      <c r="O18" s="1132"/>
      <c r="P18" s="3634"/>
      <c r="Q18" s="1811"/>
      <c r="R18" s="774"/>
      <c r="S18" s="775"/>
      <c r="T18" s="774"/>
      <c r="U18" s="775"/>
      <c r="V18" s="774"/>
      <c r="W18" s="775"/>
      <c r="X18" s="1814"/>
      <c r="Y18" s="3627"/>
      <c r="Z18" s="1815"/>
      <c r="AA18" s="1812">
        <v>1</v>
      </c>
      <c r="AB18" s="1812">
        <v>1</v>
      </c>
      <c r="AC18" s="1812">
        <v>1</v>
      </c>
    </row>
    <row r="19" spans="1:29" ht="41.4">
      <c r="A19" s="428"/>
      <c r="B19" s="451" t="s">
        <v>2652</v>
      </c>
      <c r="C19" s="2607"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634"/>
      <c r="Q19" s="1811" t="str">
        <f>B19</f>
        <v>公共配套设施</v>
      </c>
      <c r="R19" s="774" t="s">
        <v>17</v>
      </c>
      <c r="S19" s="775">
        <f>F19</f>
        <v>100</v>
      </c>
      <c r="T19" s="774" t="s">
        <v>17</v>
      </c>
      <c r="U19" s="775">
        <f>H19</f>
        <v>100</v>
      </c>
      <c r="V19" s="774" t="s">
        <v>17</v>
      </c>
      <c r="W19" s="775">
        <f>J19</f>
        <v>100</v>
      </c>
      <c r="X19" s="1814"/>
      <c r="Y19" s="3627"/>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1"/>
      <c r="M20" s="1132"/>
      <c r="N20" s="1132"/>
      <c r="O20" s="1132"/>
      <c r="P20" s="3634"/>
      <c r="Q20" s="1811"/>
      <c r="R20" s="774"/>
      <c r="S20" s="775"/>
      <c r="T20" s="774"/>
      <c r="U20" s="775"/>
      <c r="V20" s="774"/>
      <c r="W20" s="775"/>
      <c r="X20" s="1814"/>
      <c r="Y20" s="3627"/>
      <c r="Z20" s="1815"/>
      <c r="AA20" s="1812">
        <v>1</v>
      </c>
      <c r="AB20" s="1812">
        <v>1</v>
      </c>
      <c r="AC20" s="1812">
        <v>1</v>
      </c>
    </row>
    <row r="21" spans="1:29" ht="41.4">
      <c r="A21" s="428"/>
      <c r="B21" s="1385" t="s">
        <v>2653</v>
      </c>
      <c r="C21" s="2607" t="str">
        <f>估价对象房地状况!C8</f>
        <v>估价对象所在区域基础设施水平较高</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634"/>
      <c r="Q21" s="1811" t="str">
        <f>B21</f>
        <v>基础设施水平</v>
      </c>
      <c r="R21" s="774" t="s">
        <v>17</v>
      </c>
      <c r="S21" s="775">
        <f>F21</f>
        <v>100</v>
      </c>
      <c r="T21" s="774" t="s">
        <v>17</v>
      </c>
      <c r="U21" s="775">
        <f>H21</f>
        <v>100</v>
      </c>
      <c r="V21" s="774" t="s">
        <v>17</v>
      </c>
      <c r="W21" s="775">
        <f>J21</f>
        <v>100</v>
      </c>
      <c r="X21" s="1814"/>
      <c r="Y21" s="3627"/>
      <c r="Z21" s="1815" t="str">
        <f>Q21</f>
        <v>基础设施水平</v>
      </c>
      <c r="AA21" s="1812">
        <f>D21/F21</f>
        <v>1</v>
      </c>
      <c r="AB21" s="1812">
        <f>D21/H21</f>
        <v>1</v>
      </c>
      <c r="AC21" s="1812">
        <f>D21/J21</f>
        <v>1</v>
      </c>
    </row>
    <row r="22" spans="1:29" ht="15">
      <c r="A22" s="428"/>
      <c r="B22" s="1385"/>
      <c r="C22" s="2608"/>
      <c r="D22" s="448"/>
      <c r="E22" s="447"/>
      <c r="F22" s="449"/>
      <c r="G22" s="447"/>
      <c r="H22" s="448"/>
      <c r="I22" s="447"/>
      <c r="J22" s="448"/>
      <c r="K22" s="1384"/>
      <c r="L22" s="1141"/>
      <c r="M22" s="1132"/>
      <c r="N22" s="1132"/>
      <c r="O22" s="1132"/>
      <c r="P22" s="3634"/>
      <c r="Q22" s="1811"/>
      <c r="R22" s="774"/>
      <c r="S22" s="775"/>
      <c r="T22" s="774"/>
      <c r="U22" s="775"/>
      <c r="V22" s="774"/>
      <c r="W22" s="775"/>
      <c r="X22" s="1814"/>
      <c r="Y22" s="3627"/>
      <c r="Z22" s="1815"/>
      <c r="AA22" s="1812">
        <v>1</v>
      </c>
      <c r="AB22" s="1812">
        <v>1</v>
      </c>
      <c r="AC22" s="1812">
        <v>1</v>
      </c>
    </row>
    <row r="23" spans="1:29" ht="82.8">
      <c r="A23" s="428"/>
      <c r="B23" s="451" t="s">
        <v>2100</v>
      </c>
      <c r="C23" s="2664" t="str">
        <f>估价对象房地状况!C9</f>
        <v>区域自然环境：廉政文化公园；人文环境：自来水博物馆；综合评价环境状况较好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634"/>
      <c r="Q23" s="1811" t="str">
        <f>B23</f>
        <v>自然及人文环境</v>
      </c>
      <c r="R23" s="774" t="s">
        <v>17</v>
      </c>
      <c r="S23" s="775">
        <f>F23</f>
        <v>100</v>
      </c>
      <c r="T23" s="774" t="s">
        <v>17</v>
      </c>
      <c r="U23" s="775">
        <f>H23</f>
        <v>100</v>
      </c>
      <c r="V23" s="774" t="s">
        <v>17</v>
      </c>
      <c r="W23" s="775">
        <f>J23</f>
        <v>100</v>
      </c>
      <c r="X23" s="1814"/>
      <c r="Y23" s="3627"/>
      <c r="Z23" s="1815" t="str">
        <f>Q23</f>
        <v>自然及人文环境</v>
      </c>
      <c r="AA23" s="1812">
        <f t="shared" si="3"/>
        <v>1</v>
      </c>
      <c r="AB23" s="1812">
        <f t="shared" si="4"/>
        <v>1</v>
      </c>
      <c r="AC23" s="1812">
        <f t="shared" si="5"/>
        <v>1</v>
      </c>
    </row>
    <row r="24" spans="1:29" ht="15">
      <c r="A24" s="428"/>
      <c r="B24" s="456"/>
      <c r="C24" s="447"/>
      <c r="D24" s="448"/>
      <c r="E24" s="2605"/>
      <c r="F24" s="449"/>
      <c r="G24" s="2604"/>
      <c r="H24" s="448"/>
      <c r="I24" s="2605"/>
      <c r="J24" s="448"/>
      <c r="K24" s="615"/>
      <c r="L24" s="1141"/>
      <c r="M24" s="1132"/>
      <c r="N24" s="1132"/>
      <c r="O24" s="1132"/>
      <c r="P24" s="3634"/>
      <c r="Q24" s="1811"/>
      <c r="R24" s="774"/>
      <c r="S24" s="775"/>
      <c r="T24" s="774"/>
      <c r="U24" s="775"/>
      <c r="V24" s="774"/>
      <c r="W24" s="775"/>
      <c r="X24" s="1814"/>
      <c r="Y24" s="3627"/>
      <c r="Z24" s="1815"/>
      <c r="AA24" s="1812">
        <v>1</v>
      </c>
      <c r="AB24" s="1812">
        <v>1</v>
      </c>
      <c r="AC24" s="1812">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634"/>
      <c r="Q25" s="1811" t="str">
        <f t="shared" ref="Q25:Q46" si="8">B25</f>
        <v>临街状况</v>
      </c>
      <c r="R25" s="774" t="s">
        <v>17</v>
      </c>
      <c r="S25" s="775">
        <f>F25</f>
        <v>100</v>
      </c>
      <c r="T25" s="774" t="s">
        <v>17</v>
      </c>
      <c r="U25" s="775">
        <f>H25</f>
        <v>100</v>
      </c>
      <c r="V25" s="774" t="s">
        <v>17</v>
      </c>
      <c r="W25" s="775">
        <f>J25</f>
        <v>100</v>
      </c>
      <c r="X25" s="1814"/>
      <c r="Y25" s="3627"/>
      <c r="Z25" s="1815" t="str">
        <f>Q25</f>
        <v>临街状况</v>
      </c>
      <c r="AA25" s="1812">
        <f t="shared" si="3"/>
        <v>1</v>
      </c>
      <c r="AB25" s="1812">
        <f t="shared" si="4"/>
        <v>1</v>
      </c>
      <c r="AC25" s="1812">
        <f t="shared" si="5"/>
        <v>1</v>
      </c>
    </row>
    <row r="26" spans="1:29" ht="15">
      <c r="A26" s="428"/>
      <c r="B26" s="1387"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634"/>
      <c r="Q26" s="1811" t="str">
        <f t="shared" si="8"/>
        <v>平面位置/可视性</v>
      </c>
      <c r="R26" s="774" t="s">
        <v>17</v>
      </c>
      <c r="S26" s="775">
        <f>F26</f>
        <v>100</v>
      </c>
      <c r="T26" s="774" t="s">
        <v>17</v>
      </c>
      <c r="U26" s="775">
        <f>H26</f>
        <v>100</v>
      </c>
      <c r="V26" s="774" t="s">
        <v>17</v>
      </c>
      <c r="W26" s="775">
        <f>J26</f>
        <v>100</v>
      </c>
      <c r="X26" s="1814"/>
      <c r="Y26" s="3627"/>
      <c r="Z26" s="1815" t="str">
        <f>Q26</f>
        <v>平面位置/可视性</v>
      </c>
      <c r="AA26" s="1812">
        <f t="shared" si="3"/>
        <v>1</v>
      </c>
      <c r="AB26" s="1812">
        <f t="shared" si="4"/>
        <v>1</v>
      </c>
      <c r="AC26" s="1812">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3"/>
      <c r="M27" s="1134"/>
      <c r="N27" s="1134"/>
      <c r="O27" s="1134"/>
      <c r="P27" s="3634"/>
      <c r="Q27" s="1796" t="str">
        <f t="shared" si="8"/>
        <v>人流量</v>
      </c>
      <c r="R27" s="770" t="s">
        <v>17</v>
      </c>
      <c r="S27" s="771">
        <f>F27</f>
        <v>100</v>
      </c>
      <c r="T27" s="770" t="s">
        <v>17</v>
      </c>
      <c r="U27" s="771">
        <f>H27</f>
        <v>100</v>
      </c>
      <c r="V27" s="770" t="s">
        <v>17</v>
      </c>
      <c r="W27" s="771">
        <f>J27</f>
        <v>100</v>
      </c>
      <c r="X27" s="772"/>
      <c r="Y27" s="3627"/>
      <c r="Z27" s="55" t="str">
        <f>Q27</f>
        <v>人流量</v>
      </c>
      <c r="AA27" s="1812">
        <f>D27/F27</f>
        <v>1</v>
      </c>
      <c r="AB27" s="1812">
        <f>D27/H27</f>
        <v>1</v>
      </c>
      <c r="AC27" s="1812">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634"/>
      <c r="Q28" s="1811" t="str">
        <f t="shared" si="8"/>
        <v>楼层</v>
      </c>
      <c r="R28" s="774" t="s">
        <v>17</v>
      </c>
      <c r="S28" s="775">
        <f t="shared" ref="S28:S46" si="9">F28</f>
        <v>100</v>
      </c>
      <c r="T28" s="774" t="s">
        <v>17</v>
      </c>
      <c r="U28" s="775">
        <f t="shared" ref="U28:U46" si="10">H28</f>
        <v>100</v>
      </c>
      <c r="V28" s="774" t="s">
        <v>17</v>
      </c>
      <c r="W28" s="775">
        <f t="shared" ref="W28:W46" si="11">J28</f>
        <v>100</v>
      </c>
      <c r="X28" s="1814"/>
      <c r="Y28" s="3627"/>
      <c r="Z28" s="1815" t="str">
        <f t="shared" ref="Z28:Z46" si="12">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634"/>
      <c r="Q29" s="1811">
        <f t="shared" si="8"/>
        <v>111</v>
      </c>
      <c r="R29" s="774" t="s">
        <v>17</v>
      </c>
      <c r="S29" s="775">
        <f t="shared" si="9"/>
        <v>100</v>
      </c>
      <c r="T29" s="774" t="s">
        <v>17</v>
      </c>
      <c r="U29" s="775">
        <f t="shared" si="10"/>
        <v>100</v>
      </c>
      <c r="V29" s="774" t="s">
        <v>17</v>
      </c>
      <c r="W29" s="775">
        <f t="shared" si="11"/>
        <v>100</v>
      </c>
      <c r="X29" s="1814"/>
      <c r="Y29" s="3627"/>
      <c r="Z29" s="1815">
        <f t="shared" si="12"/>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634"/>
      <c r="Q30" s="1811">
        <f t="shared" si="8"/>
        <v>111</v>
      </c>
      <c r="R30" s="774" t="s">
        <v>17</v>
      </c>
      <c r="S30" s="775">
        <f t="shared" si="9"/>
        <v>100</v>
      </c>
      <c r="T30" s="774" t="s">
        <v>17</v>
      </c>
      <c r="U30" s="775">
        <f t="shared" si="10"/>
        <v>100</v>
      </c>
      <c r="V30" s="774" t="s">
        <v>17</v>
      </c>
      <c r="W30" s="775">
        <f t="shared" si="11"/>
        <v>100</v>
      </c>
      <c r="X30" s="1814"/>
      <c r="Y30" s="3627"/>
      <c r="Z30" s="1815">
        <f t="shared" si="12"/>
        <v>111</v>
      </c>
      <c r="AA30" s="1812">
        <f t="shared" si="3"/>
        <v>1</v>
      </c>
      <c r="AB30" s="1812">
        <f t="shared" si="4"/>
        <v>1</v>
      </c>
      <c r="AC30" s="1812">
        <f t="shared" si="5"/>
        <v>1</v>
      </c>
    </row>
    <row r="31" spans="1:29" ht="15.6"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634"/>
      <c r="Q31" s="1811">
        <f t="shared" si="8"/>
        <v>111</v>
      </c>
      <c r="R31" s="774" t="s">
        <v>17</v>
      </c>
      <c r="S31" s="775">
        <f t="shared" si="9"/>
        <v>100</v>
      </c>
      <c r="T31" s="774" t="s">
        <v>17</v>
      </c>
      <c r="U31" s="775">
        <f t="shared" si="10"/>
        <v>100</v>
      </c>
      <c r="V31" s="774" t="s">
        <v>17</v>
      </c>
      <c r="W31" s="775">
        <f t="shared" si="11"/>
        <v>100</v>
      </c>
      <c r="X31" s="1814"/>
      <c r="Y31" s="3627"/>
      <c r="Z31" s="1815">
        <f t="shared" si="12"/>
        <v>111</v>
      </c>
      <c r="AA31" s="1812">
        <f t="shared" si="3"/>
        <v>1</v>
      </c>
      <c r="AB31" s="1812">
        <f t="shared" si="4"/>
        <v>1</v>
      </c>
      <c r="AC31" s="1812">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1"/>
      <c r="M32" s="1132"/>
      <c r="N32" s="1132"/>
      <c r="O32" s="1132"/>
      <c r="P32" s="3628" t="s">
        <v>2563</v>
      </c>
      <c r="Q32" s="1811" t="str">
        <f t="shared" si="8"/>
        <v>商业类型</v>
      </c>
      <c r="R32" s="774" t="s">
        <v>17</v>
      </c>
      <c r="S32" s="775">
        <f t="shared" si="9"/>
        <v>100</v>
      </c>
      <c r="T32" s="774" t="s">
        <v>17</v>
      </c>
      <c r="U32" s="775">
        <f t="shared" si="10"/>
        <v>100</v>
      </c>
      <c r="V32" s="774" t="s">
        <v>17</v>
      </c>
      <c r="W32" s="775">
        <f t="shared" si="11"/>
        <v>100</v>
      </c>
      <c r="X32" s="1814"/>
      <c r="Y32" s="3631" t="s">
        <v>2563</v>
      </c>
      <c r="Z32" s="1815" t="str">
        <f t="shared" si="12"/>
        <v>商业类型</v>
      </c>
      <c r="AA32" s="1812">
        <f t="shared" si="3"/>
        <v>1</v>
      </c>
      <c r="AB32" s="1812">
        <f t="shared" si="4"/>
        <v>1</v>
      </c>
      <c r="AC32" s="1812">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629"/>
      <c r="Q33" s="776" t="str">
        <f t="shared" si="8"/>
        <v>项目建筑规模</v>
      </c>
      <c r="R33" s="777" t="s">
        <v>17</v>
      </c>
      <c r="S33" s="778" t="e">
        <f t="shared" si="9"/>
        <v>#N/A</v>
      </c>
      <c r="T33" s="777" t="s">
        <v>17</v>
      </c>
      <c r="U33" s="778" t="e">
        <f t="shared" si="10"/>
        <v>#N/A</v>
      </c>
      <c r="V33" s="777" t="s">
        <v>17</v>
      </c>
      <c r="W33" s="778" t="e">
        <f t="shared" si="11"/>
        <v>#N/A</v>
      </c>
      <c r="X33" s="779"/>
      <c r="Y33" s="3631"/>
      <c r="Z33" s="780" t="str">
        <f t="shared" si="12"/>
        <v>项目建筑规模</v>
      </c>
      <c r="AA33" s="1812" t="e">
        <f t="shared" si="3"/>
        <v>#N/A</v>
      </c>
      <c r="AB33" s="1812" t="e">
        <f t="shared" si="4"/>
        <v>#N/A</v>
      </c>
      <c r="AC33" s="1812"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1"/>
      <c r="M34" s="1132"/>
      <c r="N34" s="1132"/>
      <c r="O34" s="1132"/>
      <c r="P34" s="3629"/>
      <c r="Q34" s="1811" t="str">
        <f t="shared" si="8"/>
        <v>建筑结构</v>
      </c>
      <c r="R34" s="774" t="s">
        <v>17</v>
      </c>
      <c r="S34" s="775">
        <f t="shared" si="9"/>
        <v>100</v>
      </c>
      <c r="T34" s="774" t="s">
        <v>17</v>
      </c>
      <c r="U34" s="775">
        <f t="shared" si="10"/>
        <v>100</v>
      </c>
      <c r="V34" s="774" t="s">
        <v>17</v>
      </c>
      <c r="W34" s="775">
        <f t="shared" si="11"/>
        <v>100</v>
      </c>
      <c r="X34" s="1814"/>
      <c r="Y34" s="3631"/>
      <c r="Z34" s="1815" t="str">
        <f t="shared" si="12"/>
        <v>建筑结构</v>
      </c>
      <c r="AA34" s="1812">
        <f t="shared" si="3"/>
        <v>1</v>
      </c>
      <c r="AB34" s="1812">
        <f t="shared" si="4"/>
        <v>1</v>
      </c>
      <c r="AC34" s="1812">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1"/>
      <c r="M35" s="1132"/>
      <c r="N35" s="1132"/>
      <c r="O35" s="1132"/>
      <c r="P35" s="3629"/>
      <c r="Q35" s="1811" t="str">
        <f t="shared" si="8"/>
        <v>公共部分装修</v>
      </c>
      <c r="R35" s="774" t="s">
        <v>17</v>
      </c>
      <c r="S35" s="775">
        <f t="shared" si="9"/>
        <v>100</v>
      </c>
      <c r="T35" s="774" t="s">
        <v>17</v>
      </c>
      <c r="U35" s="775">
        <f t="shared" si="10"/>
        <v>100</v>
      </c>
      <c r="V35" s="774" t="s">
        <v>17</v>
      </c>
      <c r="W35" s="775">
        <f t="shared" si="11"/>
        <v>100</v>
      </c>
      <c r="X35" s="1814"/>
      <c r="Y35" s="3631"/>
      <c r="Z35" s="1815" t="str">
        <f t="shared" si="12"/>
        <v>公共部分装修</v>
      </c>
      <c r="AA35" s="1812">
        <f t="shared" si="3"/>
        <v>1</v>
      </c>
      <c r="AB35" s="1812">
        <f t="shared" si="4"/>
        <v>1</v>
      </c>
      <c r="AC35" s="1812">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629"/>
      <c r="Q36" s="1811" t="str">
        <f t="shared" si="8"/>
        <v>成新度</v>
      </c>
      <c r="R36" s="774" t="s">
        <v>17</v>
      </c>
      <c r="S36" s="775" t="e">
        <f t="shared" si="9"/>
        <v>#N/A</v>
      </c>
      <c r="T36" s="774" t="s">
        <v>17</v>
      </c>
      <c r="U36" s="775" t="e">
        <f t="shared" si="10"/>
        <v>#N/A</v>
      </c>
      <c r="V36" s="774" t="s">
        <v>17</v>
      </c>
      <c r="W36" s="775" t="e">
        <f t="shared" si="11"/>
        <v>#N/A</v>
      </c>
      <c r="X36" s="1814"/>
      <c r="Y36" s="3631"/>
      <c r="Z36" s="1815" t="str">
        <f t="shared" si="12"/>
        <v>成新度</v>
      </c>
      <c r="AA36" s="1812" t="e">
        <f t="shared" si="3"/>
        <v>#N/A</v>
      </c>
      <c r="AB36" s="1812" t="e">
        <f t="shared" si="4"/>
        <v>#N/A</v>
      </c>
      <c r="AC36" s="1812"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3"/>
      <c r="M37" s="1134"/>
      <c r="N37" s="1134"/>
      <c r="O37" s="1134"/>
      <c r="P37" s="3629"/>
      <c r="Q37" s="1796" t="str">
        <f t="shared" si="8"/>
        <v>市政基础设施</v>
      </c>
      <c r="R37" s="770" t="s">
        <v>17</v>
      </c>
      <c r="S37" s="771">
        <f t="shared" si="9"/>
        <v>100</v>
      </c>
      <c r="T37" s="770" t="s">
        <v>17</v>
      </c>
      <c r="U37" s="771">
        <f t="shared" si="10"/>
        <v>100</v>
      </c>
      <c r="V37" s="770" t="s">
        <v>17</v>
      </c>
      <c r="W37" s="771">
        <f t="shared" si="11"/>
        <v>100</v>
      </c>
      <c r="X37" s="772"/>
      <c r="Y37" s="3631"/>
      <c r="Z37" s="55" t="str">
        <f t="shared" si="12"/>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1"/>
      <c r="M38" s="1132"/>
      <c r="N38" s="1132"/>
      <c r="O38" s="1132"/>
      <c r="P38" s="3629" t="s">
        <v>2563</v>
      </c>
      <c r="Q38" s="1811" t="str">
        <f t="shared" si="8"/>
        <v>业态</v>
      </c>
      <c r="R38" s="774" t="s">
        <v>17</v>
      </c>
      <c r="S38" s="775">
        <f t="shared" si="9"/>
        <v>100</v>
      </c>
      <c r="T38" s="774" t="s">
        <v>17</v>
      </c>
      <c r="U38" s="775">
        <f t="shared" si="10"/>
        <v>100</v>
      </c>
      <c r="V38" s="774" t="s">
        <v>17</v>
      </c>
      <c r="W38" s="775">
        <f t="shared" si="11"/>
        <v>100</v>
      </c>
      <c r="X38" s="1814"/>
      <c r="Y38" s="3631" t="s">
        <v>2563</v>
      </c>
      <c r="Z38" s="1815" t="str">
        <f t="shared" si="12"/>
        <v>业态</v>
      </c>
      <c r="AA38" s="1812">
        <f t="shared" si="3"/>
        <v>1</v>
      </c>
      <c r="AB38" s="1812">
        <f t="shared" si="4"/>
        <v>1</v>
      </c>
      <c r="AC38" s="1812">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1"/>
      <c r="M39" s="1132"/>
      <c r="N39" s="1132"/>
      <c r="O39" s="1132"/>
      <c r="P39" s="3629"/>
      <c r="Q39" s="1811" t="str">
        <f t="shared" si="8"/>
        <v>层高</v>
      </c>
      <c r="R39" s="774" t="s">
        <v>17</v>
      </c>
      <c r="S39" s="775">
        <f t="shared" si="9"/>
        <v>100</v>
      </c>
      <c r="T39" s="774" t="s">
        <v>17</v>
      </c>
      <c r="U39" s="775">
        <f t="shared" si="10"/>
        <v>100</v>
      </c>
      <c r="V39" s="774" t="s">
        <v>17</v>
      </c>
      <c r="W39" s="775">
        <f t="shared" si="11"/>
        <v>100</v>
      </c>
      <c r="X39" s="1814"/>
      <c r="Y39" s="3631"/>
      <c r="Z39" s="1815" t="str">
        <f t="shared" si="12"/>
        <v>层高</v>
      </c>
      <c r="AA39" s="1812">
        <f t="shared" si="3"/>
        <v>1</v>
      </c>
      <c r="AB39" s="1812">
        <f t="shared" si="4"/>
        <v>1</v>
      </c>
      <c r="AC39" s="1812">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629"/>
      <c r="Q40" s="1811" t="str">
        <f t="shared" si="8"/>
        <v>单套建筑面积</v>
      </c>
      <c r="R40" s="774" t="s">
        <v>17</v>
      </c>
      <c r="S40" s="775">
        <f t="shared" si="9"/>
        <v>100</v>
      </c>
      <c r="T40" s="774" t="s">
        <v>17</v>
      </c>
      <c r="U40" s="775">
        <f t="shared" si="10"/>
        <v>100</v>
      </c>
      <c r="V40" s="774" t="s">
        <v>17</v>
      </c>
      <c r="W40" s="775">
        <f t="shared" si="11"/>
        <v>100</v>
      </c>
      <c r="X40" s="1814"/>
      <c r="Y40" s="3631"/>
      <c r="Z40" s="1815" t="str">
        <f t="shared" si="12"/>
        <v>单套建筑面积</v>
      </c>
      <c r="AA40" s="1812">
        <f t="shared" si="3"/>
        <v>1</v>
      </c>
      <c r="AB40" s="1812">
        <f t="shared" si="4"/>
        <v>1</v>
      </c>
      <c r="AC40" s="1812">
        <f t="shared" si="5"/>
        <v>1</v>
      </c>
    </row>
    <row r="41" spans="1:29" s="471" customFormat="1" ht="15">
      <c r="A41" s="468"/>
      <c r="B41" s="181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629"/>
      <c r="Q41" s="776" t="str">
        <f t="shared" si="8"/>
        <v>进深比</v>
      </c>
      <c r="R41" s="777" t="s">
        <v>17</v>
      </c>
      <c r="S41" s="778">
        <f t="shared" si="9"/>
        <v>100</v>
      </c>
      <c r="T41" s="777" t="s">
        <v>17</v>
      </c>
      <c r="U41" s="778">
        <f t="shared" si="10"/>
        <v>100</v>
      </c>
      <c r="V41" s="777" t="s">
        <v>17</v>
      </c>
      <c r="W41" s="778">
        <f t="shared" si="11"/>
        <v>100</v>
      </c>
      <c r="X41" s="779"/>
      <c r="Y41" s="3631"/>
      <c r="Z41" s="780" t="str">
        <f t="shared" si="12"/>
        <v>进深比</v>
      </c>
      <c r="AA41" s="1812">
        <f t="shared" si="3"/>
        <v>1</v>
      </c>
      <c r="AB41" s="1812">
        <f t="shared" si="4"/>
        <v>1</v>
      </c>
      <c r="AC41" s="1812">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1"/>
      <c r="M42" s="1132"/>
      <c r="N42" s="1132"/>
      <c r="O42" s="1132"/>
      <c r="P42" s="3629"/>
      <c r="Q42" s="1811" t="str">
        <f t="shared" si="8"/>
        <v>内部装修</v>
      </c>
      <c r="R42" s="774" t="s">
        <v>17</v>
      </c>
      <c r="S42" s="775">
        <f t="shared" si="9"/>
        <v>100</v>
      </c>
      <c r="T42" s="774" t="s">
        <v>17</v>
      </c>
      <c r="U42" s="775">
        <f t="shared" si="10"/>
        <v>100</v>
      </c>
      <c r="V42" s="774" t="s">
        <v>17</v>
      </c>
      <c r="W42" s="775">
        <f t="shared" si="11"/>
        <v>100</v>
      </c>
      <c r="X42" s="1814"/>
      <c r="Y42" s="3631"/>
      <c r="Z42" s="1815" t="str">
        <f t="shared" si="12"/>
        <v>内部装修</v>
      </c>
      <c r="AA42" s="1812">
        <f t="shared" si="3"/>
        <v>1</v>
      </c>
      <c r="AB42" s="1812">
        <f t="shared" si="4"/>
        <v>1</v>
      </c>
      <c r="AC42" s="1812">
        <f t="shared" si="5"/>
        <v>1</v>
      </c>
    </row>
    <row r="43" spans="1:29" ht="28.8">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1"/>
      <c r="M43" s="1132"/>
      <c r="N43" s="1132"/>
      <c r="O43" s="1132"/>
      <c r="P43" s="3629"/>
      <c r="Q43" s="1811" t="str">
        <f t="shared" si="8"/>
        <v>内部装修维护情况</v>
      </c>
      <c r="R43" s="774" t="s">
        <v>17</v>
      </c>
      <c r="S43" s="775">
        <f t="shared" si="9"/>
        <v>100</v>
      </c>
      <c r="T43" s="774" t="s">
        <v>17</v>
      </c>
      <c r="U43" s="775">
        <f t="shared" si="10"/>
        <v>100</v>
      </c>
      <c r="V43" s="774" t="s">
        <v>17</v>
      </c>
      <c r="W43" s="775">
        <f t="shared" si="11"/>
        <v>100</v>
      </c>
      <c r="X43" s="1814"/>
      <c r="Y43" s="3631"/>
      <c r="Z43" s="1815" t="str">
        <f t="shared" si="12"/>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629"/>
      <c r="Q44" s="1796">
        <f t="shared" si="8"/>
        <v>111</v>
      </c>
      <c r="R44" s="770" t="s">
        <v>17</v>
      </c>
      <c r="S44" s="771">
        <f t="shared" si="9"/>
        <v>100</v>
      </c>
      <c r="T44" s="770" t="s">
        <v>17</v>
      </c>
      <c r="U44" s="771">
        <f t="shared" si="10"/>
        <v>100</v>
      </c>
      <c r="V44" s="770" t="s">
        <v>17</v>
      </c>
      <c r="W44" s="771">
        <f t="shared" si="11"/>
        <v>100</v>
      </c>
      <c r="X44" s="772"/>
      <c r="Y44" s="3631"/>
      <c r="Z44" s="55">
        <f t="shared" si="12"/>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629"/>
      <c r="Q45" s="1811">
        <f t="shared" si="8"/>
        <v>111</v>
      </c>
      <c r="R45" s="774" t="s">
        <v>17</v>
      </c>
      <c r="S45" s="775">
        <f t="shared" si="9"/>
        <v>100</v>
      </c>
      <c r="T45" s="774" t="s">
        <v>17</v>
      </c>
      <c r="U45" s="775">
        <f t="shared" si="10"/>
        <v>100</v>
      </c>
      <c r="V45" s="774" t="s">
        <v>17</v>
      </c>
      <c r="W45" s="775">
        <f t="shared" si="11"/>
        <v>100</v>
      </c>
      <c r="X45" s="1814"/>
      <c r="Y45" s="3631"/>
      <c r="Z45" s="1815">
        <f t="shared" si="12"/>
        <v>111</v>
      </c>
      <c r="AA45" s="1812">
        <f t="shared" si="3"/>
        <v>1</v>
      </c>
      <c r="AB45" s="1812">
        <f t="shared" si="4"/>
        <v>1</v>
      </c>
      <c r="AC45" s="1812">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630"/>
      <c r="Q46" s="1811">
        <f t="shared" si="8"/>
        <v>111</v>
      </c>
      <c r="R46" s="774" t="s">
        <v>17</v>
      </c>
      <c r="S46" s="775">
        <f t="shared" si="9"/>
        <v>100</v>
      </c>
      <c r="T46" s="774" t="s">
        <v>17</v>
      </c>
      <c r="U46" s="775">
        <f t="shared" si="10"/>
        <v>100</v>
      </c>
      <c r="V46" s="774" t="s">
        <v>17</v>
      </c>
      <c r="W46" s="775">
        <f t="shared" si="11"/>
        <v>100</v>
      </c>
      <c r="X46" s="1814"/>
      <c r="Y46" s="3632"/>
      <c r="Z46" s="1815">
        <f t="shared" si="12"/>
        <v>111</v>
      </c>
      <c r="AA46" s="1812">
        <f t="shared" si="3"/>
        <v>1</v>
      </c>
      <c r="AB46" s="1812">
        <f t="shared" si="4"/>
        <v>1</v>
      </c>
      <c r="AC46" s="1812">
        <f t="shared" si="5"/>
        <v>1</v>
      </c>
    </row>
    <row r="47" spans="1:29" ht="14.4">
      <c r="A47" s="479" t="s">
        <v>2575</v>
      </c>
      <c r="B47" s="480"/>
      <c r="C47" s="1408" t="s">
        <v>1</v>
      </c>
      <c r="D47" s="1409"/>
      <c r="E47" s="1410"/>
      <c r="F47" s="1411"/>
      <c r="G47" s="1412"/>
      <c r="H47" s="1413"/>
      <c r="I47" s="1410"/>
      <c r="J47" s="1413"/>
      <c r="K47" s="783"/>
      <c r="L47" s="1144"/>
      <c r="M47" s="1145"/>
      <c r="N47" s="1132"/>
      <c r="O47" s="1145"/>
      <c r="P47" s="3624" t="str">
        <f>A47</f>
        <v>成交单价（元/平方米）</v>
      </c>
      <c r="Q47" s="3624"/>
      <c r="R47" s="3619">
        <f>E47</f>
        <v>0</v>
      </c>
      <c r="S47" s="3619"/>
      <c r="T47" s="3619">
        <f>G47</f>
        <v>0</v>
      </c>
      <c r="U47" s="3619"/>
      <c r="V47" s="3619">
        <f>I47</f>
        <v>0</v>
      </c>
      <c r="W47" s="3619"/>
      <c r="X47" s="759"/>
      <c r="Y47" s="781"/>
      <c r="Z47" s="759"/>
      <c r="AA47" s="759"/>
      <c r="AB47" s="759"/>
      <c r="AC47" s="759"/>
    </row>
    <row r="48" spans="1:29" ht="15" thickBot="1">
      <c r="A48" s="486" t="s">
        <v>2667</v>
      </c>
      <c r="B48" s="487"/>
      <c r="C48" s="1414" t="e">
        <f>R49</f>
        <v>#DIV/0!</v>
      </c>
      <c r="D48" s="1415"/>
      <c r="E48" s="1416" t="e">
        <f>R48</f>
        <v>#DIV/0!</v>
      </c>
      <c r="F48" s="1416"/>
      <c r="G48" s="1414" t="e">
        <f>T48</f>
        <v>#DIV/0!</v>
      </c>
      <c r="H48" s="1415"/>
      <c r="I48" s="1416" t="e">
        <f>V48</f>
        <v>#DIV/0!</v>
      </c>
      <c r="J48" s="1415"/>
      <c r="K48" s="784"/>
      <c r="L48" s="1144"/>
      <c r="M48" s="1145"/>
      <c r="N48" s="1132"/>
      <c r="O48" s="1145"/>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759"/>
      <c r="Y48" s="759"/>
      <c r="Z48" s="759"/>
      <c r="AA48" s="759"/>
      <c r="AB48" s="759"/>
      <c r="AC48" s="759"/>
    </row>
    <row r="49" spans="1:29" ht="15" thickBot="1">
      <c r="A49" s="492" t="s">
        <v>2668</v>
      </c>
      <c r="B49" s="493"/>
      <c r="C49" s="1418" t="e">
        <f>R49</f>
        <v>#DIV/0!</v>
      </c>
      <c r="D49" s="1418"/>
      <c r="E49" s="1418"/>
      <c r="F49" s="1418"/>
      <c r="G49" s="1418"/>
      <c r="H49" s="1418"/>
      <c r="I49" s="1418"/>
      <c r="J49" s="1418"/>
      <c r="K49" s="785"/>
      <c r="L49" s="1144"/>
      <c r="M49" s="1145"/>
      <c r="N49" s="1132"/>
      <c r="O49" s="1145"/>
      <c r="P49" s="3621" t="str">
        <f>A49</f>
        <v>估价对象XX用房的比较价值（楼面单价，元/平方米）</v>
      </c>
      <c r="Q49" s="3622"/>
      <c r="R49" s="3623" t="e">
        <f>IF(F1="售价",ROUND(AVERAGE(R48:V48),0),ROUND(AVERAGE(R48:V48),1))</f>
        <v>#DIV/0!</v>
      </c>
      <c r="S49" s="3623"/>
      <c r="T49" s="3623"/>
      <c r="U49" s="3623"/>
      <c r="V49" s="3623"/>
      <c r="W49" s="3623"/>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6"/>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6"/>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2"/>
      <c r="M57" s="1160"/>
      <c r="N57" s="1160"/>
      <c r="O57" s="1160"/>
      <c r="P57" s="2667"/>
      <c r="Q57" s="2668"/>
      <c r="R57" s="759"/>
      <c r="S57" s="759"/>
      <c r="T57" s="759"/>
      <c r="U57" s="759"/>
      <c r="V57" s="759"/>
      <c r="W57" s="759"/>
      <c r="X57" s="759"/>
      <c r="Y57" s="759"/>
      <c r="Z57" s="759"/>
      <c r="AA57" s="759"/>
      <c r="AB57" s="759"/>
      <c r="AC57" s="759"/>
    </row>
    <row r="58" spans="1:29" s="508" customFormat="1" ht="14.4">
      <c r="A58" s="505" t="s">
        <v>2546</v>
      </c>
      <c r="B58" s="506"/>
      <c r="C58" s="1575" t="str">
        <f>YEAR(C7)&amp;"-"&amp;MONTH(C7)</f>
        <v>2018-12</v>
      </c>
      <c r="D58" s="1576">
        <f>EDATE(C58,-1)</f>
        <v>43405</v>
      </c>
      <c r="E58" s="1576">
        <f t="shared" ref="E58:N58" si="13">EDATE(D58,-1)</f>
        <v>43374</v>
      </c>
      <c r="F58" s="1576">
        <f t="shared" si="13"/>
        <v>43344</v>
      </c>
      <c r="G58" s="1576">
        <f t="shared" si="13"/>
        <v>43313</v>
      </c>
      <c r="H58" s="1576">
        <f t="shared" si="13"/>
        <v>43282</v>
      </c>
      <c r="I58" s="1576">
        <f t="shared" si="13"/>
        <v>43252</v>
      </c>
      <c r="J58" s="1576">
        <f t="shared" si="13"/>
        <v>43221</v>
      </c>
      <c r="K58" s="1576">
        <f t="shared" si="13"/>
        <v>43191</v>
      </c>
      <c r="L58" s="1576">
        <f t="shared" si="13"/>
        <v>43160</v>
      </c>
      <c r="M58" s="1576">
        <f t="shared" si="13"/>
        <v>43132</v>
      </c>
      <c r="N58" s="1576">
        <f t="shared" si="13"/>
        <v>43101</v>
      </c>
      <c r="O58" s="1576">
        <f>EDATE(N58,-1)</f>
        <v>43070</v>
      </c>
      <c r="P58" s="1571"/>
    </row>
    <row r="59" spans="1:29" s="117" customFormat="1">
      <c r="A59" s="509"/>
      <c r="B59" s="510"/>
      <c r="C59" s="1574">
        <v>100</v>
      </c>
      <c r="D59" s="512"/>
      <c r="E59" s="512"/>
      <c r="F59" s="512"/>
      <c r="G59" s="512"/>
      <c r="H59" s="512"/>
      <c r="I59" s="512"/>
      <c r="J59" s="512"/>
      <c r="K59" s="512"/>
      <c r="L59" s="512"/>
      <c r="M59" s="513"/>
      <c r="N59" s="512"/>
      <c r="O59" s="513"/>
      <c r="P59" s="2628"/>
    </row>
    <row r="60" spans="1:29" s="117" customFormat="1" ht="15" thickBot="1">
      <c r="A60" s="515" t="s">
        <v>2583</v>
      </c>
      <c r="B60" s="516"/>
      <c r="C60" s="517"/>
      <c r="D60" s="518"/>
      <c r="E60" s="518"/>
      <c r="F60" s="518"/>
      <c r="G60" s="518"/>
      <c r="H60" s="518"/>
      <c r="I60" s="518"/>
      <c r="J60" s="518"/>
      <c r="K60" s="518"/>
      <c r="L60" s="518"/>
      <c r="M60" s="519"/>
      <c r="N60" s="518"/>
      <c r="O60" s="519"/>
      <c r="P60" s="2628"/>
      <c r="Q60" s="504"/>
    </row>
    <row r="61" spans="1:29" s="117" customFormat="1" ht="14.4">
      <c r="A61" s="521" t="s">
        <v>2548</v>
      </c>
      <c r="B61" s="510"/>
      <c r="C61" s="522" t="s">
        <v>2650</v>
      </c>
      <c r="D61" s="523"/>
      <c r="E61" s="523"/>
      <c r="F61" s="523"/>
      <c r="G61" s="523"/>
      <c r="H61" s="523"/>
      <c r="I61" s="523"/>
      <c r="J61" s="523"/>
      <c r="K61" s="523"/>
      <c r="L61" s="524"/>
      <c r="M61" s="525"/>
      <c r="N61" s="1152"/>
      <c r="O61" s="1152"/>
      <c r="P61" s="2629"/>
      <c r="Q61" s="504"/>
    </row>
    <row r="62" spans="1:29" s="117" customFormat="1" ht="14.4" thickBot="1">
      <c r="A62" s="521"/>
      <c r="B62" s="510"/>
      <c r="C62" s="511">
        <v>100</v>
      </c>
      <c r="D62" s="512"/>
      <c r="E62" s="512"/>
      <c r="F62" s="512"/>
      <c r="G62" s="512"/>
      <c r="H62" s="512"/>
      <c r="I62" s="512"/>
      <c r="J62" s="512"/>
      <c r="K62" s="512"/>
      <c r="L62" s="512"/>
      <c r="M62" s="514"/>
      <c r="N62" s="1152"/>
      <c r="O62" s="1152"/>
      <c r="P62" s="2628"/>
      <c r="Q62" s="504"/>
    </row>
    <row r="63" spans="1:29" ht="14.4">
      <c r="A63" s="527" t="s">
        <v>2586</v>
      </c>
      <c r="B63" s="528" t="s">
        <v>2552</v>
      </c>
      <c r="C63" s="529">
        <f>C9</f>
        <v>0</v>
      </c>
      <c r="D63" s="530"/>
      <c r="E63" s="530"/>
      <c r="F63" s="530"/>
      <c r="G63" s="530"/>
      <c r="H63" s="530"/>
      <c r="I63" s="530"/>
      <c r="J63" s="530"/>
      <c r="K63" s="531"/>
      <c r="L63" s="532"/>
      <c r="M63" s="533"/>
      <c r="N63" s="1153"/>
      <c r="O63" s="1153"/>
      <c r="P63" s="2630"/>
      <c r="Q63" s="504"/>
    </row>
    <row r="64" spans="1:29" ht="14.4" thickBot="1">
      <c r="A64" s="534"/>
      <c r="B64" s="535"/>
      <c r="C64" s="536">
        <v>100</v>
      </c>
      <c r="D64" s="536"/>
      <c r="E64" s="536"/>
      <c r="F64" s="536"/>
      <c r="G64" s="536"/>
      <c r="H64" s="536"/>
      <c r="I64" s="536"/>
      <c r="J64" s="536"/>
      <c r="K64" s="536"/>
      <c r="L64" s="536"/>
      <c r="M64" s="537"/>
      <c r="N64" s="1154"/>
      <c r="O64" s="1154"/>
      <c r="P64" s="2630"/>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3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30"/>
      <c r="Q66" s="504"/>
    </row>
    <row r="67" spans="1:17" ht="15" thickTop="1">
      <c r="A67" s="534"/>
      <c r="B67" s="546" t="s">
        <v>2556</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4"/>
      <c r="O67" s="1154"/>
      <c r="P67" s="2630"/>
      <c r="Q67" s="504"/>
    </row>
    <row r="68" spans="1:17">
      <c r="A68" s="534"/>
      <c r="B68" s="548"/>
      <c r="C68" s="549"/>
      <c r="D68" s="549"/>
      <c r="E68" s="549"/>
      <c r="F68" s="549"/>
      <c r="G68" s="549"/>
      <c r="H68" s="549"/>
      <c r="I68" s="549"/>
      <c r="J68" s="549"/>
      <c r="K68" s="550"/>
      <c r="L68" s="551"/>
      <c r="M68" s="552"/>
      <c r="N68" s="1153"/>
      <c r="O68" s="1153"/>
      <c r="P68" s="2630"/>
      <c r="Q68" s="504"/>
    </row>
    <row r="69" spans="1:17" ht="14.4"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4"/>
      <c r="O69" s="1154"/>
      <c r="P69" s="2630"/>
      <c r="Q69" s="504"/>
    </row>
    <row r="70" spans="1:17" s="471" customFormat="1" ht="14.4" thickTop="1">
      <c r="A70" s="553"/>
      <c r="B70" s="538">
        <f>B12</f>
        <v>111</v>
      </c>
      <c r="C70" s="554"/>
      <c r="D70" s="554"/>
      <c r="E70" s="554"/>
      <c r="F70" s="554"/>
      <c r="G70" s="554"/>
      <c r="H70" s="555"/>
      <c r="I70" s="555"/>
      <c r="J70" s="555"/>
      <c r="K70" s="555"/>
      <c r="L70" s="556"/>
      <c r="M70" s="557"/>
      <c r="N70" s="1155"/>
      <c r="O70" s="1155"/>
      <c r="P70" s="2631"/>
      <c r="Q70" s="559"/>
    </row>
    <row r="71" spans="1:17" s="471" customFormat="1" ht="14.4" thickBot="1">
      <c r="A71" s="553"/>
      <c r="B71" s="543"/>
      <c r="C71" s="560"/>
      <c r="D71" s="536"/>
      <c r="E71" s="536"/>
      <c r="F71" s="536"/>
      <c r="G71" s="536"/>
      <c r="H71" s="536"/>
      <c r="I71" s="536"/>
      <c r="J71" s="536"/>
      <c r="K71" s="536"/>
      <c r="L71" s="536"/>
      <c r="M71" s="537"/>
      <c r="N71" s="1154"/>
      <c r="O71" s="1154"/>
      <c r="P71" s="2631"/>
      <c r="Q71" s="559"/>
    </row>
    <row r="72" spans="1:17" s="471" customFormat="1" ht="14.4" thickTop="1">
      <c r="A72" s="553"/>
      <c r="B72" s="538">
        <f>B13</f>
        <v>111</v>
      </c>
      <c r="C72" s="554"/>
      <c r="D72" s="554"/>
      <c r="E72" s="554"/>
      <c r="F72" s="554"/>
      <c r="G72" s="554"/>
      <c r="H72" s="555"/>
      <c r="I72" s="555"/>
      <c r="J72" s="555"/>
      <c r="K72" s="555"/>
      <c r="L72" s="556"/>
      <c r="M72" s="557"/>
      <c r="N72" s="1155"/>
      <c r="O72" s="1155"/>
      <c r="P72" s="2632"/>
      <c r="Q72" s="561"/>
    </row>
    <row r="73" spans="1:17" s="471" customFormat="1" ht="14.4" thickBot="1">
      <c r="A73" s="553"/>
      <c r="B73" s="543"/>
      <c r="C73" s="560"/>
      <c r="D73" s="536"/>
      <c r="E73" s="536"/>
      <c r="F73" s="536"/>
      <c r="G73" s="560"/>
      <c r="H73" s="562"/>
      <c r="I73" s="562"/>
      <c r="J73" s="562"/>
      <c r="K73" s="562"/>
      <c r="L73" s="562"/>
      <c r="M73" s="563"/>
      <c r="N73" s="1155"/>
      <c r="O73" s="1155"/>
      <c r="P73" s="2631"/>
      <c r="Q73" s="559"/>
    </row>
    <row r="74" spans="1:17" s="471" customFormat="1" ht="14.4" thickTop="1">
      <c r="A74" s="553"/>
      <c r="B74" s="546">
        <f>B14</f>
        <v>111</v>
      </c>
      <c r="C74" s="554"/>
      <c r="D74" s="554"/>
      <c r="E74" s="554"/>
      <c r="F74" s="554"/>
      <c r="G74" s="523"/>
      <c r="H74" s="564"/>
      <c r="I74" s="564"/>
      <c r="J74" s="564"/>
      <c r="K74" s="564"/>
      <c r="L74" s="565"/>
      <c r="M74" s="566"/>
      <c r="N74" s="1155"/>
      <c r="O74" s="1155"/>
      <c r="P74" s="2633"/>
      <c r="Q74" s="559"/>
    </row>
    <row r="75" spans="1:17" s="471" customFormat="1" ht="14.4" thickBot="1">
      <c r="A75" s="568"/>
      <c r="B75" s="569"/>
      <c r="C75" s="570"/>
      <c r="D75" s="570"/>
      <c r="E75" s="570"/>
      <c r="F75" s="570"/>
      <c r="G75" s="570"/>
      <c r="H75" s="571"/>
      <c r="I75" s="571"/>
      <c r="J75" s="571"/>
      <c r="K75" s="571"/>
      <c r="L75" s="571"/>
      <c r="M75" s="572"/>
      <c r="N75" s="1155"/>
      <c r="O75" s="1155"/>
      <c r="P75" s="2631"/>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3"/>
      <c r="O76" s="1153"/>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0"/>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3"/>
      <c r="O78" s="1153"/>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0"/>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3"/>
      <c r="O80" s="1153"/>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0"/>
      <c r="Q81" s="504"/>
    </row>
    <row r="82" spans="1:17" ht="15" thickTop="1">
      <c r="A82" s="534"/>
      <c r="B82" s="546" t="s">
        <v>2653</v>
      </c>
      <c r="C82" s="660" t="s">
        <v>2673</v>
      </c>
      <c r="D82" s="660" t="s">
        <v>2674</v>
      </c>
      <c r="E82" s="660" t="s">
        <v>2675</v>
      </c>
      <c r="F82" s="660" t="s">
        <v>2676</v>
      </c>
      <c r="G82" s="660" t="s">
        <v>2677</v>
      </c>
      <c r="H82" s="539"/>
      <c r="I82" s="539"/>
      <c r="J82" s="539"/>
      <c r="K82" s="539"/>
      <c r="L82" s="539"/>
      <c r="M82" s="1383"/>
      <c r="N82" s="1154"/>
      <c r="O82" s="1154"/>
      <c r="P82" s="2630"/>
      <c r="Q82" s="504"/>
    </row>
    <row r="83" spans="1:17" ht="14.4" thickBot="1">
      <c r="A83" s="534"/>
      <c r="B83" s="546"/>
      <c r="C83" s="544">
        <v>100</v>
      </c>
      <c r="D83" s="544">
        <f>C83-$K21</f>
        <v>100</v>
      </c>
      <c r="E83" s="544">
        <f>D83-$K21</f>
        <v>100</v>
      </c>
      <c r="F83" s="544">
        <f>E83-$K21</f>
        <v>100</v>
      </c>
      <c r="G83" s="544">
        <f>F83-$K21</f>
        <v>100</v>
      </c>
      <c r="H83" s="660"/>
      <c r="I83" s="660"/>
      <c r="J83" s="660"/>
      <c r="K83" s="660"/>
      <c r="L83" s="660"/>
      <c r="M83" s="450"/>
      <c r="N83" s="1154"/>
      <c r="O83" s="1154"/>
      <c r="P83" s="2630"/>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3"/>
      <c r="O84" s="1153"/>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0"/>
      <c r="Q85" s="504"/>
    </row>
    <row r="86" spans="1:17" s="117" customFormat="1" ht="15" thickTop="1">
      <c r="A86" s="579"/>
      <c r="B86" s="538" t="s">
        <v>2678</v>
      </c>
      <c r="C86" s="554"/>
      <c r="D86" s="554"/>
      <c r="E86" s="554"/>
      <c r="F86" s="554"/>
      <c r="G86" s="554"/>
      <c r="H86" s="554"/>
      <c r="I86" s="554"/>
      <c r="J86" s="554"/>
      <c r="K86" s="554"/>
      <c r="L86" s="580"/>
      <c r="M86" s="581"/>
      <c r="N86" s="1152"/>
      <c r="O86" s="1152"/>
      <c r="P86" s="2630"/>
      <c r="Q86" s="504"/>
    </row>
    <row r="87" spans="1:17" s="117" customFormat="1" ht="14.4"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4"/>
      <c r="O87" s="1154"/>
      <c r="P87" s="2630"/>
      <c r="Q87" s="504"/>
    </row>
    <row r="88" spans="1:17" s="117" customFormat="1" ht="14.4" thickTop="1">
      <c r="A88" s="579"/>
      <c r="B88" s="538" t="str">
        <f>B26</f>
        <v>平面位置/可视性</v>
      </c>
      <c r="C88" s="554"/>
      <c r="D88" s="554"/>
      <c r="E88" s="554"/>
      <c r="F88" s="2635"/>
      <c r="G88" s="554"/>
      <c r="H88" s="554"/>
      <c r="I88" s="554"/>
      <c r="J88" s="554"/>
      <c r="K88" s="554"/>
      <c r="L88" s="554"/>
      <c r="M88" s="581"/>
      <c r="N88" s="1152"/>
      <c r="O88" s="1152"/>
      <c r="P88" s="2630"/>
      <c r="Q88" s="504"/>
    </row>
    <row r="89" spans="1:17" s="117" customFormat="1" ht="14.4" thickBot="1">
      <c r="A89" s="579"/>
      <c r="B89" s="543"/>
      <c r="C89" s="560"/>
      <c r="D89" s="536"/>
      <c r="E89" s="536"/>
      <c r="F89" s="536"/>
      <c r="G89" s="536"/>
      <c r="H89" s="536"/>
      <c r="I89" s="536"/>
      <c r="J89" s="536"/>
      <c r="K89" s="536"/>
      <c r="L89" s="536"/>
      <c r="M89" s="536"/>
      <c r="N89" s="1154"/>
      <c r="O89" s="1154"/>
      <c r="P89" s="2630"/>
      <c r="Q89" s="504"/>
    </row>
    <row r="90" spans="1:17" s="471" customFormat="1" ht="14.4" thickTop="1">
      <c r="A90" s="553"/>
      <c r="B90" s="538" t="str">
        <f>B27</f>
        <v>人流量</v>
      </c>
      <c r="C90" s="554"/>
      <c r="D90" s="554"/>
      <c r="E90" s="554"/>
      <c r="F90" s="554"/>
      <c r="G90" s="554"/>
      <c r="H90" s="555"/>
      <c r="I90" s="555"/>
      <c r="J90" s="555"/>
      <c r="K90" s="555"/>
      <c r="L90" s="556"/>
      <c r="M90" s="557"/>
      <c r="N90" s="1155"/>
      <c r="O90" s="1155"/>
      <c r="P90" s="2631"/>
      <c r="Q90" s="559"/>
    </row>
    <row r="91" spans="1:17" s="471" customFormat="1" ht="14.4"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5"/>
      <c r="O91" s="1155"/>
      <c r="P91" s="2631"/>
      <c r="Q91" s="559"/>
    </row>
    <row r="92" spans="1:17" ht="14.4" thickTop="1">
      <c r="A92" s="534"/>
      <c r="B92" s="538" t="str">
        <f>B28</f>
        <v>楼层</v>
      </c>
      <c r="C92" s="554"/>
      <c r="D92" s="554"/>
      <c r="E92" s="554"/>
      <c r="F92" s="554"/>
      <c r="G92" s="554"/>
      <c r="H92" s="554"/>
      <c r="I92" s="554"/>
      <c r="J92" s="554"/>
      <c r="K92" s="554"/>
      <c r="L92" s="580"/>
      <c r="M92" s="581"/>
      <c r="N92" s="1153"/>
      <c r="O92" s="1153"/>
      <c r="P92" s="2630"/>
      <c r="Q92" s="504"/>
    </row>
    <row r="93" spans="1:17" ht="14.4" thickBot="1">
      <c r="A93" s="534"/>
      <c r="B93" s="543"/>
      <c r="C93" s="536"/>
      <c r="D93" s="536"/>
      <c r="E93" s="536"/>
      <c r="F93" s="536"/>
      <c r="G93" s="536"/>
      <c r="H93" s="536"/>
      <c r="I93" s="536"/>
      <c r="J93" s="536"/>
      <c r="K93" s="536"/>
      <c r="L93" s="536"/>
      <c r="M93" s="537"/>
      <c r="N93" s="1154"/>
      <c r="O93" s="1154"/>
      <c r="P93" s="2630"/>
      <c r="Q93" s="504"/>
    </row>
    <row r="94" spans="1:17" ht="14.4" thickTop="1">
      <c r="A94" s="534"/>
      <c r="B94" s="538">
        <f>B29</f>
        <v>111</v>
      </c>
      <c r="C94" s="554"/>
      <c r="D94" s="554"/>
      <c r="E94" s="554"/>
      <c r="F94" s="554"/>
      <c r="G94" s="583"/>
      <c r="H94" s="583"/>
      <c r="I94" s="583"/>
      <c r="J94" s="583"/>
      <c r="K94" s="584"/>
      <c r="L94" s="585"/>
      <c r="M94" s="586"/>
      <c r="N94" s="1153"/>
      <c r="O94" s="1153"/>
      <c r="P94" s="2630"/>
      <c r="Q94" s="504"/>
    </row>
    <row r="95" spans="1:17" ht="14.4" thickBot="1">
      <c r="A95" s="534"/>
      <c r="B95" s="543"/>
      <c r="C95" s="560"/>
      <c r="D95" s="536"/>
      <c r="E95" s="536"/>
      <c r="F95" s="536"/>
      <c r="G95" s="536"/>
      <c r="H95" s="536"/>
      <c r="I95" s="536"/>
      <c r="J95" s="536"/>
      <c r="K95" s="536"/>
      <c r="L95" s="536"/>
      <c r="M95" s="537"/>
      <c r="N95" s="1154"/>
      <c r="O95" s="1154"/>
      <c r="P95" s="2630"/>
      <c r="Q95" s="504"/>
    </row>
    <row r="96" spans="1:17" ht="14.4" thickTop="1">
      <c r="A96" s="534"/>
      <c r="B96" s="538">
        <f>B30</f>
        <v>111</v>
      </c>
      <c r="C96" s="554"/>
      <c r="D96" s="554"/>
      <c r="E96" s="554"/>
      <c r="F96" s="554"/>
      <c r="G96" s="583"/>
      <c r="H96" s="583"/>
      <c r="I96" s="583"/>
      <c r="J96" s="583"/>
      <c r="K96" s="584"/>
      <c r="L96" s="585"/>
      <c r="M96" s="586"/>
      <c r="N96" s="1153"/>
      <c r="O96" s="1153"/>
      <c r="P96" s="2630"/>
      <c r="Q96" s="504"/>
    </row>
    <row r="97" spans="1:17" ht="14.4" thickBot="1">
      <c r="A97" s="534"/>
      <c r="B97" s="543"/>
      <c r="C97" s="560"/>
      <c r="D97" s="536"/>
      <c r="E97" s="536"/>
      <c r="F97" s="536"/>
      <c r="G97" s="536"/>
      <c r="H97" s="536"/>
      <c r="I97" s="536"/>
      <c r="J97" s="536"/>
      <c r="K97" s="536"/>
      <c r="L97" s="536"/>
      <c r="M97" s="537"/>
      <c r="N97" s="1154"/>
      <c r="O97" s="1154"/>
      <c r="P97" s="2630"/>
      <c r="Q97" s="504"/>
    </row>
    <row r="98" spans="1:17" ht="14.4" thickTop="1">
      <c r="A98" s="534"/>
      <c r="B98" s="546">
        <f>B31</f>
        <v>111</v>
      </c>
      <c r="C98" s="554"/>
      <c r="D98" s="554"/>
      <c r="E98" s="554"/>
      <c r="F98" s="554"/>
      <c r="G98" s="587"/>
      <c r="H98" s="587"/>
      <c r="I98" s="587"/>
      <c r="J98" s="587"/>
      <c r="K98" s="588"/>
      <c r="L98" s="589"/>
      <c r="M98" s="590"/>
      <c r="N98" s="1153"/>
      <c r="O98" s="1153"/>
      <c r="P98" s="2630"/>
      <c r="Q98" s="504"/>
    </row>
    <row r="99" spans="1:17" ht="14.4" thickBot="1">
      <c r="A99" s="2636"/>
      <c r="B99" s="569"/>
      <c r="C99" s="570"/>
      <c r="D99" s="570"/>
      <c r="E99" s="570"/>
      <c r="F99" s="570"/>
      <c r="G99" s="591"/>
      <c r="H99" s="591"/>
      <c r="I99" s="591"/>
      <c r="J99" s="591"/>
      <c r="K99" s="591"/>
      <c r="L99" s="591"/>
      <c r="M99" s="592"/>
      <c r="N99" s="1154"/>
      <c r="O99" s="1154"/>
      <c r="P99" s="2630"/>
      <c r="Q99" s="504"/>
    </row>
    <row r="100" spans="1:17" ht="14.4">
      <c r="A100" s="527" t="s">
        <v>2561</v>
      </c>
      <c r="B100" s="528" t="s">
        <v>2679</v>
      </c>
      <c r="C100" s="530"/>
      <c r="D100" s="530"/>
      <c r="E100" s="530"/>
      <c r="F100" s="530"/>
      <c r="G100" s="530"/>
      <c r="H100" s="530"/>
      <c r="I100" s="530"/>
      <c r="J100" s="530"/>
      <c r="K100" s="531"/>
      <c r="L100" s="532"/>
      <c r="M100" s="533"/>
      <c r="N100" s="1153"/>
      <c r="O100" s="1153"/>
      <c r="P100" s="2630"/>
      <c r="Q100" s="504"/>
    </row>
    <row r="101" spans="1:17" ht="14.4"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4"/>
      <c r="O101" s="1154"/>
      <c r="P101" s="2630"/>
      <c r="Q101" s="504"/>
    </row>
    <row r="102" spans="1:17" ht="15"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2"/>
      <c r="O102" s="1152"/>
      <c r="P102" s="2630"/>
      <c r="Q102" s="504"/>
    </row>
    <row r="103" spans="1:17" s="471" customFormat="1">
      <c r="A103" s="593"/>
      <c r="B103" s="594"/>
      <c r="C103" s="595"/>
      <c r="D103" s="595"/>
      <c r="E103" s="595"/>
      <c r="F103" s="595"/>
      <c r="G103" s="595"/>
      <c r="H103" s="595"/>
      <c r="I103" s="595"/>
      <c r="J103" s="596"/>
      <c r="K103" s="596"/>
      <c r="L103" s="597"/>
      <c r="M103" s="598"/>
      <c r="N103" s="1155"/>
      <c r="O103" s="1155"/>
      <c r="P103" s="2631"/>
      <c r="Q103" s="559"/>
    </row>
    <row r="104" spans="1:17" s="471" customFormat="1" ht="14.4" thickBot="1">
      <c r="A104" s="553"/>
      <c r="B104" s="543"/>
      <c r="C104" s="560"/>
      <c r="D104" s="536"/>
      <c r="E104" s="536"/>
      <c r="F104" s="536"/>
      <c r="G104" s="536"/>
      <c r="H104" s="536"/>
      <c r="I104" s="536"/>
      <c r="J104" s="536"/>
      <c r="K104" s="536"/>
      <c r="L104" s="536"/>
      <c r="M104" s="537"/>
      <c r="N104" s="1154"/>
      <c r="O104" s="1154"/>
      <c r="P104" s="2631"/>
      <c r="Q104" s="559"/>
    </row>
    <row r="105" spans="1:17" ht="15" thickTop="1">
      <c r="A105" s="599"/>
      <c r="B105" s="538" t="s">
        <v>2612</v>
      </c>
      <c r="C105" s="554"/>
      <c r="D105" s="554"/>
      <c r="E105" s="583"/>
      <c r="F105" s="583"/>
      <c r="G105" s="583"/>
      <c r="H105" s="583"/>
      <c r="I105" s="583"/>
      <c r="J105" s="583"/>
      <c r="K105" s="584"/>
      <c r="L105" s="585"/>
      <c r="M105" s="586"/>
      <c r="N105" s="1153"/>
      <c r="O105" s="1153"/>
      <c r="P105" s="2630"/>
      <c r="Q105" s="504"/>
    </row>
    <row r="106" spans="1:17" ht="14.4"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4"/>
      <c r="O106" s="1154"/>
      <c r="P106" s="2630"/>
      <c r="Q106" s="504"/>
    </row>
    <row r="107" spans="1:17" ht="15" thickTop="1">
      <c r="A107" s="599"/>
      <c r="B107" s="538" t="s">
        <v>2614</v>
      </c>
      <c r="C107" s="554"/>
      <c r="D107" s="554"/>
      <c r="E107" s="554"/>
      <c r="F107" s="583"/>
      <c r="G107" s="583"/>
      <c r="H107" s="583"/>
      <c r="I107" s="583"/>
      <c r="J107" s="583"/>
      <c r="K107" s="584"/>
      <c r="L107" s="585"/>
      <c r="M107" s="586"/>
      <c r="N107" s="1153"/>
      <c r="O107" s="1153"/>
      <c r="P107" s="2630"/>
      <c r="Q107" s="504"/>
    </row>
    <row r="108" spans="1:17" ht="14.4"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4"/>
      <c r="O108" s="1154"/>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0"/>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0"/>
      <c r="Q110" s="504"/>
    </row>
    <row r="111" spans="1:17" ht="14.4"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4"/>
      <c r="O111" s="1154"/>
      <c r="P111" s="2630"/>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31"/>
      <c r="Q112" s="559"/>
    </row>
    <row r="113" spans="1:17" s="471" customFormat="1" ht="14.4"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5"/>
      <c r="O113" s="1155"/>
      <c r="P113" s="2631"/>
      <c r="Q113" s="559"/>
    </row>
    <row r="114" spans="1:17" ht="15" thickTop="1">
      <c r="A114" s="599"/>
      <c r="B114" s="538" t="s">
        <v>2680</v>
      </c>
      <c r="C114" s="554"/>
      <c r="D114" s="554"/>
      <c r="E114" s="583"/>
      <c r="F114" s="583"/>
      <c r="G114" s="583"/>
      <c r="H114" s="583"/>
      <c r="I114" s="583"/>
      <c r="J114" s="583"/>
      <c r="K114" s="584"/>
      <c r="L114" s="585"/>
      <c r="M114" s="586"/>
      <c r="N114" s="1153"/>
      <c r="O114" s="1153"/>
      <c r="P114" s="2630"/>
      <c r="Q114" s="504"/>
    </row>
    <row r="115" spans="1:17" ht="14.4"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4"/>
      <c r="O115" s="1154"/>
      <c r="P115" s="2630"/>
      <c r="Q115" s="504"/>
    </row>
    <row r="116" spans="1:17" ht="15" thickTop="1">
      <c r="A116" s="599"/>
      <c r="B116" s="538" t="s">
        <v>2681</v>
      </c>
      <c r="C116" s="554"/>
      <c r="D116" s="554"/>
      <c r="E116" s="554"/>
      <c r="F116" s="554"/>
      <c r="G116" s="554"/>
      <c r="H116" s="583"/>
      <c r="I116" s="583"/>
      <c r="J116" s="583"/>
      <c r="K116" s="584"/>
      <c r="L116" s="585"/>
      <c r="M116" s="586"/>
      <c r="N116" s="1153"/>
      <c r="O116" s="1153"/>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0"/>
      <c r="Q117" s="504"/>
    </row>
    <row r="118" spans="1:17" ht="15" thickTop="1">
      <c r="A118" s="599"/>
      <c r="B118" s="538" t="s">
        <v>2682</v>
      </c>
      <c r="C118" s="627"/>
      <c r="D118" s="627"/>
      <c r="E118" s="627"/>
      <c r="F118" s="627"/>
      <c r="G118" s="627"/>
      <c r="H118" s="555"/>
      <c r="I118" s="555"/>
      <c r="J118" s="555"/>
      <c r="K118" s="555"/>
      <c r="L118" s="556"/>
      <c r="M118" s="557"/>
      <c r="N118" s="1153"/>
      <c r="O118" s="1153"/>
      <c r="P118" s="2630"/>
      <c r="Q118" s="504"/>
    </row>
    <row r="119" spans="1:17" ht="14.4" thickBot="1">
      <c r="A119" s="534"/>
      <c r="B119" s="543"/>
      <c r="C119" s="560"/>
      <c r="D119" s="536"/>
      <c r="E119" s="536"/>
      <c r="F119" s="536"/>
      <c r="G119" s="536"/>
      <c r="H119" s="536"/>
      <c r="I119" s="536"/>
      <c r="J119" s="536"/>
      <c r="K119" s="536"/>
      <c r="L119" s="536"/>
      <c r="M119" s="537"/>
      <c r="N119" s="1154"/>
      <c r="O119" s="1154"/>
      <c r="P119" s="2630"/>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31"/>
      <c r="Q120" s="559"/>
    </row>
    <row r="121" spans="1:17" s="471" customFormat="1" ht="14.4"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5"/>
      <c r="O121" s="1155"/>
      <c r="P121" s="2631"/>
      <c r="Q121" s="559"/>
    </row>
    <row r="122" spans="1:17" ht="15" thickTop="1">
      <c r="A122" s="599"/>
      <c r="B122" s="538" t="s">
        <v>2618</v>
      </c>
      <c r="C122" s="554"/>
      <c r="D122" s="554"/>
      <c r="E122" s="554"/>
      <c r="F122" s="583"/>
      <c r="G122" s="583"/>
      <c r="H122" s="583"/>
      <c r="I122" s="583"/>
      <c r="J122" s="583"/>
      <c r="K122" s="584"/>
      <c r="L122" s="585"/>
      <c r="M122" s="586"/>
      <c r="N122" s="1153"/>
      <c r="O122" s="1153"/>
      <c r="P122" s="2630"/>
      <c r="Q122" s="504"/>
    </row>
    <row r="123" spans="1:17" ht="14.4"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4"/>
      <c r="O123" s="1154"/>
      <c r="P123" s="2630"/>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5"/>
      <c r="O126" s="1155"/>
      <c r="P126" s="2631"/>
      <c r="Q126" s="559"/>
    </row>
    <row r="127" spans="1:17" s="471" customFormat="1" ht="14.4" thickBot="1">
      <c r="A127" s="553"/>
      <c r="B127" s="543"/>
      <c r="C127" s="560"/>
      <c r="D127" s="536"/>
      <c r="E127" s="536"/>
      <c r="F127" s="536"/>
      <c r="G127" s="560"/>
      <c r="H127" s="562"/>
      <c r="I127" s="562"/>
      <c r="J127" s="562"/>
      <c r="K127" s="562"/>
      <c r="L127" s="562"/>
      <c r="M127" s="563"/>
      <c r="N127" s="1155"/>
      <c r="O127" s="1155"/>
      <c r="P127" s="2631"/>
      <c r="Q127" s="559"/>
    </row>
    <row r="128" spans="1:17" ht="14.4" thickTop="1">
      <c r="A128" s="599"/>
      <c r="B128" s="538">
        <f>B45</f>
        <v>111</v>
      </c>
      <c r="C128" s="554"/>
      <c r="D128" s="554"/>
      <c r="E128" s="554"/>
      <c r="F128" s="554"/>
      <c r="G128" s="583"/>
      <c r="H128" s="583"/>
      <c r="I128" s="583"/>
      <c r="J128" s="583"/>
      <c r="K128" s="584"/>
      <c r="L128" s="585"/>
      <c r="M128" s="586"/>
      <c r="N128" s="1153"/>
      <c r="O128" s="1153"/>
      <c r="P128" s="2630"/>
      <c r="Q128" s="504"/>
    </row>
    <row r="129" spans="1:17" ht="14.4" thickBot="1">
      <c r="A129" s="534"/>
      <c r="B129" s="543"/>
      <c r="C129" s="560"/>
      <c r="D129" s="536"/>
      <c r="E129" s="536"/>
      <c r="F129" s="536"/>
      <c r="G129" s="536"/>
      <c r="H129" s="536"/>
      <c r="I129" s="536"/>
      <c r="J129" s="536"/>
      <c r="K129" s="536"/>
      <c r="L129" s="536"/>
      <c r="M129" s="537"/>
      <c r="N129" s="1154"/>
      <c r="O129" s="1154"/>
      <c r="P129" s="2630"/>
      <c r="Q129" s="504"/>
    </row>
    <row r="130" spans="1:17" ht="14.4" thickTop="1">
      <c r="A130" s="599"/>
      <c r="B130" s="546">
        <f>B46</f>
        <v>111</v>
      </c>
      <c r="C130" s="554"/>
      <c r="D130" s="554"/>
      <c r="E130" s="554"/>
      <c r="F130" s="554"/>
      <c r="G130" s="587"/>
      <c r="H130" s="587"/>
      <c r="I130" s="587"/>
      <c r="J130" s="587"/>
      <c r="K130" s="523"/>
      <c r="L130" s="524"/>
      <c r="M130" s="590"/>
      <c r="N130" s="1153"/>
      <c r="O130" s="1153"/>
      <c r="P130" s="2630"/>
      <c r="Q130" s="504"/>
    </row>
    <row r="131" spans="1:17" ht="14.4" thickBot="1">
      <c r="A131" s="2636"/>
      <c r="B131" s="569"/>
      <c r="C131" s="570"/>
      <c r="D131" s="570"/>
      <c r="E131" s="570"/>
      <c r="F131" s="570"/>
      <c r="G131" s="591"/>
      <c r="H131" s="591"/>
      <c r="I131" s="591"/>
      <c r="J131" s="591"/>
      <c r="K131" s="591"/>
      <c r="L131" s="591"/>
      <c r="M131" s="592"/>
      <c r="N131" s="1154"/>
      <c r="O131" s="1154"/>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669" t="s">
        <v>2684</v>
      </c>
      <c r="C1" s="1621" t="s">
        <v>2528</v>
      </c>
      <c r="D1" s="1622"/>
      <c r="E1" s="1631"/>
      <c r="F1" s="2584"/>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IF(C2="——",ROUND(C50*D3/10000,0),ROUND(C50*D3/10000,0)-D2)</f>
        <v>#DIV/0!</v>
      </c>
      <c r="C2" s="2586"/>
      <c r="D2" s="1366" t="e">
        <f ca="1">SUMIF(INDIRECT("'"&amp;F2&amp;"'"&amp;"!A:A"),"承租人权益价值",INDIRECT("'"&amp;F2&amp;"'"&amp;"!c:c"))</f>
        <v>#REF!</v>
      </c>
      <c r="E2" s="2587" t="s">
        <v>2326</v>
      </c>
      <c r="F2" s="2588"/>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50120.32</v>
      </c>
      <c r="E3" s="2663"/>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4.4">
      <c r="A4" s="401" t="s">
        <v>2643</v>
      </c>
      <c r="B4" s="402"/>
      <c r="C4" s="3607" t="s">
        <v>2644</v>
      </c>
      <c r="D4" s="3608"/>
      <c r="E4" s="3609" t="s">
        <v>2645</v>
      </c>
      <c r="F4" s="3610"/>
      <c r="G4" s="3607" t="s">
        <v>2646</v>
      </c>
      <c r="H4" s="3608"/>
      <c r="I4" s="3607" t="s">
        <v>2647</v>
      </c>
      <c r="J4" s="3608"/>
      <c r="K4" s="610" t="s">
        <v>2648</v>
      </c>
      <c r="L4" s="1131"/>
      <c r="M4" s="1132"/>
      <c r="N4" s="1132"/>
      <c r="O4" s="1132"/>
      <c r="P4" s="3641" t="s">
        <v>2649</v>
      </c>
      <c r="Q4" s="3642"/>
      <c r="R4" s="3636" t="s">
        <v>2645</v>
      </c>
      <c r="S4" s="3637"/>
      <c r="T4" s="3636" t="s">
        <v>2646</v>
      </c>
      <c r="U4" s="3637"/>
      <c r="V4" s="3645" t="s">
        <v>2647</v>
      </c>
      <c r="W4" s="3645"/>
      <c r="X4" s="2670"/>
      <c r="Y4" s="3636" t="s">
        <v>2649</v>
      </c>
      <c r="Z4" s="3637"/>
      <c r="AA4" s="3635" t="s">
        <v>2645</v>
      </c>
      <c r="AB4" s="3635" t="s">
        <v>2646</v>
      </c>
      <c r="AC4" s="3638" t="s">
        <v>2647</v>
      </c>
    </row>
    <row r="5" spans="1:29">
      <c r="A5" s="404"/>
      <c r="B5" s="405"/>
      <c r="C5" s="3600" t="s">
        <v>2540</v>
      </c>
      <c r="D5" s="3601"/>
      <c r="E5" s="3598" t="s">
        <v>2541</v>
      </c>
      <c r="F5" s="3599"/>
      <c r="G5" s="3600" t="s">
        <v>2542</v>
      </c>
      <c r="H5" s="3601"/>
      <c r="I5" s="3600" t="s">
        <v>2543</v>
      </c>
      <c r="J5" s="3601"/>
      <c r="K5" s="610"/>
      <c r="L5" s="1131"/>
      <c r="M5" s="1132"/>
      <c r="N5" s="1132"/>
      <c r="O5" s="1132"/>
      <c r="P5" s="3643"/>
      <c r="Q5" s="3614"/>
      <c r="R5" s="3596"/>
      <c r="S5" s="3597"/>
      <c r="T5" s="3596"/>
      <c r="U5" s="3597"/>
      <c r="V5" s="3619"/>
      <c r="W5" s="3619"/>
      <c r="X5" s="1814"/>
      <c r="Y5" s="3596"/>
      <c r="Z5" s="3597"/>
      <c r="AA5" s="3590"/>
      <c r="AB5" s="3590"/>
      <c r="AC5" s="3639"/>
    </row>
    <row r="6" spans="1:29" ht="15" thickBot="1">
      <c r="A6" s="406"/>
      <c r="B6" s="407"/>
      <c r="C6" s="3602" t="s">
        <v>2544</v>
      </c>
      <c r="D6" s="3603"/>
      <c r="E6" s="3604" t="s">
        <v>2544</v>
      </c>
      <c r="F6" s="3605"/>
      <c r="G6" s="3602" t="s">
        <v>2544</v>
      </c>
      <c r="H6" s="3603"/>
      <c r="I6" s="3602" t="s">
        <v>2544</v>
      </c>
      <c r="J6" s="3603"/>
      <c r="K6" s="610" t="s">
        <v>2545</v>
      </c>
      <c r="L6" s="1131"/>
      <c r="M6" s="1132"/>
      <c r="N6" s="1132"/>
      <c r="O6" s="1132"/>
      <c r="P6" s="3644"/>
      <c r="Q6" s="3616"/>
      <c r="R6" s="3596"/>
      <c r="S6" s="3597"/>
      <c r="T6" s="3617"/>
      <c r="U6" s="3618"/>
      <c r="V6" s="3619"/>
      <c r="W6" s="3619"/>
      <c r="X6" s="1814"/>
      <c r="Y6" s="3617"/>
      <c r="Z6" s="3618"/>
      <c r="AA6" s="3591"/>
      <c r="AB6" s="3591"/>
      <c r="AC6" s="3640"/>
    </row>
    <row r="7" spans="1:29" s="117" customFormat="1" ht="15" thickBot="1">
      <c r="A7" s="408" t="s">
        <v>2546</v>
      </c>
      <c r="B7" s="409"/>
      <c r="C7" s="410">
        <f>'数据-取费表'!B2</f>
        <v>43458</v>
      </c>
      <c r="D7" s="411">
        <v>100</v>
      </c>
      <c r="E7" s="412"/>
      <c r="F7" s="413">
        <f>SUMIF(59:59,YEAR(E7)&amp;"-"&amp;MONTH(E7),60:60)</f>
        <v>0</v>
      </c>
      <c r="G7" s="412"/>
      <c r="H7" s="411">
        <f>SUMIF(59:59,YEAR(G7)&amp;"-"&amp;MONTH(G7),60:60)</f>
        <v>0</v>
      </c>
      <c r="I7" s="412"/>
      <c r="J7" s="411">
        <f>SUMIF(59:59,YEAR(I7)&amp;"-"&amp;MONTH(I7),60:60)</f>
        <v>0</v>
      </c>
      <c r="K7" s="611"/>
      <c r="L7" s="1133"/>
      <c r="M7" s="1134"/>
      <c r="N7" s="1134"/>
      <c r="O7" s="1134"/>
      <c r="P7" s="3646" t="s">
        <v>2547</v>
      </c>
      <c r="Q7" s="3620"/>
      <c r="R7" s="770" t="s">
        <v>17</v>
      </c>
      <c r="S7" s="771">
        <f t="shared" ref="S7:S15" si="0">F7</f>
        <v>0</v>
      </c>
      <c r="T7" s="770" t="s">
        <v>17</v>
      </c>
      <c r="U7" s="771">
        <f t="shared" ref="U7:U15" si="1">H7</f>
        <v>0</v>
      </c>
      <c r="V7" s="770" t="s">
        <v>17</v>
      </c>
      <c r="W7" s="771">
        <f t="shared" ref="W7:W15" si="2">J7</f>
        <v>0</v>
      </c>
      <c r="X7" s="772"/>
      <c r="Y7" s="3592" t="s">
        <v>2547</v>
      </c>
      <c r="Z7" s="3593"/>
      <c r="AA7" s="773" t="e">
        <f>D7/F7</f>
        <v>#DIV/0!</v>
      </c>
      <c r="AB7" s="773" t="e">
        <f>D7/H7</f>
        <v>#DIV/0!</v>
      </c>
      <c r="AC7" s="2671"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646" t="s">
        <v>2550</v>
      </c>
      <c r="Q8" s="3593"/>
      <c r="R8" s="770" t="s">
        <v>17</v>
      </c>
      <c r="S8" s="771">
        <f t="shared" si="0"/>
        <v>0</v>
      </c>
      <c r="T8" s="770" t="s">
        <v>17</v>
      </c>
      <c r="U8" s="771">
        <f t="shared" si="1"/>
        <v>0</v>
      </c>
      <c r="V8" s="770" t="s">
        <v>17</v>
      </c>
      <c r="W8" s="771">
        <f t="shared" si="2"/>
        <v>0</v>
      </c>
      <c r="X8" s="772"/>
      <c r="Y8" s="3592" t="s">
        <v>2550</v>
      </c>
      <c r="Z8" s="3593"/>
      <c r="AA8" s="773" t="e">
        <f t="shared" ref="AA8:AA47" si="3">D8/F8</f>
        <v>#DIV/0!</v>
      </c>
      <c r="AB8" s="773" t="e">
        <f t="shared" ref="AB8:AB47" si="4">D8/H8</f>
        <v>#DIV/0!</v>
      </c>
      <c r="AC8" s="2671"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606" t="s">
        <v>2553</v>
      </c>
      <c r="Q9" s="1796" t="str">
        <f t="shared" ref="Q9:Q15" si="6">B9</f>
        <v>用途</v>
      </c>
      <c r="R9" s="770" t="s">
        <v>17</v>
      </c>
      <c r="S9" s="771">
        <f t="shared" si="0"/>
        <v>100</v>
      </c>
      <c r="T9" s="770" t="s">
        <v>17</v>
      </c>
      <c r="U9" s="771">
        <f t="shared" si="1"/>
        <v>100</v>
      </c>
      <c r="V9" s="770" t="s">
        <v>17</v>
      </c>
      <c r="W9" s="771">
        <f t="shared" si="2"/>
        <v>100</v>
      </c>
      <c r="X9" s="772"/>
      <c r="Y9" s="3439" t="s">
        <v>2554</v>
      </c>
      <c r="Z9" s="55" t="str">
        <f t="shared" ref="Z9:Z15" si="7">Q9</f>
        <v>用途</v>
      </c>
      <c r="AA9" s="773">
        <f t="shared" si="3"/>
        <v>1</v>
      </c>
      <c r="AB9" s="773">
        <f t="shared" si="4"/>
        <v>1</v>
      </c>
      <c r="AC9" s="2671">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606"/>
      <c r="Q10" s="1796" t="str">
        <f t="shared" si="6"/>
        <v>土地使用年限（年）</v>
      </c>
      <c r="R10" s="770" t="s">
        <v>17</v>
      </c>
      <c r="S10" s="771">
        <f t="shared" si="0"/>
        <v>100</v>
      </c>
      <c r="T10" s="770" t="s">
        <v>17</v>
      </c>
      <c r="U10" s="771">
        <f t="shared" si="1"/>
        <v>100</v>
      </c>
      <c r="V10" s="770" t="s">
        <v>17</v>
      </c>
      <c r="W10" s="771">
        <f t="shared" si="2"/>
        <v>100</v>
      </c>
      <c r="X10" s="772"/>
      <c r="Y10" s="3439"/>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606"/>
      <c r="Q11" s="1796" t="str">
        <f t="shared" si="6"/>
        <v>容积率</v>
      </c>
      <c r="R11" s="770" t="s">
        <v>17</v>
      </c>
      <c r="S11" s="771" t="e">
        <f t="shared" si="0"/>
        <v>#N/A</v>
      </c>
      <c r="T11" s="770" t="s">
        <v>17</v>
      </c>
      <c r="U11" s="771" t="e">
        <f t="shared" si="1"/>
        <v>#N/A</v>
      </c>
      <c r="V11" s="770" t="s">
        <v>17</v>
      </c>
      <c r="W11" s="771" t="e">
        <f t="shared" si="2"/>
        <v>#N/A</v>
      </c>
      <c r="X11" s="772"/>
      <c r="Y11" s="343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3"/>
      <c r="M12" s="1134"/>
      <c r="N12" s="1134"/>
      <c r="O12" s="1134"/>
      <c r="P12" s="3606"/>
      <c r="Q12" s="1796">
        <f t="shared" si="6"/>
        <v>111</v>
      </c>
      <c r="R12" s="770" t="s">
        <v>17</v>
      </c>
      <c r="S12" s="771">
        <f t="shared" si="0"/>
        <v>100</v>
      </c>
      <c r="T12" s="770" t="s">
        <v>17</v>
      </c>
      <c r="U12" s="771">
        <f t="shared" si="1"/>
        <v>100</v>
      </c>
      <c r="V12" s="770" t="s">
        <v>17</v>
      </c>
      <c r="W12" s="771">
        <f t="shared" si="2"/>
        <v>100</v>
      </c>
      <c r="X12" s="772"/>
      <c r="Y12" s="343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1"/>
      <c r="M13" s="1132"/>
      <c r="N13" s="1132"/>
      <c r="O13" s="1132"/>
      <c r="P13" s="3606"/>
      <c r="Q13" s="1796">
        <f t="shared" si="6"/>
        <v>111</v>
      </c>
      <c r="R13" s="770" t="s">
        <v>17</v>
      </c>
      <c r="S13" s="771">
        <f t="shared" si="0"/>
        <v>100</v>
      </c>
      <c r="T13" s="770" t="s">
        <v>17</v>
      </c>
      <c r="U13" s="771">
        <f t="shared" si="1"/>
        <v>100</v>
      </c>
      <c r="V13" s="770" t="s">
        <v>17</v>
      </c>
      <c r="W13" s="771">
        <f t="shared" si="2"/>
        <v>100</v>
      </c>
      <c r="X13" s="772"/>
      <c r="Y13" s="3439"/>
      <c r="Z13" s="55">
        <f t="shared" si="7"/>
        <v>111</v>
      </c>
      <c r="AA13" s="773">
        <f t="shared" si="3"/>
        <v>1</v>
      </c>
      <c r="AB13" s="773">
        <f t="shared" si="4"/>
        <v>1</v>
      </c>
      <c r="AC13" s="2671">
        <f t="shared" si="5"/>
        <v>1</v>
      </c>
    </row>
    <row r="14" spans="1:29" ht="15.6"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1"/>
      <c r="M14" s="1132"/>
      <c r="N14" s="1132"/>
      <c r="O14" s="1132"/>
      <c r="P14" s="3606"/>
      <c r="Q14" s="1796">
        <f t="shared" si="6"/>
        <v>111</v>
      </c>
      <c r="R14" s="770" t="s">
        <v>17</v>
      </c>
      <c r="S14" s="771">
        <f t="shared" si="0"/>
        <v>100</v>
      </c>
      <c r="T14" s="770" t="s">
        <v>17</v>
      </c>
      <c r="U14" s="771">
        <f t="shared" si="1"/>
        <v>100</v>
      </c>
      <c r="V14" s="770" t="s">
        <v>17</v>
      </c>
      <c r="W14" s="771">
        <f t="shared" si="2"/>
        <v>100</v>
      </c>
      <c r="X14" s="772"/>
      <c r="Y14" s="3439"/>
      <c r="Z14" s="55">
        <f t="shared" si="7"/>
        <v>111</v>
      </c>
      <c r="AA14" s="773">
        <f t="shared" si="3"/>
        <v>1</v>
      </c>
      <c r="AB14" s="773">
        <f t="shared" si="4"/>
        <v>1</v>
      </c>
      <c r="AC14" s="2671">
        <f t="shared" si="5"/>
        <v>1</v>
      </c>
    </row>
    <row r="15" spans="1:29" ht="82.8">
      <c r="A15" s="440" t="s">
        <v>2557</v>
      </c>
      <c r="B15" s="629" t="s">
        <v>2685</v>
      </c>
      <c r="C15" s="2673" t="str">
        <f>估价对象房地状况!C5</f>
        <v>估价对象位于东直门商圈，周边办公楼项目较多，入驻率高，办公集聚程度较好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633" t="s">
        <v>2558</v>
      </c>
      <c r="Q15" s="1811" t="str">
        <f t="shared" si="6"/>
        <v>办公集聚程度</v>
      </c>
      <c r="R15" s="774" t="s">
        <v>17</v>
      </c>
      <c r="S15" s="775">
        <f t="shared" si="0"/>
        <v>100</v>
      </c>
      <c r="T15" s="774" t="s">
        <v>17</v>
      </c>
      <c r="U15" s="775">
        <f t="shared" si="1"/>
        <v>100</v>
      </c>
      <c r="V15" s="774" t="s">
        <v>17</v>
      </c>
      <c r="W15" s="775">
        <f t="shared" si="2"/>
        <v>100</v>
      </c>
      <c r="X15" s="1814"/>
      <c r="Y15" s="3626" t="s">
        <v>2558</v>
      </c>
      <c r="Z15" s="1815" t="str">
        <f t="shared" si="7"/>
        <v>办公集聚程度</v>
      </c>
      <c r="AA15" s="1812">
        <f t="shared" si="3"/>
        <v>1</v>
      </c>
      <c r="AB15" s="1812">
        <f t="shared" si="4"/>
        <v>1</v>
      </c>
      <c r="AC15" s="2674">
        <f t="shared" si="5"/>
        <v>1</v>
      </c>
    </row>
    <row r="16" spans="1:29" ht="15">
      <c r="A16" s="428"/>
      <c r="B16" s="630"/>
      <c r="C16" s="2611"/>
      <c r="D16" s="448"/>
      <c r="E16" s="447"/>
      <c r="F16" s="448"/>
      <c r="G16" s="2611"/>
      <c r="H16" s="450"/>
      <c r="I16" s="447"/>
      <c r="J16" s="448"/>
      <c r="K16" s="615"/>
      <c r="L16" s="1141"/>
      <c r="M16" s="1132"/>
      <c r="N16" s="1132"/>
      <c r="O16" s="1132"/>
      <c r="P16" s="3634"/>
      <c r="Q16" s="1811"/>
      <c r="R16" s="774"/>
      <c r="S16" s="775"/>
      <c r="T16" s="774"/>
      <c r="U16" s="775"/>
      <c r="V16" s="774"/>
      <c r="W16" s="775"/>
      <c r="X16" s="1814"/>
      <c r="Y16" s="3627"/>
      <c r="Z16" s="1815"/>
      <c r="AA16" s="1812">
        <v>1</v>
      </c>
      <c r="AB16" s="1812">
        <v>1</v>
      </c>
      <c r="AC16" s="2674">
        <v>1</v>
      </c>
    </row>
    <row r="17" spans="1:29" ht="165.6">
      <c r="A17" s="428"/>
      <c r="B17" s="631" t="s">
        <v>2095</v>
      </c>
      <c r="C17" s="2675" t="str">
        <f>估价对象房地状况!C6</f>
        <v>估价对象周边道路状况较好（机场高速、香河园路）、公共交通较通达（2、机场线东直门站，18路、916路香河园路，359、915路东直门外站）、停车便捷程度，综合评价交通便捷度较好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634"/>
      <c r="Q17" s="1811" t="str">
        <f>B17</f>
        <v>交通便捷度</v>
      </c>
      <c r="R17" s="774" t="s">
        <v>17</v>
      </c>
      <c r="S17" s="775">
        <f>F17</f>
        <v>100</v>
      </c>
      <c r="T17" s="774" t="s">
        <v>17</v>
      </c>
      <c r="U17" s="775">
        <f>H17</f>
        <v>100</v>
      </c>
      <c r="V17" s="774" t="s">
        <v>17</v>
      </c>
      <c r="W17" s="775">
        <f>J17</f>
        <v>100</v>
      </c>
      <c r="X17" s="1814"/>
      <c r="Y17" s="3627"/>
      <c r="Z17" s="1815" t="str">
        <f>Q17</f>
        <v>交通便捷度</v>
      </c>
      <c r="AA17" s="1812">
        <f t="shared" si="3"/>
        <v>1</v>
      </c>
      <c r="AB17" s="1812">
        <f t="shared" si="4"/>
        <v>1</v>
      </c>
      <c r="AC17" s="2674">
        <f t="shared" si="5"/>
        <v>1</v>
      </c>
    </row>
    <row r="18" spans="1:29" ht="15">
      <c r="A18" s="428"/>
      <c r="B18" s="632"/>
      <c r="C18" s="2676"/>
      <c r="D18" s="450"/>
      <c r="E18" s="2609"/>
      <c r="F18" s="450"/>
      <c r="G18" s="2610"/>
      <c r="H18" s="448"/>
      <c r="I18" s="2610"/>
      <c r="J18" s="448"/>
      <c r="K18" s="615"/>
      <c r="L18" s="1141"/>
      <c r="M18" s="1132"/>
      <c r="N18" s="1132"/>
      <c r="O18" s="1132"/>
      <c r="P18" s="3634"/>
      <c r="Q18" s="1811"/>
      <c r="R18" s="774"/>
      <c r="S18" s="775"/>
      <c r="T18" s="774"/>
      <c r="U18" s="775"/>
      <c r="V18" s="774"/>
      <c r="W18" s="775"/>
      <c r="X18" s="1814"/>
      <c r="Y18" s="3627"/>
      <c r="Z18" s="1815"/>
      <c r="AA18" s="1812">
        <v>1</v>
      </c>
      <c r="AB18" s="1812">
        <v>1</v>
      </c>
      <c r="AC18" s="2674">
        <v>1</v>
      </c>
    </row>
    <row r="19" spans="1:29" ht="41.4">
      <c r="A19" s="428"/>
      <c r="B19" s="631" t="s">
        <v>2686</v>
      </c>
      <c r="C19" s="2675" t="str">
        <f>估价对象房地状况!C7</f>
        <v>估价对象所在区域公共配套设施齐备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634"/>
      <c r="Q19" s="1811" t="str">
        <f>B19</f>
        <v>公共配套设施</v>
      </c>
      <c r="R19" s="774" t="s">
        <v>17</v>
      </c>
      <c r="S19" s="775">
        <f>F19</f>
        <v>100</v>
      </c>
      <c r="T19" s="774" t="s">
        <v>17</v>
      </c>
      <c r="U19" s="775">
        <f>H19</f>
        <v>100</v>
      </c>
      <c r="V19" s="774" t="s">
        <v>17</v>
      </c>
      <c r="W19" s="775">
        <f>J19</f>
        <v>100</v>
      </c>
      <c r="X19" s="1814"/>
      <c r="Y19" s="3627"/>
      <c r="Z19" s="1815" t="str">
        <f>Q19</f>
        <v>公共配套设施</v>
      </c>
      <c r="AA19" s="1812">
        <f t="shared" si="3"/>
        <v>1</v>
      </c>
      <c r="AB19" s="1812">
        <f t="shared" si="4"/>
        <v>1</v>
      </c>
      <c r="AC19" s="2674">
        <f t="shared" si="5"/>
        <v>1</v>
      </c>
    </row>
    <row r="20" spans="1:29" ht="15">
      <c r="A20" s="428"/>
      <c r="B20" s="632"/>
      <c r="C20" s="2611"/>
      <c r="D20" s="448"/>
      <c r="E20" s="2604"/>
      <c r="F20" s="448"/>
      <c r="G20" s="2605"/>
      <c r="H20" s="448"/>
      <c r="I20" s="2605"/>
      <c r="J20" s="448"/>
      <c r="K20" s="615"/>
      <c r="L20" s="1141"/>
      <c r="M20" s="1132"/>
      <c r="N20" s="1132"/>
      <c r="O20" s="1132"/>
      <c r="P20" s="3634"/>
      <c r="Q20" s="1811"/>
      <c r="R20" s="774"/>
      <c r="S20" s="775"/>
      <c r="T20" s="774"/>
      <c r="U20" s="775"/>
      <c r="V20" s="774"/>
      <c r="W20" s="775"/>
      <c r="X20" s="1814"/>
      <c r="Y20" s="3627"/>
      <c r="Z20" s="1815"/>
      <c r="AA20" s="1812">
        <v>1</v>
      </c>
      <c r="AB20" s="1812">
        <v>1</v>
      </c>
      <c r="AC20" s="2674">
        <v>1</v>
      </c>
    </row>
    <row r="21" spans="1:29" ht="41.4">
      <c r="A21" s="428"/>
      <c r="B21" s="633" t="s">
        <v>2687</v>
      </c>
      <c r="C21" s="2675" t="str">
        <f>估价对象房地状况!C8</f>
        <v>估价对象所在区域基础设施水平较高</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634"/>
      <c r="Q21" s="1811" t="str">
        <f>B21</f>
        <v>基础设施水平</v>
      </c>
      <c r="R21" s="774" t="s">
        <v>17</v>
      </c>
      <c r="S21" s="775">
        <f>F21</f>
        <v>100</v>
      </c>
      <c r="T21" s="774" t="s">
        <v>17</v>
      </c>
      <c r="U21" s="775">
        <f>H21</f>
        <v>100</v>
      </c>
      <c r="V21" s="774" t="s">
        <v>17</v>
      </c>
      <c r="W21" s="775">
        <f>J21</f>
        <v>100</v>
      </c>
      <c r="X21" s="1814"/>
      <c r="Y21" s="3627"/>
      <c r="Z21" s="1815" t="str">
        <f>Q21</f>
        <v>基础设施水平</v>
      </c>
      <c r="AA21" s="1812">
        <f>D21/F21</f>
        <v>1</v>
      </c>
      <c r="AB21" s="1812">
        <f>D21/H21</f>
        <v>1</v>
      </c>
      <c r="AC21" s="2674">
        <f>D21/J21</f>
        <v>1</v>
      </c>
    </row>
    <row r="22" spans="1:29" ht="15">
      <c r="A22" s="428"/>
      <c r="B22" s="633"/>
      <c r="C22" s="2676"/>
      <c r="D22" s="448"/>
      <c r="E22" s="447"/>
      <c r="F22" s="448"/>
      <c r="G22" s="2611"/>
      <c r="H22" s="448"/>
      <c r="I22" s="2611"/>
      <c r="J22" s="448"/>
      <c r="K22" s="1384"/>
      <c r="L22" s="1141"/>
      <c r="M22" s="1132"/>
      <c r="N22" s="1132"/>
      <c r="O22" s="1132"/>
      <c r="P22" s="3634"/>
      <c r="Q22" s="1811"/>
      <c r="R22" s="774"/>
      <c r="S22" s="775"/>
      <c r="T22" s="774"/>
      <c r="U22" s="775"/>
      <c r="V22" s="774"/>
      <c r="W22" s="775"/>
      <c r="X22" s="1814"/>
      <c r="Y22" s="3627"/>
      <c r="Z22" s="1815"/>
      <c r="AA22" s="1812">
        <v>1</v>
      </c>
      <c r="AB22" s="1812">
        <v>1</v>
      </c>
      <c r="AC22" s="2674">
        <v>1</v>
      </c>
    </row>
    <row r="23" spans="1:29" ht="82.8">
      <c r="A23" s="428"/>
      <c r="B23" s="631" t="s">
        <v>2688</v>
      </c>
      <c r="C23" s="2675" t="str">
        <f>估价对象房地状况!C9</f>
        <v>区域自然环境：廉政文化公园；人文环境：自来水博物馆；综合评价环境状况较好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634"/>
      <c r="Q23" s="1811" t="str">
        <f>B23</f>
        <v>环境质量</v>
      </c>
      <c r="R23" s="774" t="s">
        <v>17</v>
      </c>
      <c r="S23" s="775">
        <f>F23</f>
        <v>100</v>
      </c>
      <c r="T23" s="774" t="s">
        <v>17</v>
      </c>
      <c r="U23" s="775">
        <f>H23</f>
        <v>100</v>
      </c>
      <c r="V23" s="774" t="s">
        <v>17</v>
      </c>
      <c r="W23" s="775">
        <f>J23</f>
        <v>100</v>
      </c>
      <c r="X23" s="1814"/>
      <c r="Y23" s="3627"/>
      <c r="Z23" s="1815" t="str">
        <f>Q23</f>
        <v>环境质量</v>
      </c>
      <c r="AA23" s="1812">
        <f t="shared" si="3"/>
        <v>1</v>
      </c>
      <c r="AB23" s="1812">
        <f t="shared" si="4"/>
        <v>1</v>
      </c>
      <c r="AC23" s="2674">
        <f t="shared" si="5"/>
        <v>1</v>
      </c>
    </row>
    <row r="24" spans="1:29" ht="15">
      <c r="A24" s="428"/>
      <c r="B24" s="633"/>
      <c r="C24" s="2611"/>
      <c r="D24" s="448"/>
      <c r="E24" s="2604"/>
      <c r="F24" s="448"/>
      <c r="G24" s="2605"/>
      <c r="H24" s="448"/>
      <c r="I24" s="2605"/>
      <c r="J24" s="448"/>
      <c r="K24" s="615"/>
      <c r="L24" s="1141"/>
      <c r="M24" s="1132"/>
      <c r="N24" s="1132"/>
      <c r="O24" s="1132"/>
      <c r="P24" s="3634"/>
      <c r="Q24" s="1811"/>
      <c r="R24" s="774"/>
      <c r="S24" s="775"/>
      <c r="T24" s="774"/>
      <c r="U24" s="775"/>
      <c r="V24" s="774"/>
      <c r="W24" s="775"/>
      <c r="X24" s="1814"/>
      <c r="Y24" s="3627"/>
      <c r="Z24" s="1815"/>
      <c r="AA24" s="1812">
        <v>1</v>
      </c>
      <c r="AB24" s="1812">
        <v>1</v>
      </c>
      <c r="AC24" s="2674">
        <v>1</v>
      </c>
    </row>
    <row r="25" spans="1:29" ht="28.8">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1"/>
      <c r="M25" s="1132"/>
      <c r="N25" s="1132"/>
      <c r="O25" s="1132"/>
      <c r="P25" s="3634"/>
      <c r="Q25" s="1811" t="str">
        <f>B25</f>
        <v>毗邻道路的类型与等级</v>
      </c>
      <c r="R25" s="774" t="s">
        <v>17</v>
      </c>
      <c r="S25" s="775">
        <f>F25</f>
        <v>100</v>
      </c>
      <c r="T25" s="774" t="s">
        <v>17</v>
      </c>
      <c r="U25" s="775">
        <f>H25</f>
        <v>100</v>
      </c>
      <c r="V25" s="774" t="s">
        <v>17</v>
      </c>
      <c r="W25" s="775">
        <f>J25</f>
        <v>100</v>
      </c>
      <c r="X25" s="1814"/>
      <c r="Y25" s="3627"/>
      <c r="Z25" s="1815" t="str">
        <f>Q25</f>
        <v>毗邻道路的类型与等级</v>
      </c>
      <c r="AA25" s="1812">
        <f t="shared" si="3"/>
        <v>1</v>
      </c>
      <c r="AB25" s="1812">
        <f t="shared" si="4"/>
        <v>1</v>
      </c>
      <c r="AC25" s="2674">
        <f t="shared" si="5"/>
        <v>1</v>
      </c>
    </row>
    <row r="26" spans="1:29" ht="15">
      <c r="A26" s="404"/>
      <c r="B26" s="632"/>
      <c r="C26" s="634"/>
      <c r="D26" s="435"/>
      <c r="E26" s="616"/>
      <c r="F26" s="435"/>
      <c r="G26" s="634"/>
      <c r="H26" s="435"/>
      <c r="I26" s="616"/>
      <c r="J26" s="435"/>
      <c r="K26" s="615"/>
      <c r="L26" s="1141"/>
      <c r="M26" s="1132"/>
      <c r="N26" s="1132"/>
      <c r="O26" s="1132"/>
      <c r="P26" s="3634"/>
      <c r="Q26" s="1811"/>
      <c r="R26" s="774"/>
      <c r="S26" s="775"/>
      <c r="T26" s="774"/>
      <c r="U26" s="775"/>
      <c r="V26" s="774"/>
      <c r="W26" s="775"/>
      <c r="X26" s="1814"/>
      <c r="Y26" s="3627"/>
      <c r="Z26" s="1815"/>
      <c r="AA26" s="1812">
        <v>1</v>
      </c>
      <c r="AB26" s="1812">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634"/>
      <c r="Q27" s="1811" t="str">
        <f t="shared" ref="Q27:Q47" si="8">B27</f>
        <v>楼层</v>
      </c>
      <c r="R27" s="774" t="s">
        <v>17</v>
      </c>
      <c r="S27" s="775">
        <f>F27</f>
        <v>100</v>
      </c>
      <c r="T27" s="774" t="s">
        <v>17</v>
      </c>
      <c r="U27" s="775">
        <f>H27</f>
        <v>100</v>
      </c>
      <c r="V27" s="774" t="s">
        <v>17</v>
      </c>
      <c r="W27" s="775">
        <f>J27</f>
        <v>100</v>
      </c>
      <c r="X27" s="1814"/>
      <c r="Y27" s="3627"/>
      <c r="Z27" s="1815" t="str">
        <f>Q27</f>
        <v>楼层</v>
      </c>
      <c r="AA27" s="1812">
        <f t="shared" si="3"/>
        <v>1</v>
      </c>
      <c r="AB27" s="1812">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3"/>
      <c r="M28" s="1134"/>
      <c r="N28" s="1134"/>
      <c r="O28" s="1134"/>
      <c r="P28" s="3634"/>
      <c r="Q28" s="1796" t="str">
        <f t="shared" si="8"/>
        <v>朝向</v>
      </c>
      <c r="R28" s="770" t="s">
        <v>17</v>
      </c>
      <c r="S28" s="771">
        <f>F28</f>
        <v>100</v>
      </c>
      <c r="T28" s="770" t="s">
        <v>17</v>
      </c>
      <c r="U28" s="771">
        <f>H28</f>
        <v>100</v>
      </c>
      <c r="V28" s="770" t="s">
        <v>17</v>
      </c>
      <c r="W28" s="771">
        <f>J28</f>
        <v>100</v>
      </c>
      <c r="X28" s="772"/>
      <c r="Y28" s="3627"/>
      <c r="Z28" s="55" t="str">
        <f>Q28</f>
        <v>朝向</v>
      </c>
      <c r="AA28" s="1812">
        <f>D28/F28</f>
        <v>1</v>
      </c>
      <c r="AB28" s="1812">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1"/>
      <c r="M29" s="1132"/>
      <c r="N29" s="1132"/>
      <c r="O29" s="1132"/>
      <c r="P29" s="3634"/>
      <c r="Q29" s="1811">
        <f t="shared" si="8"/>
        <v>111</v>
      </c>
      <c r="R29" s="774" t="s">
        <v>17</v>
      </c>
      <c r="S29" s="775">
        <f t="shared" ref="S29:S47" si="9">F29</f>
        <v>100</v>
      </c>
      <c r="T29" s="774" t="s">
        <v>17</v>
      </c>
      <c r="U29" s="775">
        <f t="shared" ref="U29:U47" si="10">H29</f>
        <v>100</v>
      </c>
      <c r="V29" s="774" t="s">
        <v>17</v>
      </c>
      <c r="W29" s="775">
        <f t="shared" ref="W29:W47" si="11">J29</f>
        <v>100</v>
      </c>
      <c r="X29" s="1814"/>
      <c r="Y29" s="3627"/>
      <c r="Z29" s="1815">
        <f t="shared" ref="Z29:Z47" si="12">Q29</f>
        <v>111</v>
      </c>
      <c r="AA29" s="1812">
        <f t="shared" si="3"/>
        <v>1</v>
      </c>
      <c r="AB29" s="1812">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1"/>
      <c r="M30" s="1132"/>
      <c r="N30" s="1132"/>
      <c r="O30" s="1132"/>
      <c r="P30" s="3634"/>
      <c r="Q30" s="1811">
        <f t="shared" si="8"/>
        <v>111</v>
      </c>
      <c r="R30" s="774" t="s">
        <v>17</v>
      </c>
      <c r="S30" s="775">
        <f t="shared" si="9"/>
        <v>100</v>
      </c>
      <c r="T30" s="774" t="s">
        <v>17</v>
      </c>
      <c r="U30" s="775">
        <f t="shared" si="10"/>
        <v>100</v>
      </c>
      <c r="V30" s="774" t="s">
        <v>17</v>
      </c>
      <c r="W30" s="775">
        <f t="shared" si="11"/>
        <v>100</v>
      </c>
      <c r="X30" s="1814"/>
      <c r="Y30" s="3627"/>
      <c r="Z30" s="1815">
        <f t="shared" si="12"/>
        <v>111</v>
      </c>
      <c r="AA30" s="1812">
        <f t="shared" si="3"/>
        <v>1</v>
      </c>
      <c r="AB30" s="1812">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1"/>
      <c r="M31" s="1132"/>
      <c r="N31" s="1132"/>
      <c r="O31" s="1132"/>
      <c r="P31" s="3634"/>
      <c r="Q31" s="1811">
        <f t="shared" si="8"/>
        <v>111</v>
      </c>
      <c r="R31" s="774" t="s">
        <v>17</v>
      </c>
      <c r="S31" s="775">
        <f t="shared" si="9"/>
        <v>100</v>
      </c>
      <c r="T31" s="774" t="s">
        <v>17</v>
      </c>
      <c r="U31" s="775">
        <f t="shared" si="10"/>
        <v>100</v>
      </c>
      <c r="V31" s="774" t="s">
        <v>17</v>
      </c>
      <c r="W31" s="775">
        <f t="shared" si="11"/>
        <v>100</v>
      </c>
      <c r="X31" s="1814"/>
      <c r="Y31" s="3627"/>
      <c r="Z31" s="1815">
        <f t="shared" si="12"/>
        <v>111</v>
      </c>
      <c r="AA31" s="1812">
        <f t="shared" si="3"/>
        <v>1</v>
      </c>
      <c r="AB31" s="1812">
        <f t="shared" si="4"/>
        <v>1</v>
      </c>
      <c r="AC31" s="2674">
        <f t="shared" si="5"/>
        <v>1</v>
      </c>
    </row>
    <row r="32" spans="1:29" ht="15.6"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1"/>
      <c r="M32" s="1132"/>
      <c r="N32" s="1132"/>
      <c r="O32" s="1132"/>
      <c r="P32" s="3634"/>
      <c r="Q32" s="1811">
        <f t="shared" si="8"/>
        <v>111</v>
      </c>
      <c r="R32" s="774" t="s">
        <v>17</v>
      </c>
      <c r="S32" s="775">
        <f t="shared" si="9"/>
        <v>100</v>
      </c>
      <c r="T32" s="774" t="s">
        <v>17</v>
      </c>
      <c r="U32" s="775">
        <f t="shared" si="10"/>
        <v>100</v>
      </c>
      <c r="V32" s="774" t="s">
        <v>17</v>
      </c>
      <c r="W32" s="775">
        <f t="shared" si="11"/>
        <v>100</v>
      </c>
      <c r="X32" s="1814"/>
      <c r="Y32" s="3627"/>
      <c r="Z32" s="1815">
        <f t="shared" si="12"/>
        <v>111</v>
      </c>
      <c r="AA32" s="1812">
        <f t="shared" si="3"/>
        <v>1</v>
      </c>
      <c r="AB32" s="1812">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1"/>
      <c r="M33" s="1132"/>
      <c r="N33" s="1132"/>
      <c r="O33" s="1132"/>
      <c r="P33" s="3628" t="s">
        <v>2563</v>
      </c>
      <c r="Q33" s="1811" t="str">
        <f t="shared" si="8"/>
        <v>建筑类型</v>
      </c>
      <c r="R33" s="774" t="s">
        <v>17</v>
      </c>
      <c r="S33" s="775">
        <f t="shared" si="9"/>
        <v>100</v>
      </c>
      <c r="T33" s="774" t="s">
        <v>17</v>
      </c>
      <c r="U33" s="775">
        <f t="shared" si="10"/>
        <v>100</v>
      </c>
      <c r="V33" s="774" t="s">
        <v>17</v>
      </c>
      <c r="W33" s="775">
        <f t="shared" si="11"/>
        <v>100</v>
      </c>
      <c r="X33" s="1814"/>
      <c r="Y33" s="3631" t="s">
        <v>2563</v>
      </c>
      <c r="Z33" s="1815" t="str">
        <f t="shared" si="12"/>
        <v>建筑类型</v>
      </c>
      <c r="AA33" s="1812">
        <f t="shared" si="3"/>
        <v>1</v>
      </c>
      <c r="AB33" s="1812">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629"/>
      <c r="Q34" s="776" t="str">
        <f t="shared" si="8"/>
        <v>项目建筑规模</v>
      </c>
      <c r="R34" s="777" t="s">
        <v>17</v>
      </c>
      <c r="S34" s="778" t="e">
        <f t="shared" si="9"/>
        <v>#N/A</v>
      </c>
      <c r="T34" s="777" t="s">
        <v>17</v>
      </c>
      <c r="U34" s="778" t="e">
        <f t="shared" si="10"/>
        <v>#N/A</v>
      </c>
      <c r="V34" s="777" t="s">
        <v>17</v>
      </c>
      <c r="W34" s="778" t="e">
        <f t="shared" si="11"/>
        <v>#N/A</v>
      </c>
      <c r="X34" s="779"/>
      <c r="Y34" s="3631"/>
      <c r="Z34" s="780" t="str">
        <f t="shared" si="12"/>
        <v>项目建筑规模</v>
      </c>
      <c r="AA34" s="1812" t="e">
        <f t="shared" si="3"/>
        <v>#N/A</v>
      </c>
      <c r="AB34" s="1812"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629"/>
      <c r="Q35" s="1811" t="str">
        <f t="shared" si="8"/>
        <v>建筑结构</v>
      </c>
      <c r="R35" s="774" t="s">
        <v>17</v>
      </c>
      <c r="S35" s="775">
        <f t="shared" si="9"/>
        <v>100</v>
      </c>
      <c r="T35" s="774" t="s">
        <v>17</v>
      </c>
      <c r="U35" s="775">
        <f t="shared" si="10"/>
        <v>100</v>
      </c>
      <c r="V35" s="774" t="s">
        <v>17</v>
      </c>
      <c r="W35" s="775">
        <f t="shared" si="11"/>
        <v>100</v>
      </c>
      <c r="X35" s="1814"/>
      <c r="Y35" s="3631"/>
      <c r="Z35" s="1815" t="str">
        <f t="shared" si="12"/>
        <v>建筑结构</v>
      </c>
      <c r="AA35" s="1812">
        <f t="shared" si="3"/>
        <v>1</v>
      </c>
      <c r="AB35" s="1812">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629"/>
      <c r="Q36" s="1811" t="str">
        <f t="shared" si="8"/>
        <v>公共部分装修</v>
      </c>
      <c r="R36" s="774" t="s">
        <v>17</v>
      </c>
      <c r="S36" s="775">
        <f t="shared" si="9"/>
        <v>100</v>
      </c>
      <c r="T36" s="774" t="s">
        <v>17</v>
      </c>
      <c r="U36" s="775">
        <f t="shared" si="10"/>
        <v>100</v>
      </c>
      <c r="V36" s="774" t="s">
        <v>17</v>
      </c>
      <c r="W36" s="775">
        <f t="shared" si="11"/>
        <v>100</v>
      </c>
      <c r="X36" s="1814"/>
      <c r="Y36" s="3631"/>
      <c r="Z36" s="1815" t="str">
        <f t="shared" si="12"/>
        <v>公共部分装修</v>
      </c>
      <c r="AA36" s="1812">
        <f t="shared" si="3"/>
        <v>1</v>
      </c>
      <c r="AB36" s="1812">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629"/>
      <c r="Q37" s="1811" t="str">
        <f t="shared" si="8"/>
        <v>成新度</v>
      </c>
      <c r="R37" s="774" t="s">
        <v>17</v>
      </c>
      <c r="S37" s="775" t="e">
        <f t="shared" si="9"/>
        <v>#N/A</v>
      </c>
      <c r="T37" s="774" t="s">
        <v>17</v>
      </c>
      <c r="U37" s="775" t="e">
        <f t="shared" si="10"/>
        <v>#N/A</v>
      </c>
      <c r="V37" s="774" t="s">
        <v>17</v>
      </c>
      <c r="W37" s="775" t="e">
        <f t="shared" si="11"/>
        <v>#N/A</v>
      </c>
      <c r="X37" s="1814"/>
      <c r="Y37" s="3631"/>
      <c r="Z37" s="1815" t="str">
        <f t="shared" si="12"/>
        <v>成新度</v>
      </c>
      <c r="AA37" s="1812" t="e">
        <f t="shared" si="3"/>
        <v>#N/A</v>
      </c>
      <c r="AB37" s="1812"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629"/>
      <c r="Q38" s="1796" t="str">
        <f t="shared" si="8"/>
        <v>写字楼等级</v>
      </c>
      <c r="R38" s="770" t="s">
        <v>17</v>
      </c>
      <c r="S38" s="771">
        <f t="shared" si="9"/>
        <v>100</v>
      </c>
      <c r="T38" s="770" t="s">
        <v>17</v>
      </c>
      <c r="U38" s="771">
        <f t="shared" si="10"/>
        <v>100</v>
      </c>
      <c r="V38" s="770" t="s">
        <v>17</v>
      </c>
      <c r="W38" s="771">
        <f t="shared" si="11"/>
        <v>100</v>
      </c>
      <c r="X38" s="772"/>
      <c r="Y38" s="3631"/>
      <c r="Z38" s="55" t="str">
        <f t="shared" si="12"/>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629" t="s">
        <v>2563</v>
      </c>
      <c r="Q39" s="1811" t="str">
        <f t="shared" si="8"/>
        <v>物业管理</v>
      </c>
      <c r="R39" s="774" t="s">
        <v>17</v>
      </c>
      <c r="S39" s="775">
        <f t="shared" si="9"/>
        <v>100</v>
      </c>
      <c r="T39" s="774" t="s">
        <v>17</v>
      </c>
      <c r="U39" s="775">
        <f t="shared" si="10"/>
        <v>100</v>
      </c>
      <c r="V39" s="774" t="s">
        <v>17</v>
      </c>
      <c r="W39" s="775">
        <f t="shared" si="11"/>
        <v>100</v>
      </c>
      <c r="X39" s="1814"/>
      <c r="Y39" s="3631" t="s">
        <v>2563</v>
      </c>
      <c r="Z39" s="1815" t="str">
        <f t="shared" si="12"/>
        <v>物业管理</v>
      </c>
      <c r="AA39" s="1812">
        <f t="shared" si="3"/>
        <v>1</v>
      </c>
      <c r="AB39" s="1812">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629"/>
      <c r="Q40" s="1811" t="str">
        <f t="shared" si="8"/>
        <v>市政基础设施</v>
      </c>
      <c r="R40" s="774" t="s">
        <v>17</v>
      </c>
      <c r="S40" s="775">
        <f t="shared" si="9"/>
        <v>100</v>
      </c>
      <c r="T40" s="774" t="s">
        <v>17</v>
      </c>
      <c r="U40" s="775">
        <f t="shared" si="10"/>
        <v>100</v>
      </c>
      <c r="V40" s="774" t="s">
        <v>17</v>
      </c>
      <c r="W40" s="775">
        <f t="shared" si="11"/>
        <v>100</v>
      </c>
      <c r="X40" s="1814"/>
      <c r="Y40" s="3631"/>
      <c r="Z40" s="1815" t="str">
        <f t="shared" si="12"/>
        <v>市政基础设施</v>
      </c>
      <c r="AA40" s="1812">
        <f t="shared" si="3"/>
        <v>1</v>
      </c>
      <c r="AB40" s="1812">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629"/>
      <c r="Q41" s="1811" t="str">
        <f t="shared" si="8"/>
        <v>层高</v>
      </c>
      <c r="R41" s="774" t="s">
        <v>17</v>
      </c>
      <c r="S41" s="775">
        <f t="shared" si="9"/>
        <v>100</v>
      </c>
      <c r="T41" s="774" t="s">
        <v>17</v>
      </c>
      <c r="U41" s="775">
        <f t="shared" si="10"/>
        <v>100</v>
      </c>
      <c r="V41" s="774" t="s">
        <v>17</v>
      </c>
      <c r="W41" s="775">
        <f t="shared" si="11"/>
        <v>100</v>
      </c>
      <c r="X41" s="1814"/>
      <c r="Y41" s="3631"/>
      <c r="Z41" s="1815" t="str">
        <f t="shared" si="12"/>
        <v>层高</v>
      </c>
      <c r="AA41" s="1812">
        <f t="shared" si="3"/>
        <v>1</v>
      </c>
      <c r="AB41" s="1812">
        <f t="shared" si="4"/>
        <v>1</v>
      </c>
      <c r="AC41" s="2674">
        <f t="shared" si="5"/>
        <v>1</v>
      </c>
    </row>
    <row r="42" spans="1:29" s="471" customFormat="1" ht="15">
      <c r="A42" s="468"/>
      <c r="B42" s="181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629"/>
      <c r="Q42" s="776" t="str">
        <f t="shared" si="8"/>
        <v>单套建筑面积</v>
      </c>
      <c r="R42" s="777" t="s">
        <v>17</v>
      </c>
      <c r="S42" s="778">
        <f t="shared" si="9"/>
        <v>100</v>
      </c>
      <c r="T42" s="777" t="s">
        <v>17</v>
      </c>
      <c r="U42" s="778">
        <f t="shared" si="10"/>
        <v>100</v>
      </c>
      <c r="V42" s="777" t="s">
        <v>17</v>
      </c>
      <c r="W42" s="778">
        <f t="shared" si="11"/>
        <v>100</v>
      </c>
      <c r="X42" s="779"/>
      <c r="Y42" s="3631"/>
      <c r="Z42" s="780" t="str">
        <f t="shared" si="12"/>
        <v>单套建筑面积</v>
      </c>
      <c r="AA42" s="1812">
        <f t="shared" si="3"/>
        <v>1</v>
      </c>
      <c r="AB42" s="1812">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629"/>
      <c r="Q43" s="1811" t="str">
        <f t="shared" si="8"/>
        <v>内部装修</v>
      </c>
      <c r="R43" s="774" t="s">
        <v>17</v>
      </c>
      <c r="S43" s="775">
        <f t="shared" si="9"/>
        <v>100</v>
      </c>
      <c r="T43" s="774" t="s">
        <v>17</v>
      </c>
      <c r="U43" s="775">
        <f t="shared" si="10"/>
        <v>100</v>
      </c>
      <c r="V43" s="774" t="s">
        <v>17</v>
      </c>
      <c r="W43" s="775">
        <f t="shared" si="11"/>
        <v>100</v>
      </c>
      <c r="X43" s="1814"/>
      <c r="Y43" s="3631"/>
      <c r="Z43" s="1815" t="str">
        <f t="shared" si="12"/>
        <v>内部装修</v>
      </c>
      <c r="AA43" s="1812">
        <f t="shared" si="3"/>
        <v>1</v>
      </c>
      <c r="AB43" s="1812">
        <f t="shared" si="4"/>
        <v>1</v>
      </c>
      <c r="AC43" s="2674">
        <f t="shared" si="5"/>
        <v>1</v>
      </c>
    </row>
    <row r="44" spans="1:29" ht="28.8">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1"/>
      <c r="M44" s="1132"/>
      <c r="N44" s="1132"/>
      <c r="O44" s="1132"/>
      <c r="P44" s="3629"/>
      <c r="Q44" s="1811" t="str">
        <f t="shared" si="8"/>
        <v>内部装修维护情况</v>
      </c>
      <c r="R44" s="774" t="s">
        <v>17</v>
      </c>
      <c r="S44" s="775">
        <f t="shared" si="9"/>
        <v>100</v>
      </c>
      <c r="T44" s="774" t="s">
        <v>17</v>
      </c>
      <c r="U44" s="775">
        <f t="shared" si="10"/>
        <v>100</v>
      </c>
      <c r="V44" s="774" t="s">
        <v>17</v>
      </c>
      <c r="W44" s="775">
        <f t="shared" si="11"/>
        <v>100</v>
      </c>
      <c r="X44" s="1814"/>
      <c r="Y44" s="3631"/>
      <c r="Z44" s="1815" t="str">
        <f t="shared" si="12"/>
        <v>内部装修维护情况</v>
      </c>
      <c r="AA44" s="1812">
        <f t="shared" si="3"/>
        <v>1</v>
      </c>
      <c r="AB44" s="1812">
        <f t="shared" si="4"/>
        <v>1</v>
      </c>
      <c r="AC44" s="2674">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629"/>
      <c r="Q45" s="1796">
        <f t="shared" si="8"/>
        <v>111</v>
      </c>
      <c r="R45" s="770" t="s">
        <v>17</v>
      </c>
      <c r="S45" s="771">
        <f t="shared" si="9"/>
        <v>100</v>
      </c>
      <c r="T45" s="770" t="s">
        <v>17</v>
      </c>
      <c r="U45" s="771">
        <f t="shared" si="10"/>
        <v>100</v>
      </c>
      <c r="V45" s="770" t="s">
        <v>17</v>
      </c>
      <c r="W45" s="771">
        <f t="shared" si="11"/>
        <v>100</v>
      </c>
      <c r="X45" s="772"/>
      <c r="Y45" s="3631"/>
      <c r="Z45" s="55">
        <f t="shared" si="12"/>
        <v>111</v>
      </c>
      <c r="AA45" s="773">
        <f t="shared" si="3"/>
        <v>1</v>
      </c>
      <c r="AB45" s="773">
        <f t="shared" si="4"/>
        <v>1</v>
      </c>
      <c r="AC45" s="2671">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629"/>
      <c r="Q46" s="1811">
        <f t="shared" si="8"/>
        <v>111</v>
      </c>
      <c r="R46" s="774" t="s">
        <v>17</v>
      </c>
      <c r="S46" s="775">
        <f t="shared" si="9"/>
        <v>100</v>
      </c>
      <c r="T46" s="774" t="s">
        <v>17</v>
      </c>
      <c r="U46" s="775">
        <f t="shared" si="10"/>
        <v>100</v>
      </c>
      <c r="V46" s="774" t="s">
        <v>17</v>
      </c>
      <c r="W46" s="775">
        <f t="shared" si="11"/>
        <v>100</v>
      </c>
      <c r="X46" s="1814"/>
      <c r="Y46" s="3631"/>
      <c r="Z46" s="1815">
        <f t="shared" si="12"/>
        <v>111</v>
      </c>
      <c r="AA46" s="1812">
        <f t="shared" si="3"/>
        <v>1</v>
      </c>
      <c r="AB46" s="1812">
        <f t="shared" si="4"/>
        <v>1</v>
      </c>
      <c r="AC46" s="2674">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630"/>
      <c r="Q47" s="1811">
        <f t="shared" si="8"/>
        <v>111</v>
      </c>
      <c r="R47" s="774" t="s">
        <v>17</v>
      </c>
      <c r="S47" s="775">
        <f t="shared" si="9"/>
        <v>100</v>
      </c>
      <c r="T47" s="774" t="s">
        <v>17</v>
      </c>
      <c r="U47" s="775">
        <f t="shared" si="10"/>
        <v>100</v>
      </c>
      <c r="V47" s="774" t="s">
        <v>17</v>
      </c>
      <c r="W47" s="775">
        <f t="shared" si="11"/>
        <v>100</v>
      </c>
      <c r="X47" s="1814"/>
      <c r="Y47" s="3632"/>
      <c r="Z47" s="1815">
        <f t="shared" si="12"/>
        <v>111</v>
      </c>
      <c r="AA47" s="1812">
        <f t="shared" si="3"/>
        <v>1</v>
      </c>
      <c r="AB47" s="1812">
        <f t="shared" si="4"/>
        <v>1</v>
      </c>
      <c r="AC47" s="2674">
        <f t="shared" si="5"/>
        <v>1</v>
      </c>
    </row>
    <row r="48" spans="1:29" ht="14.4">
      <c r="A48" s="479" t="s">
        <v>2575</v>
      </c>
      <c r="B48" s="480"/>
      <c r="C48" s="1408" t="s">
        <v>1</v>
      </c>
      <c r="D48" s="1409"/>
      <c r="E48" s="1410"/>
      <c r="F48" s="1411"/>
      <c r="G48" s="1412"/>
      <c r="H48" s="1413"/>
      <c r="I48" s="1410"/>
      <c r="J48" s="485"/>
      <c r="K48" s="783"/>
      <c r="L48" s="1144"/>
      <c r="M48" s="1132"/>
      <c r="N48" s="1132"/>
      <c r="O48" s="1132"/>
      <c r="P48" s="3606" t="str">
        <f>A48</f>
        <v>成交单价（元/平方米）</v>
      </c>
      <c r="Q48" s="3624"/>
      <c r="R48" s="3625">
        <f>E48</f>
        <v>0</v>
      </c>
      <c r="S48" s="3625"/>
      <c r="T48" s="3625">
        <f>G48</f>
        <v>0</v>
      </c>
      <c r="U48" s="3625"/>
      <c r="V48" s="3625">
        <f>I48</f>
        <v>0</v>
      </c>
      <c r="W48" s="3625"/>
      <c r="X48" s="446"/>
      <c r="Y48" s="781"/>
      <c r="Z48" s="446"/>
      <c r="AA48" s="446"/>
      <c r="AB48" s="446"/>
      <c r="AC48" s="630"/>
    </row>
    <row r="49" spans="1:29" ht="15" thickBot="1">
      <c r="A49" s="486" t="s">
        <v>2667</v>
      </c>
      <c r="B49" s="487"/>
      <c r="C49" s="1414" t="e">
        <f>R50</f>
        <v>#DIV/0!</v>
      </c>
      <c r="D49" s="1415"/>
      <c r="E49" s="1416" t="e">
        <f>R49</f>
        <v>#DIV/0!</v>
      </c>
      <c r="F49" s="1416"/>
      <c r="G49" s="1414" t="e">
        <f>T49</f>
        <v>#DIV/0!</v>
      </c>
      <c r="H49" s="1415"/>
      <c r="I49" s="1416" t="e">
        <f>V49</f>
        <v>#DIV/0!</v>
      </c>
      <c r="J49" s="489"/>
      <c r="K49" s="784"/>
      <c r="L49" s="1144"/>
      <c r="M49" s="1132"/>
      <c r="N49" s="1132"/>
      <c r="O49" s="1132"/>
      <c r="P49" s="3606" t="str">
        <f>A49</f>
        <v>比较价值（元/平方米）</v>
      </c>
      <c r="Q49" s="3624"/>
      <c r="R49" s="3625" t="e">
        <f>IF(F1="售价",ROUND(PRODUCT(R48,AA7:AA47),0),ROUND(PRODUCT(R48,AA7:AA47),1))</f>
        <v>#DIV/0!</v>
      </c>
      <c r="S49" s="3625"/>
      <c r="T49" s="3625" t="e">
        <f>IF(F1="售价",ROUND(PRODUCT(T48,AB7:AB47),0),ROUND(PRODUCT(T48,AB7:AB47),1))</f>
        <v>#DIV/0!</v>
      </c>
      <c r="U49" s="3625"/>
      <c r="V49" s="3625" t="e">
        <f>IF(F1="售价",ROUND(PRODUCT(V48,AC7:AC47),0),ROUND(PRODUCT(V48,AC7:AC47),1))</f>
        <v>#DIV/0!</v>
      </c>
      <c r="W49" s="3625"/>
      <c r="X49" s="446"/>
      <c r="Y49" s="446"/>
      <c r="Z49" s="446"/>
      <c r="AA49" s="446"/>
      <c r="AB49" s="446"/>
      <c r="AC49" s="630"/>
    </row>
    <row r="50" spans="1:29" ht="15" thickBot="1">
      <c r="A50" s="492" t="s">
        <v>2668</v>
      </c>
      <c r="B50" s="493"/>
      <c r="C50" s="1418" t="e">
        <f>R50</f>
        <v>#DIV/0!</v>
      </c>
      <c r="D50" s="1418"/>
      <c r="E50" s="1418"/>
      <c r="F50" s="1418"/>
      <c r="G50" s="1418"/>
      <c r="H50" s="1418"/>
      <c r="I50" s="1418"/>
      <c r="J50" s="494"/>
      <c r="K50" s="785"/>
      <c r="L50" s="1144"/>
      <c r="M50" s="1132"/>
      <c r="N50" s="1132"/>
      <c r="O50" s="1132"/>
      <c r="P50" s="3647" t="str">
        <f>A50</f>
        <v>估价对象XX用房的比较价值（楼面单价，元/平方米）</v>
      </c>
      <c r="Q50" s="3648"/>
      <c r="R50" s="3649" t="e">
        <f>IF(F1="售价",ROUND(AVERAGE(R49:V49),0),ROUND(AVERAGE(R49:V49),1))</f>
        <v>#DIV/0!</v>
      </c>
      <c r="S50" s="3649"/>
      <c r="T50" s="3649"/>
      <c r="U50" s="3649"/>
      <c r="V50" s="3649"/>
      <c r="W50" s="3649"/>
      <c r="X50" s="2654"/>
      <c r="Y50" s="2654"/>
      <c r="Z50" s="2654"/>
      <c r="AA50" s="2654"/>
      <c r="AB50" s="2654"/>
      <c r="AC50" s="265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2.2" thickBot="1">
      <c r="A58" s="763" t="s">
        <v>2672</v>
      </c>
      <c r="B58" s="759"/>
      <c r="C58" s="764"/>
      <c r="D58" s="764"/>
      <c r="E58" s="764"/>
      <c r="F58" s="765"/>
      <c r="G58" s="765"/>
      <c r="H58" s="764"/>
      <c r="I58" s="764"/>
      <c r="J58" s="764"/>
      <c r="K58" s="766"/>
      <c r="L58" s="1162"/>
      <c r="M58" s="1160"/>
      <c r="N58" s="1160"/>
      <c r="O58" s="1160"/>
      <c r="P58" s="2681"/>
      <c r="Q58" s="504"/>
    </row>
    <row r="59" spans="1:29" s="508" customFormat="1" ht="14.4">
      <c r="A59" s="505" t="s">
        <v>2546</v>
      </c>
      <c r="B59" s="506"/>
      <c r="C59" s="1575" t="str">
        <f>YEAR(C7)&amp;"-"&amp;MONTH(C7)</f>
        <v>2018-12</v>
      </c>
      <c r="D59" s="1576">
        <f>EDATE(C59,-1)</f>
        <v>43405</v>
      </c>
      <c r="E59" s="1576">
        <f>EDATE(D59,-1)</f>
        <v>43374</v>
      </c>
      <c r="F59" s="1576">
        <f t="shared" ref="F59:O59" si="13">EDATE(E59,-1)</f>
        <v>43344</v>
      </c>
      <c r="G59" s="1576">
        <f t="shared" si="13"/>
        <v>43313</v>
      </c>
      <c r="H59" s="1576">
        <f t="shared" si="13"/>
        <v>43282</v>
      </c>
      <c r="I59" s="1576">
        <f t="shared" si="13"/>
        <v>43252</v>
      </c>
      <c r="J59" s="1576">
        <f t="shared" si="13"/>
        <v>43221</v>
      </c>
      <c r="K59" s="1576">
        <f t="shared" si="13"/>
        <v>43191</v>
      </c>
      <c r="L59" s="1576">
        <f t="shared" si="13"/>
        <v>43160</v>
      </c>
      <c r="M59" s="1576">
        <f t="shared" si="13"/>
        <v>43132</v>
      </c>
      <c r="N59" s="1576">
        <f t="shared" si="13"/>
        <v>43101</v>
      </c>
      <c r="O59" s="1576">
        <f t="shared" si="13"/>
        <v>43070</v>
      </c>
      <c r="P59" s="1572"/>
    </row>
    <row r="60" spans="1:29" s="117" customFormat="1">
      <c r="A60" s="509"/>
      <c r="B60" s="510"/>
      <c r="C60" s="1574">
        <v>100</v>
      </c>
      <c r="D60" s="512"/>
      <c r="E60" s="512"/>
      <c r="F60" s="512"/>
      <c r="G60" s="512"/>
      <c r="H60" s="512"/>
      <c r="I60" s="512"/>
      <c r="J60" s="512"/>
      <c r="K60" s="512"/>
      <c r="L60" s="512"/>
      <c r="M60" s="513"/>
      <c r="N60" s="512"/>
      <c r="O60" s="513"/>
      <c r="P60" s="2682"/>
    </row>
    <row r="61" spans="1:29" s="117" customFormat="1" ht="15" thickBot="1">
      <c r="A61" s="515" t="s">
        <v>2583</v>
      </c>
      <c r="B61" s="516"/>
      <c r="C61" s="517"/>
      <c r="D61" s="518"/>
      <c r="E61" s="518"/>
      <c r="F61" s="518"/>
      <c r="G61" s="518"/>
      <c r="H61" s="518"/>
      <c r="I61" s="518"/>
      <c r="J61" s="518"/>
      <c r="K61" s="518"/>
      <c r="L61" s="518"/>
      <c r="M61" s="519"/>
      <c r="N61" s="518"/>
      <c r="O61" s="519"/>
      <c r="P61" s="2682"/>
      <c r="Q61" s="504"/>
    </row>
    <row r="62" spans="1:29" s="117" customFormat="1" ht="14.4">
      <c r="A62" s="521" t="s">
        <v>2548</v>
      </c>
      <c r="B62" s="510"/>
      <c r="C62" s="522" t="s">
        <v>2650</v>
      </c>
      <c r="D62" s="523"/>
      <c r="E62" s="523"/>
      <c r="F62" s="523"/>
      <c r="G62" s="523"/>
      <c r="H62" s="523"/>
      <c r="I62" s="523"/>
      <c r="J62" s="523"/>
      <c r="K62" s="523"/>
      <c r="L62" s="524"/>
      <c r="M62" s="525"/>
      <c r="N62" s="1152"/>
      <c r="O62" s="1152"/>
      <c r="P62" s="2683"/>
      <c r="Q62" s="504"/>
    </row>
    <row r="63" spans="1:29" s="117" customFormat="1" ht="14.4" thickBot="1">
      <c r="A63" s="521"/>
      <c r="B63" s="510"/>
      <c r="C63" s="511">
        <v>100</v>
      </c>
      <c r="D63" s="512"/>
      <c r="E63" s="512"/>
      <c r="F63" s="512"/>
      <c r="G63" s="512"/>
      <c r="H63" s="512"/>
      <c r="I63" s="512"/>
      <c r="J63" s="512"/>
      <c r="K63" s="512"/>
      <c r="L63" s="512"/>
      <c r="M63" s="514"/>
      <c r="N63" s="1152"/>
      <c r="O63" s="1152"/>
      <c r="P63" s="2682"/>
      <c r="Q63" s="504"/>
    </row>
    <row r="64" spans="1:29" ht="14.4">
      <c r="A64" s="527" t="s">
        <v>2586</v>
      </c>
      <c r="B64" s="528" t="s">
        <v>2552</v>
      </c>
      <c r="C64" s="529">
        <f>C9</f>
        <v>0</v>
      </c>
      <c r="D64" s="530"/>
      <c r="E64" s="530"/>
      <c r="F64" s="530"/>
      <c r="G64" s="530"/>
      <c r="H64" s="530"/>
      <c r="I64" s="530"/>
      <c r="J64" s="530"/>
      <c r="K64" s="531"/>
      <c r="L64" s="532"/>
      <c r="M64" s="533"/>
      <c r="N64" s="1153"/>
      <c r="O64" s="1153"/>
      <c r="P64" s="2684"/>
      <c r="Q64" s="504"/>
    </row>
    <row r="65" spans="1:17" ht="14.4" thickBot="1">
      <c r="A65" s="534"/>
      <c r="B65" s="535"/>
      <c r="C65" s="536">
        <v>100</v>
      </c>
      <c r="D65" s="536"/>
      <c r="E65" s="536"/>
      <c r="F65" s="536"/>
      <c r="G65" s="536"/>
      <c r="H65" s="536"/>
      <c r="I65" s="536"/>
      <c r="J65" s="536"/>
      <c r="K65" s="536"/>
      <c r="L65" s="536"/>
      <c r="M65" s="537"/>
      <c r="N65" s="1154"/>
      <c r="O65" s="1154"/>
      <c r="P65" s="2684"/>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4"/>
      <c r="Q67" s="504"/>
    </row>
    <row r="68" spans="1:17" ht="15" thickTop="1">
      <c r="A68" s="534"/>
      <c r="B68" s="546" t="s">
        <v>2556</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4"/>
      <c r="O68" s="1154"/>
      <c r="P68" s="2684"/>
      <c r="Q68" s="504"/>
    </row>
    <row r="69" spans="1:17">
      <c r="A69" s="534"/>
      <c r="B69" s="548"/>
      <c r="C69" s="549"/>
      <c r="D69" s="549"/>
      <c r="E69" s="549"/>
      <c r="F69" s="549"/>
      <c r="G69" s="549"/>
      <c r="H69" s="549"/>
      <c r="I69" s="549"/>
      <c r="J69" s="549"/>
      <c r="K69" s="550"/>
      <c r="L69" s="551"/>
      <c r="M69" s="552"/>
      <c r="N69" s="1153"/>
      <c r="O69" s="1153"/>
      <c r="P69" s="2684"/>
      <c r="Q69" s="504"/>
    </row>
    <row r="70" spans="1:17" ht="14.4"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4"/>
      <c r="O70" s="1154"/>
      <c r="P70" s="2684"/>
      <c r="Q70" s="504"/>
    </row>
    <row r="71" spans="1:17" s="471" customFormat="1" ht="14.4" thickTop="1">
      <c r="A71" s="553"/>
      <c r="B71" s="538">
        <f>B12</f>
        <v>111</v>
      </c>
      <c r="C71" s="554"/>
      <c r="D71" s="554"/>
      <c r="E71" s="554"/>
      <c r="F71" s="554"/>
      <c r="G71" s="554"/>
      <c r="H71" s="555"/>
      <c r="I71" s="555"/>
      <c r="J71" s="555"/>
      <c r="K71" s="555"/>
      <c r="L71" s="556"/>
      <c r="M71" s="557"/>
      <c r="N71" s="1155"/>
      <c r="O71" s="1155"/>
      <c r="P71" s="2685"/>
      <c r="Q71" s="559"/>
    </row>
    <row r="72" spans="1:17" s="471" customFormat="1" ht="14.4" thickBot="1">
      <c r="A72" s="553"/>
      <c r="B72" s="543"/>
      <c r="C72" s="560"/>
      <c r="D72" s="536"/>
      <c r="E72" s="536"/>
      <c r="F72" s="536"/>
      <c r="G72" s="536"/>
      <c r="H72" s="536"/>
      <c r="I72" s="536"/>
      <c r="J72" s="536"/>
      <c r="K72" s="536"/>
      <c r="L72" s="536"/>
      <c r="M72" s="537"/>
      <c r="N72" s="1154"/>
      <c r="O72" s="1154"/>
      <c r="P72" s="2685"/>
      <c r="Q72" s="559"/>
    </row>
    <row r="73" spans="1:17" s="471" customFormat="1" ht="14.4" thickTop="1">
      <c r="A73" s="553"/>
      <c r="B73" s="538">
        <f>B13</f>
        <v>111</v>
      </c>
      <c r="C73" s="554"/>
      <c r="D73" s="554"/>
      <c r="E73" s="554"/>
      <c r="F73" s="554"/>
      <c r="G73" s="554"/>
      <c r="H73" s="555"/>
      <c r="I73" s="555"/>
      <c r="J73" s="555"/>
      <c r="K73" s="555"/>
      <c r="L73" s="556"/>
      <c r="M73" s="557"/>
      <c r="N73" s="1155"/>
      <c r="O73" s="1155"/>
      <c r="P73" s="2686"/>
      <c r="Q73" s="561"/>
    </row>
    <row r="74" spans="1:17" s="471" customFormat="1" ht="14.4" thickBot="1">
      <c r="A74" s="553"/>
      <c r="B74" s="543"/>
      <c r="C74" s="560"/>
      <c r="D74" s="560"/>
      <c r="E74" s="560"/>
      <c r="F74" s="560"/>
      <c r="G74" s="560"/>
      <c r="H74" s="562"/>
      <c r="I74" s="562"/>
      <c r="J74" s="562"/>
      <c r="K74" s="562"/>
      <c r="L74" s="562"/>
      <c r="M74" s="563"/>
      <c r="N74" s="1155"/>
      <c r="O74" s="1155"/>
      <c r="P74" s="2685"/>
      <c r="Q74" s="559"/>
    </row>
    <row r="75" spans="1:17" s="471" customFormat="1" ht="14.4" thickTop="1">
      <c r="A75" s="553"/>
      <c r="B75" s="546">
        <f>B14</f>
        <v>111</v>
      </c>
      <c r="C75" s="523"/>
      <c r="D75" s="523"/>
      <c r="E75" s="523"/>
      <c r="F75" s="523"/>
      <c r="G75" s="523"/>
      <c r="H75" s="564"/>
      <c r="I75" s="564"/>
      <c r="J75" s="564"/>
      <c r="K75" s="564"/>
      <c r="L75" s="565"/>
      <c r="M75" s="566"/>
      <c r="N75" s="1155"/>
      <c r="O75" s="1155"/>
      <c r="P75" s="2687"/>
      <c r="Q75" s="559"/>
    </row>
    <row r="76" spans="1:17" s="471" customFormat="1" ht="14.4" thickBot="1">
      <c r="A76" s="568"/>
      <c r="B76" s="569"/>
      <c r="C76" s="570"/>
      <c r="D76" s="570"/>
      <c r="E76" s="570"/>
      <c r="F76" s="570"/>
      <c r="G76" s="570"/>
      <c r="H76" s="571"/>
      <c r="I76" s="571"/>
      <c r="J76" s="571"/>
      <c r="K76" s="571"/>
      <c r="L76" s="571"/>
      <c r="M76" s="572"/>
      <c r="N76" s="1155"/>
      <c r="O76" s="1155"/>
      <c r="P76" s="2685"/>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3"/>
      <c r="O77" s="1153"/>
      <c r="P77" s="268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4"/>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3"/>
      <c r="O79" s="1153"/>
      <c r="P79" s="268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4"/>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3"/>
      <c r="O81" s="1153"/>
      <c r="P81" s="268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4"/>
      <c r="Q82" s="504"/>
    </row>
    <row r="83" spans="1:17" ht="15" thickTop="1">
      <c r="A83" s="534"/>
      <c r="B83" s="546" t="s">
        <v>2687</v>
      </c>
      <c r="C83" s="660" t="s">
        <v>2673</v>
      </c>
      <c r="D83" s="660" t="s">
        <v>2674</v>
      </c>
      <c r="E83" s="660" t="s">
        <v>2675</v>
      </c>
      <c r="F83" s="660" t="s">
        <v>2676</v>
      </c>
      <c r="G83" s="660" t="s">
        <v>2677</v>
      </c>
      <c r="H83" s="539"/>
      <c r="I83" s="539"/>
      <c r="J83" s="539"/>
      <c r="K83" s="539"/>
      <c r="L83" s="539"/>
      <c r="M83" s="1383"/>
      <c r="N83" s="1154"/>
      <c r="O83" s="1154"/>
      <c r="P83" s="268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4"/>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3"/>
      <c r="O85" s="1153"/>
      <c r="P85" s="268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4"/>
      <c r="Q86" s="504"/>
    </row>
    <row r="87" spans="1:17" s="117" customFormat="1" ht="29.4" thickTop="1">
      <c r="A87" s="579"/>
      <c r="B87" s="538" t="s">
        <v>2697</v>
      </c>
      <c r="C87" s="554"/>
      <c r="D87" s="554"/>
      <c r="E87" s="554"/>
      <c r="F87" s="554"/>
      <c r="G87" s="554"/>
      <c r="H87" s="554"/>
      <c r="I87" s="554"/>
      <c r="J87" s="554"/>
      <c r="K87" s="554"/>
      <c r="L87" s="580"/>
      <c r="M87" s="581"/>
      <c r="N87" s="1152"/>
      <c r="O87" s="1152"/>
      <c r="P87" s="2684"/>
      <c r="Q87" s="504"/>
    </row>
    <row r="88" spans="1:17" s="117" customFormat="1" ht="14.4"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4"/>
      <c r="O88" s="1154"/>
      <c r="P88" s="2684"/>
      <c r="Q88" s="504"/>
    </row>
    <row r="89" spans="1:17" s="117" customFormat="1" ht="14.4" thickTop="1">
      <c r="A89" s="579"/>
      <c r="B89" s="538" t="str">
        <f>B27</f>
        <v>楼层</v>
      </c>
      <c r="C89" s="554"/>
      <c r="D89" s="554"/>
      <c r="E89" s="554"/>
      <c r="F89" s="2635"/>
      <c r="G89" s="554"/>
      <c r="H89" s="554"/>
      <c r="I89" s="554"/>
      <c r="J89" s="554"/>
      <c r="K89" s="554"/>
      <c r="L89" s="554"/>
      <c r="M89" s="581"/>
      <c r="N89" s="1152"/>
      <c r="O89" s="1152"/>
      <c r="P89" s="2684"/>
      <c r="Q89" s="504"/>
    </row>
    <row r="90" spans="1:17" s="117" customFormat="1" ht="14.4"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4"/>
      <c r="O90" s="1154"/>
      <c r="P90" s="2684"/>
      <c r="Q90" s="504"/>
    </row>
    <row r="91" spans="1:17" s="471" customFormat="1" ht="14.4"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4.4"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5"/>
      <c r="O92" s="1155"/>
      <c r="P92" s="2685"/>
      <c r="Q92" s="559"/>
    </row>
    <row r="93" spans="1:17" ht="14.4" thickTop="1">
      <c r="A93" s="534"/>
      <c r="B93" s="538">
        <f>B29</f>
        <v>111</v>
      </c>
      <c r="C93" s="554"/>
      <c r="D93" s="554"/>
      <c r="E93" s="554"/>
      <c r="F93" s="554"/>
      <c r="G93" s="554"/>
      <c r="H93" s="554"/>
      <c r="I93" s="554"/>
      <c r="J93" s="554"/>
      <c r="K93" s="554"/>
      <c r="L93" s="580"/>
      <c r="M93" s="581"/>
      <c r="N93" s="1153"/>
      <c r="O93" s="1153"/>
      <c r="P93" s="2684"/>
      <c r="Q93" s="504"/>
    </row>
    <row r="94" spans="1:17" ht="14.4" thickBot="1">
      <c r="A94" s="534"/>
      <c r="B94" s="543"/>
      <c r="C94" s="560"/>
      <c r="D94" s="536"/>
      <c r="E94" s="536"/>
      <c r="F94" s="536"/>
      <c r="G94" s="536"/>
      <c r="H94" s="536"/>
      <c r="I94" s="536"/>
      <c r="J94" s="536"/>
      <c r="K94" s="536"/>
      <c r="L94" s="536"/>
      <c r="M94" s="537"/>
      <c r="N94" s="1154"/>
      <c r="O94" s="1154"/>
      <c r="P94" s="2684"/>
      <c r="Q94" s="504"/>
    </row>
    <row r="95" spans="1:17" ht="14.4" thickTop="1">
      <c r="A95" s="534"/>
      <c r="B95" s="538">
        <f>B30</f>
        <v>111</v>
      </c>
      <c r="C95" s="554"/>
      <c r="D95" s="554"/>
      <c r="E95" s="554"/>
      <c r="F95" s="554"/>
      <c r="G95" s="583"/>
      <c r="H95" s="583"/>
      <c r="I95" s="583"/>
      <c r="J95" s="583"/>
      <c r="K95" s="584"/>
      <c r="L95" s="585"/>
      <c r="M95" s="586"/>
      <c r="N95" s="1153"/>
      <c r="O95" s="1153"/>
      <c r="P95" s="2684"/>
      <c r="Q95" s="504"/>
    </row>
    <row r="96" spans="1:17" ht="14.4" thickBot="1">
      <c r="A96" s="534"/>
      <c r="B96" s="543"/>
      <c r="C96" s="560"/>
      <c r="D96" s="560"/>
      <c r="E96" s="560"/>
      <c r="F96" s="560"/>
      <c r="G96" s="536"/>
      <c r="H96" s="536"/>
      <c r="I96" s="536"/>
      <c r="J96" s="536"/>
      <c r="K96" s="536"/>
      <c r="L96" s="536"/>
      <c r="M96" s="537"/>
      <c r="N96" s="1154"/>
      <c r="O96" s="1154"/>
      <c r="P96" s="2684"/>
      <c r="Q96" s="504"/>
    </row>
    <row r="97" spans="1:17" ht="14.4" thickTop="1">
      <c r="A97" s="534"/>
      <c r="B97" s="538">
        <f>B31</f>
        <v>111</v>
      </c>
      <c r="C97" s="554"/>
      <c r="D97" s="554"/>
      <c r="E97" s="554"/>
      <c r="F97" s="554"/>
      <c r="G97" s="583"/>
      <c r="H97" s="583"/>
      <c r="I97" s="583"/>
      <c r="J97" s="583"/>
      <c r="K97" s="584"/>
      <c r="L97" s="585"/>
      <c r="M97" s="586"/>
      <c r="N97" s="1153"/>
      <c r="O97" s="1153"/>
      <c r="P97" s="2684"/>
      <c r="Q97" s="504"/>
    </row>
    <row r="98" spans="1:17" ht="14.4" thickBot="1">
      <c r="A98" s="534"/>
      <c r="B98" s="543"/>
      <c r="C98" s="560"/>
      <c r="D98" s="536"/>
      <c r="E98" s="536"/>
      <c r="F98" s="536"/>
      <c r="G98" s="536"/>
      <c r="H98" s="536"/>
      <c r="I98" s="536"/>
      <c r="J98" s="536"/>
      <c r="K98" s="536"/>
      <c r="L98" s="536"/>
      <c r="M98" s="537"/>
      <c r="N98" s="1154"/>
      <c r="O98" s="1154"/>
      <c r="P98" s="2684"/>
      <c r="Q98" s="504"/>
    </row>
    <row r="99" spans="1:17" ht="14.4" thickTop="1">
      <c r="A99" s="534"/>
      <c r="B99" s="546">
        <f>B32</f>
        <v>111</v>
      </c>
      <c r="C99" s="523"/>
      <c r="D99" s="523"/>
      <c r="E99" s="523"/>
      <c r="F99" s="523"/>
      <c r="G99" s="587"/>
      <c r="H99" s="587"/>
      <c r="I99" s="587"/>
      <c r="J99" s="587"/>
      <c r="K99" s="588"/>
      <c r="L99" s="589"/>
      <c r="M99" s="590"/>
      <c r="N99" s="1153"/>
      <c r="O99" s="1153"/>
      <c r="P99" s="2684"/>
      <c r="Q99" s="504"/>
    </row>
    <row r="100" spans="1:17" ht="14.4" thickBot="1">
      <c r="A100" s="2636"/>
      <c r="B100" s="569"/>
      <c r="C100" s="570"/>
      <c r="D100" s="570"/>
      <c r="E100" s="570"/>
      <c r="F100" s="570"/>
      <c r="G100" s="591"/>
      <c r="H100" s="591"/>
      <c r="I100" s="591"/>
      <c r="J100" s="591"/>
      <c r="K100" s="591"/>
      <c r="L100" s="591"/>
      <c r="M100" s="592"/>
      <c r="N100" s="1154"/>
      <c r="O100" s="1154"/>
      <c r="P100" s="2684"/>
      <c r="Q100" s="504"/>
    </row>
    <row r="101" spans="1:17" ht="14.4">
      <c r="A101" s="527" t="s">
        <v>2561</v>
      </c>
      <c r="B101" s="528" t="s">
        <v>2610</v>
      </c>
      <c r="C101" s="530"/>
      <c r="D101" s="530"/>
      <c r="E101" s="530"/>
      <c r="F101" s="530"/>
      <c r="G101" s="530"/>
      <c r="H101" s="530"/>
      <c r="I101" s="530"/>
      <c r="J101" s="530"/>
      <c r="K101" s="531"/>
      <c r="L101" s="532"/>
      <c r="M101" s="533"/>
      <c r="N101" s="1153"/>
      <c r="O101" s="1153"/>
      <c r="P101" s="2684"/>
      <c r="Q101" s="504"/>
    </row>
    <row r="102" spans="1:17" ht="14.4"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4"/>
      <c r="O102" s="1154"/>
      <c r="P102" s="2684"/>
      <c r="Q102" s="504"/>
    </row>
    <row r="103" spans="1:17" ht="15"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2"/>
      <c r="O103" s="1152"/>
      <c r="P103" s="2684"/>
      <c r="Q103" s="504"/>
    </row>
    <row r="104" spans="1:17" s="471" customFormat="1">
      <c r="A104" s="593"/>
      <c r="B104" s="594"/>
      <c r="C104" s="595"/>
      <c r="D104" s="595"/>
      <c r="E104" s="595"/>
      <c r="F104" s="595"/>
      <c r="G104" s="595"/>
      <c r="H104" s="595"/>
      <c r="I104" s="595"/>
      <c r="J104" s="596"/>
      <c r="K104" s="596"/>
      <c r="L104" s="597"/>
      <c r="M104" s="598"/>
      <c r="N104" s="1155"/>
      <c r="O104" s="1155"/>
      <c r="P104" s="2685"/>
      <c r="Q104" s="559"/>
    </row>
    <row r="105" spans="1:17" s="471" customFormat="1" ht="14.4" thickBot="1">
      <c r="A105" s="553"/>
      <c r="B105" s="543"/>
      <c r="C105" s="560"/>
      <c r="D105" s="536"/>
      <c r="E105" s="536"/>
      <c r="F105" s="536"/>
      <c r="G105" s="536"/>
      <c r="H105" s="536"/>
      <c r="I105" s="536"/>
      <c r="J105" s="536"/>
      <c r="K105" s="536"/>
      <c r="L105" s="536"/>
      <c r="M105" s="537"/>
      <c r="N105" s="1154"/>
      <c r="O105" s="1154"/>
      <c r="P105" s="2685"/>
      <c r="Q105" s="559"/>
    </row>
    <row r="106" spans="1:17" ht="15" thickTop="1">
      <c r="A106" s="599"/>
      <c r="B106" s="538" t="s">
        <v>2612</v>
      </c>
      <c r="C106" s="554"/>
      <c r="D106" s="554"/>
      <c r="E106" s="583"/>
      <c r="F106" s="583"/>
      <c r="G106" s="583"/>
      <c r="H106" s="583"/>
      <c r="I106" s="583"/>
      <c r="J106" s="583"/>
      <c r="K106" s="584"/>
      <c r="L106" s="585"/>
      <c r="M106" s="586"/>
      <c r="N106" s="1153"/>
      <c r="O106" s="1153"/>
      <c r="P106" s="2684"/>
      <c r="Q106" s="504"/>
    </row>
    <row r="107" spans="1:17" ht="14.4"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4"/>
      <c r="O107" s="1154"/>
      <c r="P107" s="2684"/>
      <c r="Q107" s="504"/>
    </row>
    <row r="108" spans="1:17" ht="15" thickTop="1">
      <c r="A108" s="599"/>
      <c r="B108" s="538" t="s">
        <v>2614</v>
      </c>
      <c r="C108" s="554"/>
      <c r="D108" s="554"/>
      <c r="E108" s="554"/>
      <c r="F108" s="583"/>
      <c r="G108" s="583"/>
      <c r="H108" s="583"/>
      <c r="I108" s="583"/>
      <c r="J108" s="583"/>
      <c r="K108" s="584"/>
      <c r="L108" s="585"/>
      <c r="M108" s="586"/>
      <c r="N108" s="1153"/>
      <c r="O108" s="1153"/>
      <c r="P108" s="2684"/>
      <c r="Q108" s="504"/>
    </row>
    <row r="109" spans="1:17" ht="14.4"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4.4"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4"/>
      <c r="O112" s="1154"/>
      <c r="P112" s="2684"/>
      <c r="Q112" s="504"/>
    </row>
    <row r="113" spans="1:17" s="471" customFormat="1" ht="15" thickTop="1">
      <c r="A113" s="593"/>
      <c r="B113" s="538" t="s">
        <v>2698</v>
      </c>
      <c r="C113" s="554"/>
      <c r="D113" s="554"/>
      <c r="E113" s="554"/>
      <c r="F113" s="554"/>
      <c r="G113" s="554"/>
      <c r="H113" s="583"/>
      <c r="I113" s="583"/>
      <c r="J113" s="583"/>
      <c r="K113" s="584"/>
      <c r="L113" s="585"/>
      <c r="M113" s="586"/>
      <c r="N113" s="1155"/>
      <c r="O113" s="1155"/>
      <c r="P113" s="2685"/>
      <c r="Q113" s="559"/>
    </row>
    <row r="114" spans="1:17" s="471" customFormat="1" ht="14.4"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5"/>
      <c r="O114" s="1155"/>
      <c r="P114" s="2685"/>
      <c r="Q114" s="559"/>
    </row>
    <row r="115" spans="1:17" ht="15" thickTop="1">
      <c r="A115" s="599"/>
      <c r="B115" s="538" t="s">
        <v>2615</v>
      </c>
      <c r="C115" s="554"/>
      <c r="D115" s="554"/>
      <c r="E115" s="583"/>
      <c r="F115" s="583"/>
      <c r="G115" s="583"/>
      <c r="H115" s="583"/>
      <c r="I115" s="583"/>
      <c r="J115" s="583"/>
      <c r="K115" s="584"/>
      <c r="L115" s="585"/>
      <c r="M115" s="586"/>
      <c r="N115" s="1153"/>
      <c r="O115" s="1153"/>
      <c r="P115" s="2684"/>
      <c r="Q115" s="504"/>
    </row>
    <row r="116" spans="1:17" ht="14.4"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4"/>
      <c r="O116" s="1154"/>
      <c r="P116" s="2684"/>
      <c r="Q116" s="504"/>
    </row>
    <row r="117" spans="1:17" ht="15" thickTop="1">
      <c r="A117" s="599"/>
      <c r="B117" s="538" t="s">
        <v>2616</v>
      </c>
      <c r="C117" s="554"/>
      <c r="D117" s="554"/>
      <c r="E117" s="554"/>
      <c r="F117" s="554"/>
      <c r="G117" s="554"/>
      <c r="H117" s="583"/>
      <c r="I117" s="583"/>
      <c r="J117" s="583"/>
      <c r="K117" s="584"/>
      <c r="L117" s="585"/>
      <c r="M117" s="586"/>
      <c r="N117" s="1153"/>
      <c r="O117" s="1153"/>
      <c r="P117" s="268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4"/>
      <c r="Q118" s="504"/>
    </row>
    <row r="119" spans="1:17" ht="15" thickTop="1">
      <c r="A119" s="599"/>
      <c r="B119" s="636" t="s">
        <v>2699</v>
      </c>
      <c r="C119" s="583"/>
      <c r="D119" s="583"/>
      <c r="E119" s="583"/>
      <c r="F119" s="583"/>
      <c r="G119" s="583"/>
      <c r="H119" s="583"/>
      <c r="I119" s="583"/>
      <c r="J119" s="583"/>
      <c r="K119" s="583"/>
      <c r="L119" s="2689"/>
      <c r="M119" s="2690"/>
      <c r="N119" s="1154"/>
      <c r="O119" s="1154"/>
      <c r="P119" s="2691"/>
      <c r="Q119" s="638"/>
    </row>
    <row r="120" spans="1:17" ht="14.4"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4"/>
      <c r="O120" s="1154"/>
      <c r="P120" s="2684"/>
      <c r="Q120" s="504"/>
    </row>
    <row r="121" spans="1:17" s="471" customFormat="1" ht="15" thickTop="1">
      <c r="A121" s="593"/>
      <c r="B121" s="538" t="s">
        <v>2682</v>
      </c>
      <c r="C121" s="554"/>
      <c r="D121" s="554"/>
      <c r="E121" s="554"/>
      <c r="F121" s="583"/>
      <c r="G121" s="555"/>
      <c r="H121" s="555"/>
      <c r="I121" s="555"/>
      <c r="J121" s="555"/>
      <c r="K121" s="555"/>
      <c r="L121" s="556"/>
      <c r="M121" s="557"/>
      <c r="N121" s="1155"/>
      <c r="O121" s="1155"/>
      <c r="P121" s="2685"/>
      <c r="Q121" s="559"/>
    </row>
    <row r="122" spans="1:17" s="471" customFormat="1" ht="14.4"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2618</v>
      </c>
      <c r="C123" s="554"/>
      <c r="D123" s="554"/>
      <c r="E123" s="554"/>
      <c r="F123" s="583"/>
      <c r="G123" s="583"/>
      <c r="H123" s="583"/>
      <c r="I123" s="583"/>
      <c r="J123" s="583"/>
      <c r="K123" s="584"/>
      <c r="L123" s="585"/>
      <c r="M123" s="586"/>
      <c r="N123" s="1153"/>
      <c r="O123" s="1153"/>
      <c r="P123" s="2684"/>
      <c r="Q123" s="504"/>
    </row>
    <row r="124" spans="1:17" ht="14.4"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2684"/>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4.4" thickBot="1">
      <c r="A128" s="553"/>
      <c r="B128" s="543"/>
      <c r="C128" s="560"/>
      <c r="D128" s="536"/>
      <c r="E128" s="536"/>
      <c r="F128" s="536"/>
      <c r="G128" s="560"/>
      <c r="H128" s="562"/>
      <c r="I128" s="562"/>
      <c r="J128" s="562"/>
      <c r="K128" s="562"/>
      <c r="L128" s="562"/>
      <c r="M128" s="563"/>
      <c r="N128" s="1155"/>
      <c r="O128" s="1155"/>
      <c r="P128" s="2685"/>
      <c r="Q128" s="559"/>
    </row>
    <row r="129" spans="1:17" ht="14.4" thickTop="1">
      <c r="A129" s="599"/>
      <c r="B129" s="538">
        <f>B46</f>
        <v>111</v>
      </c>
      <c r="C129" s="554"/>
      <c r="D129" s="554"/>
      <c r="E129" s="554"/>
      <c r="F129" s="554"/>
      <c r="G129" s="583"/>
      <c r="H129" s="583"/>
      <c r="I129" s="583"/>
      <c r="J129" s="583"/>
      <c r="K129" s="584"/>
      <c r="L129" s="585"/>
      <c r="M129" s="586"/>
      <c r="N129" s="1153"/>
      <c r="O129" s="1153"/>
      <c r="P129" s="2684"/>
      <c r="Q129" s="504"/>
    </row>
    <row r="130" spans="1:17" ht="14.4" thickBot="1">
      <c r="A130" s="534"/>
      <c r="B130" s="543"/>
      <c r="C130" s="560"/>
      <c r="D130" s="560"/>
      <c r="E130" s="560"/>
      <c r="F130" s="560"/>
      <c r="G130" s="536"/>
      <c r="H130" s="536"/>
      <c r="I130" s="536"/>
      <c r="J130" s="536"/>
      <c r="K130" s="536"/>
      <c r="L130" s="536"/>
      <c r="M130" s="537"/>
      <c r="N130" s="1154"/>
      <c r="O130" s="1154"/>
      <c r="P130" s="2684"/>
      <c r="Q130" s="504"/>
    </row>
    <row r="131" spans="1:17" ht="14.4" thickTop="1">
      <c r="A131" s="599"/>
      <c r="B131" s="546">
        <f>B47</f>
        <v>111</v>
      </c>
      <c r="C131" s="523"/>
      <c r="D131" s="523"/>
      <c r="E131" s="523"/>
      <c r="F131" s="523"/>
      <c r="G131" s="587"/>
      <c r="H131" s="587"/>
      <c r="I131" s="587"/>
      <c r="J131" s="587"/>
      <c r="K131" s="523"/>
      <c r="L131" s="524"/>
      <c r="M131" s="590"/>
      <c r="N131" s="1153"/>
      <c r="O131" s="1153"/>
      <c r="P131" s="2684"/>
      <c r="Q131" s="504"/>
    </row>
    <row r="132" spans="1:17" ht="14.4" thickBot="1">
      <c r="A132" s="2636"/>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2526</v>
      </c>
      <c r="B1" s="2669" t="s">
        <v>2700</v>
      </c>
      <c r="C1" s="1621" t="s">
        <v>2528</v>
      </c>
      <c r="D1" s="1622"/>
      <c r="E1" s="1631"/>
      <c r="F1" s="2584"/>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IF(C2="——",ROUND(C43*D3/10000,0),ROUND(C43*D3/10000,0)-D2)</f>
        <v>#DIV/0!</v>
      </c>
      <c r="C2" s="2586"/>
      <c r="D2" s="1125" t="e">
        <f ca="1">SUMIF(INDIRECT("'"&amp;F2&amp;"'"&amp;"!A:A"),"承租人权益价值",INDIRECT("'"&amp;F2&amp;"'"&amp;"!c:c"))</f>
        <v>#REF!</v>
      </c>
      <c r="E2" s="2587" t="s">
        <v>2326</v>
      </c>
      <c r="F2" s="2588"/>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50120.32</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2643</v>
      </c>
      <c r="B4" s="402"/>
      <c r="C4" s="3607" t="s">
        <v>2644</v>
      </c>
      <c r="D4" s="3608"/>
      <c r="E4" s="3609" t="s">
        <v>2645</v>
      </c>
      <c r="F4" s="3610"/>
      <c r="G4" s="3607" t="s">
        <v>2646</v>
      </c>
      <c r="H4" s="3608"/>
      <c r="I4" s="3607" t="s">
        <v>2647</v>
      </c>
      <c r="J4" s="3608"/>
      <c r="K4" s="610" t="s">
        <v>2648</v>
      </c>
      <c r="L4" s="1131"/>
      <c r="M4" s="1132"/>
      <c r="N4" s="1132"/>
      <c r="O4" s="1132"/>
      <c r="P4" s="3611" t="s">
        <v>2649</v>
      </c>
      <c r="Q4" s="3612"/>
      <c r="R4" s="3594" t="s">
        <v>2645</v>
      </c>
      <c r="S4" s="3595"/>
      <c r="T4" s="3594" t="s">
        <v>2646</v>
      </c>
      <c r="U4" s="3595"/>
      <c r="V4" s="3619" t="s">
        <v>2647</v>
      </c>
      <c r="W4" s="3619"/>
      <c r="X4" s="1814"/>
      <c r="Y4" s="3594" t="s">
        <v>2649</v>
      </c>
      <c r="Z4" s="3595"/>
      <c r="AA4" s="3589" t="s">
        <v>2645</v>
      </c>
      <c r="AB4" s="3590" t="s">
        <v>2646</v>
      </c>
      <c r="AC4" s="3589" t="s">
        <v>2647</v>
      </c>
    </row>
    <row r="5" spans="1:29">
      <c r="A5" s="404"/>
      <c r="B5" s="405"/>
      <c r="C5" s="3600" t="s">
        <v>2540</v>
      </c>
      <c r="D5" s="3601"/>
      <c r="E5" s="3598" t="s">
        <v>2541</v>
      </c>
      <c r="F5" s="3599"/>
      <c r="G5" s="3600" t="s">
        <v>2542</v>
      </c>
      <c r="H5" s="3601"/>
      <c r="I5" s="3600" t="s">
        <v>2543</v>
      </c>
      <c r="J5" s="3601"/>
      <c r="K5" s="610"/>
      <c r="L5" s="1131"/>
      <c r="M5" s="1132"/>
      <c r="N5" s="1132"/>
      <c r="O5" s="1132"/>
      <c r="P5" s="3613"/>
      <c r="Q5" s="3614"/>
      <c r="R5" s="3596"/>
      <c r="S5" s="3597"/>
      <c r="T5" s="3596"/>
      <c r="U5" s="3597"/>
      <c r="V5" s="3619"/>
      <c r="W5" s="3619"/>
      <c r="X5" s="1814"/>
      <c r="Y5" s="3596"/>
      <c r="Z5" s="3597"/>
      <c r="AA5" s="3590"/>
      <c r="AB5" s="3590"/>
      <c r="AC5" s="3590"/>
    </row>
    <row r="6" spans="1:29" ht="15" thickBot="1">
      <c r="A6" s="406"/>
      <c r="B6" s="407"/>
      <c r="C6" s="3602" t="s">
        <v>2544</v>
      </c>
      <c r="D6" s="3603"/>
      <c r="E6" s="3604" t="s">
        <v>2544</v>
      </c>
      <c r="F6" s="3605"/>
      <c r="G6" s="3602" t="s">
        <v>2544</v>
      </c>
      <c r="H6" s="3603"/>
      <c r="I6" s="3602" t="s">
        <v>2544</v>
      </c>
      <c r="J6" s="3603"/>
      <c r="K6" s="610" t="s">
        <v>2545</v>
      </c>
      <c r="L6" s="1131"/>
      <c r="M6" s="1132"/>
      <c r="N6" s="1132"/>
      <c r="O6" s="1132"/>
      <c r="P6" s="3615"/>
      <c r="Q6" s="3616"/>
      <c r="R6" s="3596"/>
      <c r="S6" s="3597"/>
      <c r="T6" s="3617"/>
      <c r="U6" s="3618"/>
      <c r="V6" s="3619"/>
      <c r="W6" s="3619"/>
      <c r="X6" s="1814"/>
      <c r="Y6" s="3617"/>
      <c r="Z6" s="3618"/>
      <c r="AA6" s="3591"/>
      <c r="AB6" s="3591"/>
      <c r="AC6" s="3591"/>
    </row>
    <row r="7" spans="1:29" s="117" customFormat="1" ht="15" thickBot="1">
      <c r="A7" s="408" t="s">
        <v>2546</v>
      </c>
      <c r="B7" s="409"/>
      <c r="C7" s="410">
        <f>'数据-取费表'!B2</f>
        <v>43458</v>
      </c>
      <c r="D7" s="411">
        <v>100</v>
      </c>
      <c r="E7" s="412"/>
      <c r="F7" s="413">
        <f>SUMIF(52:52,YEAR(E7)&amp;"-"&amp;MONTH(E7),53:53)</f>
        <v>0</v>
      </c>
      <c r="G7" s="412"/>
      <c r="H7" s="411">
        <f>SUMIF(52:52,YEAR(G7)&amp;"-"&amp;MONTH(G7),53:53)</f>
        <v>0</v>
      </c>
      <c r="I7" s="412"/>
      <c r="J7" s="411">
        <f>SUMIF(52:52,YEAR(I7)&amp;"-"&amp;MONTH(I7),53:53)</f>
        <v>0</v>
      </c>
      <c r="K7" s="611"/>
      <c r="L7" s="1133"/>
      <c r="M7" s="1134"/>
      <c r="N7" s="1134"/>
      <c r="O7" s="1134"/>
      <c r="P7" s="3592" t="s">
        <v>2547</v>
      </c>
      <c r="Q7" s="3620"/>
      <c r="R7" s="770" t="s">
        <v>17</v>
      </c>
      <c r="S7" s="771">
        <f t="shared" ref="S7:S15" si="0">F7</f>
        <v>0</v>
      </c>
      <c r="T7" s="770" t="s">
        <v>17</v>
      </c>
      <c r="U7" s="771">
        <f t="shared" ref="U7:U15" si="1">H7</f>
        <v>0</v>
      </c>
      <c r="V7" s="770" t="s">
        <v>17</v>
      </c>
      <c r="W7" s="771">
        <f t="shared" ref="W7:W15" si="2">J7</f>
        <v>0</v>
      </c>
      <c r="X7" s="772"/>
      <c r="Y7" s="3592" t="s">
        <v>2547</v>
      </c>
      <c r="Z7" s="3593"/>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592" t="s">
        <v>2550</v>
      </c>
      <c r="Q8" s="3593"/>
      <c r="R8" s="770" t="s">
        <v>17</v>
      </c>
      <c r="S8" s="771">
        <f t="shared" si="0"/>
        <v>0</v>
      </c>
      <c r="T8" s="770" t="s">
        <v>17</v>
      </c>
      <c r="U8" s="771">
        <f t="shared" si="1"/>
        <v>0</v>
      </c>
      <c r="V8" s="770" t="s">
        <v>17</v>
      </c>
      <c r="W8" s="771">
        <f t="shared" si="2"/>
        <v>0</v>
      </c>
      <c r="X8" s="772"/>
      <c r="Y8" s="3592" t="s">
        <v>2550</v>
      </c>
      <c r="Z8" s="3593"/>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624" t="s">
        <v>2553</v>
      </c>
      <c r="Q9" s="1796" t="str">
        <f t="shared" ref="Q9:Q15" si="6">B9</f>
        <v>用途</v>
      </c>
      <c r="R9" s="770" t="s">
        <v>17</v>
      </c>
      <c r="S9" s="771">
        <f t="shared" si="0"/>
        <v>100</v>
      </c>
      <c r="T9" s="770" t="s">
        <v>17</v>
      </c>
      <c r="U9" s="771">
        <f t="shared" si="1"/>
        <v>100</v>
      </c>
      <c r="V9" s="770" t="s">
        <v>17</v>
      </c>
      <c r="W9" s="771">
        <f t="shared" si="2"/>
        <v>100</v>
      </c>
      <c r="X9" s="772"/>
      <c r="Y9" s="3439"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624"/>
      <c r="Q10" s="1796" t="str">
        <f t="shared" si="6"/>
        <v>土地使用年限（年）</v>
      </c>
      <c r="R10" s="770" t="s">
        <v>17</v>
      </c>
      <c r="S10" s="771">
        <f t="shared" si="0"/>
        <v>100</v>
      </c>
      <c r="T10" s="770" t="s">
        <v>17</v>
      </c>
      <c r="U10" s="771">
        <f t="shared" si="1"/>
        <v>100</v>
      </c>
      <c r="V10" s="770" t="s">
        <v>17</v>
      </c>
      <c r="W10" s="771">
        <f t="shared" si="2"/>
        <v>100</v>
      </c>
      <c r="X10" s="772"/>
      <c r="Y10" s="343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624"/>
      <c r="Q11" s="1796" t="str">
        <f t="shared" si="6"/>
        <v>容积率</v>
      </c>
      <c r="R11" s="770" t="s">
        <v>17</v>
      </c>
      <c r="S11" s="771" t="e">
        <f t="shared" si="0"/>
        <v>#N/A</v>
      </c>
      <c r="T11" s="770" t="s">
        <v>17</v>
      </c>
      <c r="U11" s="771" t="e">
        <f t="shared" si="1"/>
        <v>#N/A</v>
      </c>
      <c r="V11" s="770" t="s">
        <v>17</v>
      </c>
      <c r="W11" s="771" t="e">
        <f t="shared" si="2"/>
        <v>#N/A</v>
      </c>
      <c r="X11" s="772"/>
      <c r="Y11" s="343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624"/>
      <c r="Q12" s="1796">
        <f t="shared" si="6"/>
        <v>111</v>
      </c>
      <c r="R12" s="770" t="s">
        <v>17</v>
      </c>
      <c r="S12" s="771">
        <f t="shared" si="0"/>
        <v>100</v>
      </c>
      <c r="T12" s="770" t="s">
        <v>17</v>
      </c>
      <c r="U12" s="771">
        <f t="shared" si="1"/>
        <v>100</v>
      </c>
      <c r="V12" s="770" t="s">
        <v>17</v>
      </c>
      <c r="W12" s="771">
        <f t="shared" si="2"/>
        <v>100</v>
      </c>
      <c r="X12" s="772"/>
      <c r="Y12" s="343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624"/>
      <c r="Q13" s="1796">
        <f t="shared" si="6"/>
        <v>111</v>
      </c>
      <c r="R13" s="770" t="s">
        <v>17</v>
      </c>
      <c r="S13" s="771">
        <f t="shared" si="0"/>
        <v>100</v>
      </c>
      <c r="T13" s="770" t="s">
        <v>17</v>
      </c>
      <c r="U13" s="771">
        <f t="shared" si="1"/>
        <v>100</v>
      </c>
      <c r="V13" s="770" t="s">
        <v>17</v>
      </c>
      <c r="W13" s="771">
        <f t="shared" si="2"/>
        <v>100</v>
      </c>
      <c r="X13" s="772"/>
      <c r="Y13" s="3439"/>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624"/>
      <c r="Q14" s="1796">
        <f t="shared" si="6"/>
        <v>111</v>
      </c>
      <c r="R14" s="770" t="s">
        <v>17</v>
      </c>
      <c r="S14" s="771">
        <f t="shared" si="0"/>
        <v>100</v>
      </c>
      <c r="T14" s="770" t="s">
        <v>17</v>
      </c>
      <c r="U14" s="771">
        <f t="shared" si="1"/>
        <v>100</v>
      </c>
      <c r="V14" s="770" t="s">
        <v>17</v>
      </c>
      <c r="W14" s="771">
        <f t="shared" si="2"/>
        <v>100</v>
      </c>
      <c r="X14" s="772"/>
      <c r="Y14" s="3439"/>
      <c r="Z14" s="55">
        <f t="shared" si="7"/>
        <v>111</v>
      </c>
      <c r="AA14" s="773">
        <f t="shared" si="3"/>
        <v>1</v>
      </c>
      <c r="AB14" s="773">
        <f t="shared" si="4"/>
        <v>1</v>
      </c>
      <c r="AC14" s="773">
        <f t="shared" si="5"/>
        <v>1</v>
      </c>
    </row>
    <row r="15" spans="1:29" ht="69">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626" t="s">
        <v>2558</v>
      </c>
      <c r="Q15" s="1811" t="str">
        <f t="shared" si="6"/>
        <v>产业集聚程度</v>
      </c>
      <c r="R15" s="774" t="s">
        <v>17</v>
      </c>
      <c r="S15" s="775">
        <f t="shared" si="0"/>
        <v>100</v>
      </c>
      <c r="T15" s="774" t="s">
        <v>17</v>
      </c>
      <c r="U15" s="775">
        <f t="shared" si="1"/>
        <v>100</v>
      </c>
      <c r="V15" s="774" t="s">
        <v>17</v>
      </c>
      <c r="W15" s="775">
        <f t="shared" si="2"/>
        <v>100</v>
      </c>
      <c r="X15" s="1814"/>
      <c r="Y15" s="3626" t="s">
        <v>2558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627"/>
      <c r="Q16" s="1811"/>
      <c r="R16" s="774"/>
      <c r="S16" s="775"/>
      <c r="T16" s="774"/>
      <c r="U16" s="775"/>
      <c r="V16" s="774"/>
      <c r="W16" s="775"/>
      <c r="X16" s="1814"/>
      <c r="Y16" s="3627"/>
      <c r="Z16" s="1815"/>
      <c r="AA16" s="1812">
        <v>1</v>
      </c>
      <c r="AB16" s="1812">
        <v>1</v>
      </c>
      <c r="AC16" s="1812">
        <v>1</v>
      </c>
    </row>
    <row r="17" spans="1:29" ht="96.6">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627"/>
      <c r="Q17" s="1811" t="str">
        <f>B17</f>
        <v>交通便捷度</v>
      </c>
      <c r="R17" s="774" t="s">
        <v>17</v>
      </c>
      <c r="S17" s="775">
        <f>F17</f>
        <v>100</v>
      </c>
      <c r="T17" s="774" t="s">
        <v>17</v>
      </c>
      <c r="U17" s="775">
        <f>H17</f>
        <v>100</v>
      </c>
      <c r="V17" s="774" t="s">
        <v>17</v>
      </c>
      <c r="W17" s="775">
        <f>J17</f>
        <v>100</v>
      </c>
      <c r="X17" s="1814"/>
      <c r="Y17" s="3627"/>
      <c r="Z17" s="1815" t="str">
        <f>Q17</f>
        <v>交通便捷度</v>
      </c>
      <c r="AA17" s="1812">
        <f t="shared" si="3"/>
        <v>1</v>
      </c>
      <c r="AB17" s="1812">
        <f t="shared" si="4"/>
        <v>1</v>
      </c>
      <c r="AC17" s="1812">
        <f t="shared" si="5"/>
        <v>1</v>
      </c>
    </row>
    <row r="18" spans="1:29" ht="15">
      <c r="A18" s="428"/>
      <c r="B18" s="456"/>
      <c r="C18" s="2608"/>
      <c r="D18" s="450"/>
      <c r="E18" s="2610"/>
      <c r="F18" s="453"/>
      <c r="G18" s="2609"/>
      <c r="H18" s="448"/>
      <c r="I18" s="2610"/>
      <c r="J18" s="448"/>
      <c r="K18" s="615"/>
      <c r="L18" s="1141"/>
      <c r="M18" s="1132"/>
      <c r="N18" s="1132"/>
      <c r="O18" s="1140"/>
      <c r="P18" s="3627"/>
      <c r="Q18" s="1811"/>
      <c r="R18" s="774"/>
      <c r="S18" s="775"/>
      <c r="T18" s="774"/>
      <c r="U18" s="775"/>
      <c r="V18" s="774"/>
      <c r="W18" s="775"/>
      <c r="X18" s="1814"/>
      <c r="Y18" s="3627"/>
      <c r="Z18" s="1815"/>
      <c r="AA18" s="1812">
        <v>1</v>
      </c>
      <c r="AB18" s="1812">
        <v>1</v>
      </c>
      <c r="AC18" s="1812">
        <v>1</v>
      </c>
    </row>
    <row r="19" spans="1:29" ht="41.4">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627"/>
      <c r="Q19" s="1811" t="str">
        <f>B19</f>
        <v>公共配套设施</v>
      </c>
      <c r="R19" s="774" t="s">
        <v>17</v>
      </c>
      <c r="S19" s="775">
        <f>F19</f>
        <v>100</v>
      </c>
      <c r="T19" s="774" t="s">
        <v>17</v>
      </c>
      <c r="U19" s="775">
        <f>H19</f>
        <v>100</v>
      </c>
      <c r="V19" s="774" t="s">
        <v>17</v>
      </c>
      <c r="W19" s="775">
        <f>J19</f>
        <v>100</v>
      </c>
      <c r="X19" s="1814"/>
      <c r="Y19" s="3627"/>
      <c r="Z19" s="1815" t="str">
        <f>Q19</f>
        <v>公共配套设施</v>
      </c>
      <c r="AA19" s="1812">
        <f t="shared" si="3"/>
        <v>1</v>
      </c>
      <c r="AB19" s="1812">
        <f t="shared" si="4"/>
        <v>1</v>
      </c>
      <c r="AC19" s="1812">
        <f t="shared" si="5"/>
        <v>1</v>
      </c>
    </row>
    <row r="20" spans="1:29" ht="15">
      <c r="A20" s="428"/>
      <c r="B20" s="456"/>
      <c r="C20" s="447"/>
      <c r="D20" s="448"/>
      <c r="E20" s="2605"/>
      <c r="F20" s="449"/>
      <c r="G20" s="2604"/>
      <c r="H20" s="448"/>
      <c r="I20" s="2605"/>
      <c r="J20" s="448"/>
      <c r="K20" s="615"/>
      <c r="L20" s="1141"/>
      <c r="M20" s="1132"/>
      <c r="N20" s="1132"/>
      <c r="O20" s="1140"/>
      <c r="P20" s="3627"/>
      <c r="Q20" s="1811"/>
      <c r="R20" s="774"/>
      <c r="S20" s="775"/>
      <c r="T20" s="774"/>
      <c r="U20" s="775"/>
      <c r="V20" s="774"/>
      <c r="W20" s="775"/>
      <c r="X20" s="1814"/>
      <c r="Y20" s="3627"/>
      <c r="Z20" s="1815"/>
      <c r="AA20" s="1812">
        <v>1</v>
      </c>
      <c r="AB20" s="1812">
        <v>1</v>
      </c>
      <c r="AC20" s="1812">
        <v>1</v>
      </c>
    </row>
    <row r="21" spans="1:29" ht="41.4">
      <c r="A21" s="428"/>
      <c r="B21" s="1385"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627"/>
      <c r="Q21" s="1811" t="str">
        <f>B21</f>
        <v>基础设施水平</v>
      </c>
      <c r="R21" s="774" t="s">
        <v>17</v>
      </c>
      <c r="S21" s="775">
        <f>F21</f>
        <v>100</v>
      </c>
      <c r="T21" s="774" t="s">
        <v>17</v>
      </c>
      <c r="U21" s="775">
        <f>H21</f>
        <v>100</v>
      </c>
      <c r="V21" s="774" t="s">
        <v>17</v>
      </c>
      <c r="W21" s="775">
        <f>J21</f>
        <v>100</v>
      </c>
      <c r="X21" s="1814"/>
      <c r="Y21" s="3627"/>
      <c r="Z21" s="1815" t="str">
        <f>Q21</f>
        <v>基础设施水平</v>
      </c>
      <c r="AA21" s="1812">
        <f>D21/F21</f>
        <v>1</v>
      </c>
      <c r="AB21" s="1812">
        <f>D21/H21</f>
        <v>1</v>
      </c>
      <c r="AC21" s="1812">
        <f>D21/J21</f>
        <v>1</v>
      </c>
    </row>
    <row r="22" spans="1:29" ht="15">
      <c r="A22" s="428"/>
      <c r="B22" s="1385"/>
      <c r="C22" s="2608"/>
      <c r="D22" s="448"/>
      <c r="E22" s="447"/>
      <c r="F22" s="449"/>
      <c r="G22" s="447"/>
      <c r="H22" s="448"/>
      <c r="I22" s="447"/>
      <c r="J22" s="448"/>
      <c r="K22" s="1384"/>
      <c r="L22" s="1141"/>
      <c r="M22" s="1132"/>
      <c r="N22" s="1132"/>
      <c r="O22" s="1140"/>
      <c r="P22" s="3627"/>
      <c r="Q22" s="1811"/>
      <c r="R22" s="774"/>
      <c r="S22" s="775"/>
      <c r="T22" s="774"/>
      <c r="U22" s="775"/>
      <c r="V22" s="774"/>
      <c r="W22" s="775"/>
      <c r="X22" s="1814"/>
      <c r="Y22" s="3627"/>
      <c r="Z22" s="1815"/>
      <c r="AA22" s="1812">
        <v>1</v>
      </c>
      <c r="AB22" s="1812">
        <v>1</v>
      </c>
      <c r="AC22" s="1812">
        <v>1</v>
      </c>
    </row>
    <row r="23" spans="1:29" ht="82.8">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627"/>
      <c r="Q23" s="1811" t="str">
        <f>B23</f>
        <v>环境质量</v>
      </c>
      <c r="R23" s="774" t="s">
        <v>17</v>
      </c>
      <c r="S23" s="775">
        <f>F23</f>
        <v>100</v>
      </c>
      <c r="T23" s="774" t="s">
        <v>17</v>
      </c>
      <c r="U23" s="775">
        <f>H23</f>
        <v>100</v>
      </c>
      <c r="V23" s="774" t="s">
        <v>17</v>
      </c>
      <c r="W23" s="775">
        <f>J23</f>
        <v>100</v>
      </c>
      <c r="X23" s="1814"/>
      <c r="Y23" s="3627"/>
      <c r="Z23" s="1815" t="str">
        <f>Q23</f>
        <v>环境质量</v>
      </c>
      <c r="AA23" s="1812">
        <f t="shared" si="3"/>
        <v>1</v>
      </c>
      <c r="AB23" s="1812">
        <f t="shared" si="4"/>
        <v>1</v>
      </c>
      <c r="AC23" s="1812">
        <f t="shared" si="5"/>
        <v>1</v>
      </c>
    </row>
    <row r="24" spans="1:29" ht="15">
      <c r="A24" s="428"/>
      <c r="B24" s="1385"/>
      <c r="C24" s="447"/>
      <c r="D24" s="448"/>
      <c r="E24" s="2605"/>
      <c r="F24" s="449"/>
      <c r="G24" s="2604"/>
      <c r="H24" s="448"/>
      <c r="I24" s="2605"/>
      <c r="J24" s="448"/>
      <c r="K24" s="615"/>
      <c r="L24" s="1141"/>
      <c r="M24" s="1132"/>
      <c r="N24" s="1132"/>
      <c r="O24" s="1140"/>
      <c r="P24" s="3627"/>
      <c r="Q24" s="1811"/>
      <c r="R24" s="774"/>
      <c r="S24" s="775"/>
      <c r="T24" s="774"/>
      <c r="U24" s="775"/>
      <c r="V24" s="774"/>
      <c r="W24" s="775"/>
      <c r="X24" s="1814"/>
      <c r="Y24" s="3627"/>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627"/>
      <c r="Q25" s="1811">
        <f>B25</f>
        <v>111</v>
      </c>
      <c r="R25" s="774" t="s">
        <v>17</v>
      </c>
      <c r="S25" s="775">
        <f>F25</f>
        <v>100</v>
      </c>
      <c r="T25" s="774" t="s">
        <v>17</v>
      </c>
      <c r="U25" s="775">
        <f>H25</f>
        <v>100</v>
      </c>
      <c r="V25" s="774" t="s">
        <v>17</v>
      </c>
      <c r="W25" s="775">
        <f>J25</f>
        <v>100</v>
      </c>
      <c r="X25" s="1814"/>
      <c r="Y25" s="3627"/>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627"/>
      <c r="Q26" s="1811">
        <f t="shared" ref="Q26:Q40" si="8">B26</f>
        <v>111</v>
      </c>
      <c r="R26" s="774" t="s">
        <v>17</v>
      </c>
      <c r="S26" s="775">
        <f>F26</f>
        <v>100</v>
      </c>
      <c r="T26" s="774" t="s">
        <v>17</v>
      </c>
      <c r="U26" s="775">
        <f>H26</f>
        <v>100</v>
      </c>
      <c r="V26" s="774" t="s">
        <v>17</v>
      </c>
      <c r="W26" s="775">
        <f>J26</f>
        <v>100</v>
      </c>
      <c r="X26" s="1814"/>
      <c r="Y26" s="3627"/>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627"/>
      <c r="Q27" s="1796">
        <f t="shared" si="8"/>
        <v>111</v>
      </c>
      <c r="R27" s="770" t="s">
        <v>17</v>
      </c>
      <c r="S27" s="771">
        <f>F27</f>
        <v>100</v>
      </c>
      <c r="T27" s="770" t="s">
        <v>17</v>
      </c>
      <c r="U27" s="771">
        <f>H27</f>
        <v>100</v>
      </c>
      <c r="V27" s="770" t="s">
        <v>17</v>
      </c>
      <c r="W27" s="771">
        <f>J27</f>
        <v>100</v>
      </c>
      <c r="X27" s="772"/>
      <c r="Y27" s="3627"/>
      <c r="Z27" s="55">
        <f>Q27</f>
        <v>111</v>
      </c>
      <c r="AA27" s="1812">
        <f>D27/F27</f>
        <v>1</v>
      </c>
      <c r="AB27" s="1812">
        <f>D27/H27</f>
        <v>1</v>
      </c>
      <c r="AC27" s="1812">
        <f>D27/J27</f>
        <v>1</v>
      </c>
    </row>
    <row r="28" spans="1:29" ht="15.6"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627"/>
      <c r="Q28" s="1811">
        <f t="shared" si="8"/>
        <v>111</v>
      </c>
      <c r="R28" s="774" t="s">
        <v>17</v>
      </c>
      <c r="S28" s="775">
        <f t="shared" ref="S28:S40" si="9">F28</f>
        <v>100</v>
      </c>
      <c r="T28" s="774" t="s">
        <v>17</v>
      </c>
      <c r="U28" s="775">
        <f t="shared" ref="U28:U40" si="10">H28</f>
        <v>100</v>
      </c>
      <c r="V28" s="774" t="s">
        <v>17</v>
      </c>
      <c r="W28" s="775">
        <f t="shared" ref="W28:W40" si="11">J28</f>
        <v>100</v>
      </c>
      <c r="X28" s="1814"/>
      <c r="Y28" s="3627"/>
      <c r="Z28" s="1815">
        <f t="shared" ref="Z28:Z40" si="12">Q28</f>
        <v>111</v>
      </c>
      <c r="AA28" s="1812">
        <f t="shared" si="3"/>
        <v>1</v>
      </c>
      <c r="AB28" s="1812">
        <f t="shared" si="4"/>
        <v>1</v>
      </c>
      <c r="AC28" s="1812">
        <f t="shared" si="5"/>
        <v>1</v>
      </c>
    </row>
    <row r="29" spans="1:29" ht="30">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650" t="s">
        <v>2563</v>
      </c>
      <c r="Q29" s="1811" t="str">
        <f t="shared" si="8"/>
        <v>建筑类型</v>
      </c>
      <c r="R29" s="774" t="s">
        <v>17</v>
      </c>
      <c r="S29" s="775">
        <f t="shared" si="9"/>
        <v>100</v>
      </c>
      <c r="T29" s="774" t="s">
        <v>17</v>
      </c>
      <c r="U29" s="775">
        <f t="shared" si="10"/>
        <v>100</v>
      </c>
      <c r="V29" s="774" t="s">
        <v>17</v>
      </c>
      <c r="W29" s="775">
        <f t="shared" si="11"/>
        <v>100</v>
      </c>
      <c r="X29" s="1814"/>
      <c r="Y29" s="3631" t="s">
        <v>2563</v>
      </c>
      <c r="Z29" s="1815" t="str">
        <f t="shared" si="12"/>
        <v>建筑类型</v>
      </c>
      <c r="AA29" s="1812">
        <f t="shared" si="3"/>
        <v>1</v>
      </c>
      <c r="AB29" s="1812">
        <f t="shared" si="4"/>
        <v>1</v>
      </c>
      <c r="AC29" s="181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631"/>
      <c r="Q30" s="776" t="str">
        <f t="shared" si="8"/>
        <v>项目建筑规模</v>
      </c>
      <c r="R30" s="777" t="s">
        <v>17</v>
      </c>
      <c r="S30" s="778" t="e">
        <f t="shared" si="9"/>
        <v>#N/A</v>
      </c>
      <c r="T30" s="777" t="s">
        <v>17</v>
      </c>
      <c r="U30" s="778" t="e">
        <f t="shared" si="10"/>
        <v>#N/A</v>
      </c>
      <c r="V30" s="777" t="s">
        <v>17</v>
      </c>
      <c r="W30" s="778" t="e">
        <f t="shared" si="11"/>
        <v>#N/A</v>
      </c>
      <c r="X30" s="779"/>
      <c r="Y30" s="3631"/>
      <c r="Z30" s="780" t="str">
        <f t="shared" si="12"/>
        <v>项目建筑规模</v>
      </c>
      <c r="AA30" s="1812" t="e">
        <f t="shared" si="3"/>
        <v>#N/A</v>
      </c>
      <c r="AB30" s="1812" t="e">
        <f t="shared" si="4"/>
        <v>#N/A</v>
      </c>
      <c r="AC30" s="181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631"/>
      <c r="Q31" s="1811" t="str">
        <f t="shared" si="8"/>
        <v>建筑结构</v>
      </c>
      <c r="R31" s="774" t="s">
        <v>17</v>
      </c>
      <c r="S31" s="775">
        <f t="shared" si="9"/>
        <v>100</v>
      </c>
      <c r="T31" s="774" t="s">
        <v>17</v>
      </c>
      <c r="U31" s="775">
        <f t="shared" si="10"/>
        <v>100</v>
      </c>
      <c r="V31" s="774" t="s">
        <v>17</v>
      </c>
      <c r="W31" s="775">
        <f t="shared" si="11"/>
        <v>100</v>
      </c>
      <c r="X31" s="1814"/>
      <c r="Y31" s="3631"/>
      <c r="Z31" s="1815" t="str">
        <f t="shared" si="12"/>
        <v>建筑结构</v>
      </c>
      <c r="AA31" s="1812">
        <f t="shared" si="3"/>
        <v>1</v>
      </c>
      <c r="AB31" s="1812">
        <f t="shared" si="4"/>
        <v>1</v>
      </c>
      <c r="AC31" s="181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631"/>
      <c r="Q32" s="1811" t="str">
        <f t="shared" si="8"/>
        <v>公共部分装修</v>
      </c>
      <c r="R32" s="774" t="s">
        <v>17</v>
      </c>
      <c r="S32" s="775">
        <f t="shared" si="9"/>
        <v>100</v>
      </c>
      <c r="T32" s="774" t="s">
        <v>17</v>
      </c>
      <c r="U32" s="775">
        <f t="shared" si="10"/>
        <v>100</v>
      </c>
      <c r="V32" s="774" t="s">
        <v>17</v>
      </c>
      <c r="W32" s="775">
        <f t="shared" si="11"/>
        <v>100</v>
      </c>
      <c r="X32" s="1814"/>
      <c r="Y32" s="3631"/>
      <c r="Z32" s="1815" t="str">
        <f t="shared" si="12"/>
        <v>公共部分装修</v>
      </c>
      <c r="AA32" s="1812">
        <f t="shared" si="3"/>
        <v>1</v>
      </c>
      <c r="AB32" s="1812">
        <f t="shared" si="4"/>
        <v>1</v>
      </c>
      <c r="AC32" s="181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631"/>
      <c r="Q33" s="1811" t="str">
        <f t="shared" si="8"/>
        <v>成新度</v>
      </c>
      <c r="R33" s="774" t="s">
        <v>17</v>
      </c>
      <c r="S33" s="775" t="e">
        <f t="shared" si="9"/>
        <v>#N/A</v>
      </c>
      <c r="T33" s="774" t="s">
        <v>17</v>
      </c>
      <c r="U33" s="775" t="e">
        <f t="shared" si="10"/>
        <v>#N/A</v>
      </c>
      <c r="V33" s="774" t="s">
        <v>17</v>
      </c>
      <c r="W33" s="775" t="e">
        <f t="shared" si="11"/>
        <v>#N/A</v>
      </c>
      <c r="X33" s="1814"/>
      <c r="Y33" s="3631"/>
      <c r="Z33" s="1815" t="str">
        <f t="shared" si="12"/>
        <v>成新度</v>
      </c>
      <c r="AA33" s="1812" t="e">
        <f t="shared" si="3"/>
        <v>#N/A</v>
      </c>
      <c r="AB33" s="1812" t="e">
        <f t="shared" si="4"/>
        <v>#N/A</v>
      </c>
      <c r="AC33" s="181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631"/>
      <c r="Q34" s="1796" t="str">
        <f t="shared" si="8"/>
        <v>物业管理</v>
      </c>
      <c r="R34" s="770" t="s">
        <v>17</v>
      </c>
      <c r="S34" s="771">
        <f t="shared" si="9"/>
        <v>100</v>
      </c>
      <c r="T34" s="770" t="s">
        <v>17</v>
      </c>
      <c r="U34" s="771">
        <f t="shared" si="10"/>
        <v>100</v>
      </c>
      <c r="V34" s="770" t="s">
        <v>17</v>
      </c>
      <c r="W34" s="771">
        <f t="shared" si="11"/>
        <v>100</v>
      </c>
      <c r="X34" s="772"/>
      <c r="Y34" s="3631"/>
      <c r="Z34" s="55" t="str">
        <f t="shared" si="12"/>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631" t="s">
        <v>2563</v>
      </c>
      <c r="Q35" s="1811" t="str">
        <f t="shared" si="8"/>
        <v>市政基础设施</v>
      </c>
      <c r="R35" s="774" t="s">
        <v>17</v>
      </c>
      <c r="S35" s="775">
        <f t="shared" si="9"/>
        <v>100</v>
      </c>
      <c r="T35" s="774" t="s">
        <v>17</v>
      </c>
      <c r="U35" s="775">
        <f t="shared" si="10"/>
        <v>100</v>
      </c>
      <c r="V35" s="774" t="s">
        <v>17</v>
      </c>
      <c r="W35" s="775">
        <f t="shared" si="11"/>
        <v>100</v>
      </c>
      <c r="X35" s="1814"/>
      <c r="Y35" s="3631" t="s">
        <v>2563</v>
      </c>
      <c r="Z35" s="1815" t="str">
        <f t="shared" si="12"/>
        <v>市政基础设施</v>
      </c>
      <c r="AA35" s="1812">
        <f t="shared" si="3"/>
        <v>1</v>
      </c>
      <c r="AB35" s="1812">
        <f t="shared" si="4"/>
        <v>1</v>
      </c>
      <c r="AC35" s="181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631"/>
      <c r="Q36" s="1811" t="str">
        <f t="shared" si="8"/>
        <v>内部装修</v>
      </c>
      <c r="R36" s="774" t="s">
        <v>17</v>
      </c>
      <c r="S36" s="775">
        <f t="shared" si="9"/>
        <v>100</v>
      </c>
      <c r="T36" s="774" t="s">
        <v>17</v>
      </c>
      <c r="U36" s="775">
        <f t="shared" si="10"/>
        <v>100</v>
      </c>
      <c r="V36" s="774" t="s">
        <v>17</v>
      </c>
      <c r="W36" s="775">
        <f t="shared" si="11"/>
        <v>100</v>
      </c>
      <c r="X36" s="1814"/>
      <c r="Y36" s="3631"/>
      <c r="Z36" s="1815" t="str">
        <f t="shared" si="12"/>
        <v>内部装修</v>
      </c>
      <c r="AA36" s="1812">
        <f t="shared" si="3"/>
        <v>1</v>
      </c>
      <c r="AB36" s="1812">
        <f t="shared" si="4"/>
        <v>1</v>
      </c>
      <c r="AC36" s="181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631"/>
      <c r="Q37" s="1811" t="str">
        <f t="shared" si="8"/>
        <v>内部装修状况</v>
      </c>
      <c r="R37" s="774" t="s">
        <v>17</v>
      </c>
      <c r="S37" s="775">
        <f t="shared" si="9"/>
        <v>100</v>
      </c>
      <c r="T37" s="774" t="s">
        <v>17</v>
      </c>
      <c r="U37" s="775">
        <f t="shared" si="10"/>
        <v>100</v>
      </c>
      <c r="V37" s="774" t="s">
        <v>17</v>
      </c>
      <c r="W37" s="775">
        <f t="shared" si="11"/>
        <v>100</v>
      </c>
      <c r="X37" s="1814"/>
      <c r="Y37" s="3631"/>
      <c r="Z37" s="1815" t="str">
        <f t="shared" si="12"/>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631"/>
      <c r="Q38" s="776">
        <f t="shared" si="8"/>
        <v>111</v>
      </c>
      <c r="R38" s="777" t="s">
        <v>17</v>
      </c>
      <c r="S38" s="778">
        <f t="shared" si="9"/>
        <v>100</v>
      </c>
      <c r="T38" s="777" t="s">
        <v>17</v>
      </c>
      <c r="U38" s="778">
        <f t="shared" si="10"/>
        <v>100</v>
      </c>
      <c r="V38" s="777" t="s">
        <v>17</v>
      </c>
      <c r="W38" s="778">
        <f t="shared" si="11"/>
        <v>100</v>
      </c>
      <c r="X38" s="779"/>
      <c r="Y38" s="3631"/>
      <c r="Z38" s="780">
        <f t="shared" si="12"/>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631"/>
      <c r="Q39" s="1811">
        <f t="shared" si="8"/>
        <v>111</v>
      </c>
      <c r="R39" s="774" t="s">
        <v>17</v>
      </c>
      <c r="S39" s="775">
        <f t="shared" si="9"/>
        <v>100</v>
      </c>
      <c r="T39" s="774" t="s">
        <v>17</v>
      </c>
      <c r="U39" s="775">
        <f t="shared" si="10"/>
        <v>100</v>
      </c>
      <c r="V39" s="774" t="s">
        <v>17</v>
      </c>
      <c r="W39" s="775">
        <f t="shared" si="11"/>
        <v>100</v>
      </c>
      <c r="X39" s="1814"/>
      <c r="Y39" s="3631"/>
      <c r="Z39" s="1815">
        <f t="shared" si="12"/>
        <v>111</v>
      </c>
      <c r="AA39" s="1812">
        <f t="shared" si="3"/>
        <v>1</v>
      </c>
      <c r="AB39" s="1812">
        <f t="shared" si="4"/>
        <v>1</v>
      </c>
      <c r="AC39" s="1812">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632"/>
      <c r="Q40" s="1811">
        <f t="shared" si="8"/>
        <v>111</v>
      </c>
      <c r="R40" s="774" t="s">
        <v>17</v>
      </c>
      <c r="S40" s="775">
        <f t="shared" si="9"/>
        <v>100</v>
      </c>
      <c r="T40" s="774" t="s">
        <v>17</v>
      </c>
      <c r="U40" s="775">
        <f t="shared" si="10"/>
        <v>100</v>
      </c>
      <c r="V40" s="774" t="s">
        <v>17</v>
      </c>
      <c r="W40" s="775">
        <f t="shared" si="11"/>
        <v>100</v>
      </c>
      <c r="X40" s="1814"/>
      <c r="Y40" s="3632"/>
      <c r="Z40" s="1815">
        <f t="shared" si="12"/>
        <v>111</v>
      </c>
      <c r="AA40" s="1812">
        <f t="shared" si="3"/>
        <v>1</v>
      </c>
      <c r="AB40" s="1812">
        <f t="shared" si="4"/>
        <v>1</v>
      </c>
      <c r="AC40" s="1812">
        <f t="shared" si="5"/>
        <v>1</v>
      </c>
    </row>
    <row r="41" spans="1:29" ht="14.4">
      <c r="A41" s="479" t="s">
        <v>2575</v>
      </c>
      <c r="B41" s="480"/>
      <c r="C41" s="1408" t="s">
        <v>1</v>
      </c>
      <c r="D41" s="1409"/>
      <c r="E41" s="1410"/>
      <c r="F41" s="1411"/>
      <c r="G41" s="1412"/>
      <c r="H41" s="1413"/>
      <c r="I41" s="1410"/>
      <c r="J41" s="1413"/>
      <c r="K41" s="783"/>
      <c r="L41" s="1144"/>
      <c r="M41" s="1145"/>
      <c r="N41" s="1132"/>
      <c r="O41" s="1145"/>
      <c r="P41" s="3624" t="str">
        <f>A41</f>
        <v>成交单价（元/平方米）</v>
      </c>
      <c r="Q41" s="3624"/>
      <c r="R41" s="3625">
        <f>E41</f>
        <v>0</v>
      </c>
      <c r="S41" s="3625"/>
      <c r="T41" s="3625">
        <f>G41</f>
        <v>0</v>
      </c>
      <c r="U41" s="3625"/>
      <c r="V41" s="3625">
        <f>I41</f>
        <v>0</v>
      </c>
      <c r="W41" s="3625"/>
      <c r="X41" s="759"/>
      <c r="Y41" s="781"/>
      <c r="Z41" s="759"/>
      <c r="AA41" s="759"/>
      <c r="AB41" s="759"/>
      <c r="AC41" s="759"/>
    </row>
    <row r="42" spans="1:29" ht="15" thickBot="1">
      <c r="A42" s="486" t="s">
        <v>2667</v>
      </c>
      <c r="B42" s="487"/>
      <c r="C42" s="1414" t="e">
        <f>R43</f>
        <v>#DIV/0!</v>
      </c>
      <c r="D42" s="1415"/>
      <c r="E42" s="1416" t="e">
        <f>R42</f>
        <v>#DIV/0!</v>
      </c>
      <c r="F42" s="1416"/>
      <c r="G42" s="1414" t="e">
        <f>T42</f>
        <v>#DIV/0!</v>
      </c>
      <c r="H42" s="1415"/>
      <c r="I42" s="1416" t="e">
        <f>V42</f>
        <v>#DIV/0!</v>
      </c>
      <c r="J42" s="1415"/>
      <c r="K42" s="784"/>
      <c r="L42" s="1144"/>
      <c r="M42" s="1145"/>
      <c r="N42" s="1132"/>
      <c r="O42" s="1145"/>
      <c r="P42" s="3624" t="str">
        <f>A42</f>
        <v>比较价值（元/平方米）</v>
      </c>
      <c r="Q42" s="3624"/>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759"/>
      <c r="Y42" s="759"/>
      <c r="Z42" s="759"/>
      <c r="AA42" s="759"/>
      <c r="AB42" s="759"/>
      <c r="AC42" s="759"/>
    </row>
    <row r="43" spans="1:29" ht="15" thickBot="1">
      <c r="A43" s="492" t="s">
        <v>2668</v>
      </c>
      <c r="B43" s="493"/>
      <c r="C43" s="1418" t="e">
        <f>R43</f>
        <v>#DIV/0!</v>
      </c>
      <c r="D43" s="1418"/>
      <c r="E43" s="1418"/>
      <c r="F43" s="1418"/>
      <c r="G43" s="1418"/>
      <c r="H43" s="1418"/>
      <c r="I43" s="1418"/>
      <c r="J43" s="1418"/>
      <c r="K43" s="785"/>
      <c r="L43" s="1144"/>
      <c r="M43" s="1145"/>
      <c r="N43" s="1145"/>
      <c r="O43" s="1145"/>
      <c r="P43" s="3621" t="str">
        <f>A43</f>
        <v>估价对象XX用房的比较价值（楼面单价，元/平方米）</v>
      </c>
      <c r="Q43" s="3622"/>
      <c r="R43" s="3623" t="e">
        <f>IF(F1="售价",ROUND(AVERAGE(R42:V42),0),ROUND(AVERAGE(R42:V42),1))</f>
        <v>#DIV/0!</v>
      </c>
      <c r="S43" s="3623"/>
      <c r="T43" s="3623"/>
      <c r="U43" s="3623"/>
      <c r="V43" s="3623"/>
      <c r="W43" s="3623"/>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2.2" thickBot="1">
      <c r="A51" s="763" t="s">
        <v>2672</v>
      </c>
      <c r="B51" s="759"/>
      <c r="C51" s="764"/>
      <c r="D51" s="764"/>
      <c r="E51" s="764"/>
      <c r="F51" s="765"/>
      <c r="G51" s="765"/>
      <c r="H51" s="764"/>
      <c r="I51" s="764"/>
      <c r="J51" s="764"/>
      <c r="K51" s="1161"/>
      <c r="L51" s="1162"/>
      <c r="M51" s="1160"/>
      <c r="N51" s="1160"/>
      <c r="O51" s="1160"/>
      <c r="P51" s="503"/>
      <c r="Q51" s="504"/>
    </row>
    <row r="52" spans="1:17" s="508" customFormat="1" ht="14.4">
      <c r="A52" s="505" t="s">
        <v>2546</v>
      </c>
      <c r="B52" s="506"/>
      <c r="C52" s="1575" t="str">
        <f>YEAR(C7)&amp;"-"&amp;MONTH(C7)</f>
        <v>2018-12</v>
      </c>
      <c r="D52" s="1576">
        <f>EDATE(C52,-1)</f>
        <v>43405</v>
      </c>
      <c r="E52" s="1576">
        <f t="shared" ref="E52:O52" si="13">EDATE(D52,-1)</f>
        <v>43374</v>
      </c>
      <c r="F52" s="1576">
        <f t="shared" si="13"/>
        <v>43344</v>
      </c>
      <c r="G52" s="1576">
        <f t="shared" si="13"/>
        <v>43313</v>
      </c>
      <c r="H52" s="1576">
        <f t="shared" si="13"/>
        <v>43282</v>
      </c>
      <c r="I52" s="1576">
        <f t="shared" si="13"/>
        <v>43252</v>
      </c>
      <c r="J52" s="1576">
        <f t="shared" si="13"/>
        <v>43221</v>
      </c>
      <c r="K52" s="1576">
        <f t="shared" si="13"/>
        <v>43191</v>
      </c>
      <c r="L52" s="1576">
        <f t="shared" si="13"/>
        <v>43160</v>
      </c>
      <c r="M52" s="1576">
        <f t="shared" si="13"/>
        <v>43132</v>
      </c>
      <c r="N52" s="1576">
        <f t="shared" si="13"/>
        <v>43101</v>
      </c>
      <c r="O52" s="1576">
        <f t="shared" si="13"/>
        <v>43070</v>
      </c>
      <c r="P52" s="507"/>
    </row>
    <row r="53" spans="1:17" s="117" customFormat="1">
      <c r="A53" s="509"/>
      <c r="B53" s="510"/>
      <c r="C53" s="1574">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2"/>
      <c r="O55" s="1152"/>
      <c r="P55" s="526"/>
      <c r="Q55" s="504"/>
    </row>
    <row r="56" spans="1:17" s="117" customFormat="1" ht="14.4" thickBot="1">
      <c r="A56" s="521"/>
      <c r="B56" s="510"/>
      <c r="C56" s="639">
        <v>100</v>
      </c>
      <c r="D56" s="512"/>
      <c r="E56" s="512"/>
      <c r="F56" s="512"/>
      <c r="G56" s="512"/>
      <c r="H56" s="512"/>
      <c r="I56" s="512"/>
      <c r="J56" s="512"/>
      <c r="K56" s="512"/>
      <c r="L56" s="512"/>
      <c r="M56" s="514"/>
      <c r="N56" s="1152"/>
      <c r="O56" s="1152"/>
      <c r="P56" s="504"/>
      <c r="Q56" s="504"/>
    </row>
    <row r="57" spans="1:17" ht="14.4">
      <c r="A57" s="527" t="s">
        <v>2586</v>
      </c>
      <c r="B57" s="528" t="s">
        <v>2552</v>
      </c>
      <c r="C57" s="529">
        <f>C9</f>
        <v>0</v>
      </c>
      <c r="D57" s="530"/>
      <c r="E57" s="530"/>
      <c r="F57" s="530"/>
      <c r="G57" s="530"/>
      <c r="H57" s="530"/>
      <c r="I57" s="530"/>
      <c r="J57" s="530"/>
      <c r="K57" s="531"/>
      <c r="L57" s="532"/>
      <c r="M57" s="533"/>
      <c r="N57" s="1153"/>
      <c r="O57" s="1153"/>
      <c r="P57" s="45"/>
      <c r="Q57" s="504"/>
    </row>
    <row r="58" spans="1:17" ht="14.4" thickBot="1">
      <c r="A58" s="534"/>
      <c r="B58" s="535"/>
      <c r="C58" s="536">
        <v>100</v>
      </c>
      <c r="D58" s="536"/>
      <c r="E58" s="536"/>
      <c r="F58" s="536"/>
      <c r="G58" s="536"/>
      <c r="H58" s="536"/>
      <c r="I58" s="536"/>
      <c r="J58" s="536"/>
      <c r="K58" s="536"/>
      <c r="L58" s="536"/>
      <c r="M58" s="537"/>
      <c r="N58" s="1154"/>
      <c r="O58" s="1154"/>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 thickTop="1">
      <c r="A61" s="534"/>
      <c r="B61" s="546" t="s">
        <v>2556</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4"/>
      <c r="O61" s="1154"/>
      <c r="P61" s="45"/>
      <c r="Q61" s="504"/>
    </row>
    <row r="62" spans="1:17">
      <c r="A62" s="534"/>
      <c r="B62" s="548"/>
      <c r="C62" s="549"/>
      <c r="D62" s="549"/>
      <c r="E62" s="549"/>
      <c r="F62" s="549"/>
      <c r="G62" s="549"/>
      <c r="H62" s="549"/>
      <c r="I62" s="549"/>
      <c r="J62" s="549"/>
      <c r="K62" s="550"/>
      <c r="L62" s="551"/>
      <c r="M62" s="552"/>
      <c r="N62" s="1153"/>
      <c r="O62" s="1153"/>
      <c r="P62" s="45"/>
      <c r="Q62" s="504"/>
    </row>
    <row r="63" spans="1:17" ht="14.4"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4"/>
      <c r="O63" s="1154"/>
      <c r="P63" s="45"/>
      <c r="Q63" s="504"/>
    </row>
    <row r="64" spans="1:17" s="471" customFormat="1" ht="14.4" thickTop="1">
      <c r="A64" s="553"/>
      <c r="B64" s="538">
        <f>B12</f>
        <v>111</v>
      </c>
      <c r="C64" s="554"/>
      <c r="D64" s="554"/>
      <c r="E64" s="554"/>
      <c r="F64" s="554"/>
      <c r="G64" s="554"/>
      <c r="H64" s="555"/>
      <c r="I64" s="555"/>
      <c r="J64" s="555"/>
      <c r="K64" s="555"/>
      <c r="L64" s="556"/>
      <c r="M64" s="557"/>
      <c r="N64" s="1155"/>
      <c r="O64" s="1155"/>
      <c r="P64" s="558"/>
      <c r="Q64" s="559"/>
    </row>
    <row r="65" spans="1:17" s="471" customFormat="1" ht="14.4" thickBot="1">
      <c r="A65" s="553"/>
      <c r="B65" s="543"/>
      <c r="C65" s="560"/>
      <c r="D65" s="536"/>
      <c r="E65" s="536"/>
      <c r="F65" s="536"/>
      <c r="G65" s="536"/>
      <c r="H65" s="536"/>
      <c r="I65" s="536"/>
      <c r="J65" s="536"/>
      <c r="K65" s="536"/>
      <c r="L65" s="536"/>
      <c r="M65" s="537"/>
      <c r="N65" s="1154"/>
      <c r="O65" s="1154"/>
      <c r="P65" s="558"/>
      <c r="Q65" s="559"/>
    </row>
    <row r="66" spans="1:17" s="471" customFormat="1" ht="14.4" thickTop="1">
      <c r="A66" s="553"/>
      <c r="B66" s="538">
        <f>B13</f>
        <v>111</v>
      </c>
      <c r="C66" s="554"/>
      <c r="D66" s="554"/>
      <c r="E66" s="554"/>
      <c r="F66" s="554"/>
      <c r="G66" s="554"/>
      <c r="H66" s="555"/>
      <c r="I66" s="555"/>
      <c r="J66" s="555"/>
      <c r="K66" s="555"/>
      <c r="L66" s="556"/>
      <c r="M66" s="557"/>
      <c r="N66" s="1155"/>
      <c r="O66" s="1155"/>
      <c r="P66" s="470"/>
      <c r="Q66" s="561"/>
    </row>
    <row r="67" spans="1:17" s="471" customFormat="1" ht="14.4" thickBot="1">
      <c r="A67" s="553"/>
      <c r="B67" s="543"/>
      <c r="C67" s="560"/>
      <c r="D67" s="536"/>
      <c r="E67" s="536"/>
      <c r="F67" s="536"/>
      <c r="G67" s="560"/>
      <c r="H67" s="562"/>
      <c r="I67" s="562"/>
      <c r="J67" s="562"/>
      <c r="K67" s="562"/>
      <c r="L67" s="562"/>
      <c r="M67" s="563"/>
      <c r="N67" s="1155"/>
      <c r="O67" s="1155"/>
      <c r="P67" s="558"/>
      <c r="Q67" s="559"/>
    </row>
    <row r="68" spans="1:17" s="471" customFormat="1" ht="14.4" thickTop="1">
      <c r="A68" s="553"/>
      <c r="B68" s="546">
        <f>B14</f>
        <v>111</v>
      </c>
      <c r="C68" s="523"/>
      <c r="D68" s="523"/>
      <c r="E68" s="523"/>
      <c r="F68" s="523"/>
      <c r="G68" s="523"/>
      <c r="H68" s="564"/>
      <c r="I68" s="564"/>
      <c r="J68" s="564"/>
      <c r="K68" s="564"/>
      <c r="L68" s="565"/>
      <c r="M68" s="566"/>
      <c r="N68" s="1155"/>
      <c r="O68" s="1155"/>
      <c r="P68" s="567"/>
      <c r="Q68" s="559"/>
    </row>
    <row r="69" spans="1:17" s="471" customFormat="1" ht="14.4" thickBot="1">
      <c r="A69" s="568"/>
      <c r="B69" s="569"/>
      <c r="C69" s="570"/>
      <c r="D69" s="570"/>
      <c r="E69" s="570"/>
      <c r="F69" s="570"/>
      <c r="G69" s="570"/>
      <c r="H69" s="571"/>
      <c r="I69" s="571"/>
      <c r="J69" s="571"/>
      <c r="K69" s="571"/>
      <c r="L69" s="571"/>
      <c r="M69" s="572"/>
      <c r="N69" s="1155"/>
      <c r="O69" s="1155"/>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3"/>
      <c r="N76" s="1154"/>
      <c r="O76" s="1154"/>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4.4" thickTop="1">
      <c r="A80" s="579"/>
      <c r="B80" s="538">
        <f>B25</f>
        <v>111</v>
      </c>
      <c r="C80" s="554"/>
      <c r="D80" s="554"/>
      <c r="E80" s="554"/>
      <c r="F80" s="554"/>
      <c r="G80" s="554"/>
      <c r="H80" s="554"/>
      <c r="I80" s="554"/>
      <c r="J80" s="554"/>
      <c r="K80" s="554"/>
      <c r="L80" s="580"/>
      <c r="M80" s="581"/>
      <c r="N80" s="1152"/>
      <c r="O80" s="1152"/>
      <c r="P80" s="45"/>
      <c r="Q80" s="504"/>
    </row>
    <row r="81" spans="1:17" s="117" customFormat="1" ht="14.4" thickBot="1">
      <c r="A81" s="579"/>
      <c r="B81" s="543"/>
      <c r="C81" s="560"/>
      <c r="D81" s="536"/>
      <c r="E81" s="536"/>
      <c r="F81" s="536"/>
      <c r="G81" s="536"/>
      <c r="H81" s="536"/>
      <c r="I81" s="536"/>
      <c r="J81" s="536"/>
      <c r="K81" s="536"/>
      <c r="L81" s="536"/>
      <c r="M81" s="537"/>
      <c r="N81" s="1154"/>
      <c r="O81" s="1154"/>
      <c r="P81" s="45"/>
      <c r="Q81" s="504"/>
    </row>
    <row r="82" spans="1:17" s="117" customFormat="1" ht="14.4" thickTop="1">
      <c r="A82" s="579"/>
      <c r="B82" s="538">
        <f>B26</f>
        <v>111</v>
      </c>
      <c r="C82" s="554"/>
      <c r="D82" s="554"/>
      <c r="E82" s="554"/>
      <c r="F82" s="554"/>
      <c r="G82" s="554"/>
      <c r="H82" s="554"/>
      <c r="I82" s="554"/>
      <c r="J82" s="554"/>
      <c r="K82" s="554"/>
      <c r="L82" s="580"/>
      <c r="M82" s="581"/>
      <c r="N82" s="1152"/>
      <c r="O82" s="1152"/>
      <c r="P82" s="45"/>
      <c r="Q82" s="504"/>
    </row>
    <row r="83" spans="1:17" s="117" customFormat="1" ht="14.4" thickBot="1">
      <c r="A83" s="579"/>
      <c r="B83" s="543"/>
      <c r="C83" s="560"/>
      <c r="D83" s="536"/>
      <c r="E83" s="536"/>
      <c r="F83" s="536"/>
      <c r="G83" s="536"/>
      <c r="H83" s="536"/>
      <c r="I83" s="536"/>
      <c r="J83" s="536"/>
      <c r="K83" s="536"/>
      <c r="L83" s="536"/>
      <c r="M83" s="537"/>
      <c r="N83" s="1154"/>
      <c r="O83" s="1154"/>
      <c r="P83" s="45"/>
      <c r="Q83" s="504"/>
    </row>
    <row r="84" spans="1:17" s="471" customFormat="1" ht="14.4" thickTop="1">
      <c r="A84" s="553"/>
      <c r="B84" s="538">
        <f>B27</f>
        <v>111</v>
      </c>
      <c r="C84" s="554"/>
      <c r="D84" s="554"/>
      <c r="E84" s="554"/>
      <c r="F84" s="554"/>
      <c r="G84" s="554"/>
      <c r="H84" s="554"/>
      <c r="I84" s="554"/>
      <c r="J84" s="554"/>
      <c r="K84" s="554"/>
      <c r="L84" s="580"/>
      <c r="M84" s="581"/>
      <c r="N84" s="1155"/>
      <c r="O84" s="1155"/>
      <c r="P84" s="558"/>
      <c r="Q84" s="559"/>
    </row>
    <row r="85" spans="1:17" s="471" customFormat="1" ht="14.4" thickBot="1">
      <c r="A85" s="553"/>
      <c r="B85" s="543"/>
      <c r="C85" s="560"/>
      <c r="D85" s="536"/>
      <c r="E85" s="536"/>
      <c r="F85" s="536"/>
      <c r="G85" s="536"/>
      <c r="H85" s="536"/>
      <c r="I85" s="536"/>
      <c r="J85" s="536"/>
      <c r="K85" s="536"/>
      <c r="L85" s="536"/>
      <c r="M85" s="537"/>
      <c r="N85" s="1155"/>
      <c r="O85" s="1155"/>
      <c r="P85" s="558"/>
      <c r="Q85" s="559"/>
    </row>
    <row r="86" spans="1:17" ht="14.4" thickTop="1">
      <c r="A86" s="534"/>
      <c r="B86" s="546">
        <f>B28</f>
        <v>111</v>
      </c>
      <c r="C86" s="523"/>
      <c r="D86" s="523"/>
      <c r="E86" s="523"/>
      <c r="F86" s="523"/>
      <c r="G86" s="587"/>
      <c r="H86" s="587"/>
      <c r="I86" s="587"/>
      <c r="J86" s="587"/>
      <c r="K86" s="588"/>
      <c r="L86" s="589"/>
      <c r="M86" s="590"/>
      <c r="N86" s="1153"/>
      <c r="O86" s="1153"/>
      <c r="P86" s="45"/>
      <c r="Q86" s="504"/>
    </row>
    <row r="87" spans="1:17" ht="14.4" thickBot="1">
      <c r="A87" s="2636"/>
      <c r="B87" s="569"/>
      <c r="C87" s="570"/>
      <c r="D87" s="570"/>
      <c r="E87" s="570"/>
      <c r="F87" s="570"/>
      <c r="G87" s="591"/>
      <c r="H87" s="591"/>
      <c r="I87" s="591"/>
      <c r="J87" s="591"/>
      <c r="K87" s="591"/>
      <c r="L87" s="591"/>
      <c r="M87" s="592"/>
      <c r="N87" s="1154"/>
      <c r="O87" s="1154"/>
      <c r="P87" s="45"/>
      <c r="Q87" s="504"/>
    </row>
    <row r="88" spans="1:17" ht="14.4">
      <c r="A88" s="527" t="s">
        <v>2561</v>
      </c>
      <c r="B88" s="528" t="s">
        <v>2610</v>
      </c>
      <c r="C88" s="530"/>
      <c r="D88" s="530"/>
      <c r="E88" s="530"/>
      <c r="F88" s="530"/>
      <c r="G88" s="530"/>
      <c r="H88" s="530"/>
      <c r="I88" s="530"/>
      <c r="J88" s="530"/>
      <c r="K88" s="531"/>
      <c r="L88" s="532"/>
      <c r="M88" s="533"/>
      <c r="N88" s="1153"/>
      <c r="O88" s="1153"/>
      <c r="P88" s="45"/>
      <c r="Q88" s="504"/>
    </row>
    <row r="89" spans="1:17" ht="14.4"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4"/>
      <c r="O89" s="1154"/>
      <c r="P89" s="45"/>
      <c r="Q89" s="504"/>
    </row>
    <row r="90" spans="1:17" ht="15"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4.4"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4.4"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4.4"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4.4"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4.4"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4.4"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4.4"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s="471" customFormat="1" ht="14.4"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4.4" thickBot="1">
      <c r="A109" s="553"/>
      <c r="B109" s="535"/>
      <c r="C109" s="560"/>
      <c r="D109" s="536"/>
      <c r="E109" s="536"/>
      <c r="F109" s="536"/>
      <c r="G109" s="560"/>
      <c r="H109" s="562"/>
      <c r="I109" s="562"/>
      <c r="J109" s="562"/>
      <c r="K109" s="562"/>
      <c r="L109" s="562"/>
      <c r="M109" s="563"/>
      <c r="N109" s="1155"/>
      <c r="O109" s="1155"/>
      <c r="P109" s="558"/>
      <c r="Q109" s="559"/>
    </row>
    <row r="110" spans="1:17" ht="14.4" thickTop="1">
      <c r="A110" s="599"/>
      <c r="B110" s="538">
        <f>B39</f>
        <v>111</v>
      </c>
      <c r="C110" s="554"/>
      <c r="D110" s="554"/>
      <c r="E110" s="554"/>
      <c r="F110" s="554"/>
      <c r="G110" s="554"/>
      <c r="H110" s="555"/>
      <c r="I110" s="555"/>
      <c r="J110" s="555"/>
      <c r="K110" s="555"/>
      <c r="L110" s="556"/>
      <c r="M110" s="557"/>
      <c r="N110" s="1153"/>
      <c r="O110" s="1153"/>
      <c r="P110" s="45"/>
      <c r="Q110" s="504"/>
    </row>
    <row r="111" spans="1:17" ht="14.4" thickBot="1">
      <c r="A111" s="534"/>
      <c r="B111" s="543"/>
      <c r="C111" s="560"/>
      <c r="D111" s="536"/>
      <c r="E111" s="536"/>
      <c r="F111" s="536"/>
      <c r="G111" s="560"/>
      <c r="H111" s="562"/>
      <c r="I111" s="562"/>
      <c r="J111" s="562"/>
      <c r="K111" s="562"/>
      <c r="L111" s="562"/>
      <c r="M111" s="563"/>
      <c r="N111" s="1154"/>
      <c r="O111" s="1154"/>
      <c r="P111" s="45"/>
      <c r="Q111" s="504"/>
    </row>
    <row r="112" spans="1:17" ht="14.4" thickTop="1">
      <c r="A112" s="599"/>
      <c r="B112" s="546">
        <f>B40</f>
        <v>111</v>
      </c>
      <c r="C112" s="523"/>
      <c r="D112" s="523"/>
      <c r="E112" s="523"/>
      <c r="F112" s="523"/>
      <c r="G112" s="587"/>
      <c r="H112" s="587"/>
      <c r="I112" s="587"/>
      <c r="J112" s="587"/>
      <c r="K112" s="523"/>
      <c r="L112" s="524"/>
      <c r="M112" s="590"/>
      <c r="N112" s="1153"/>
      <c r="O112" s="1153"/>
      <c r="P112" s="45"/>
      <c r="Q112" s="504"/>
    </row>
    <row r="113" spans="1:17" ht="14.4" thickBot="1">
      <c r="A113" s="2636"/>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2705</v>
      </c>
      <c r="B1" s="1620"/>
      <c r="C1" s="1621" t="s">
        <v>2528</v>
      </c>
      <c r="D1" s="1622"/>
      <c r="E1" s="1623"/>
      <c r="F1" s="2584"/>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2325</v>
      </c>
      <c r="B2" s="1419" t="e">
        <f ca="1">IF(C2="——",IF(B37="元/平方米",ROUND(C39*D3/10000,0),ROUND(F3*C39/10000,0)),IF(B37="元/平方米",ROUND(C39*D3/10000,0),ROUND(F3*C39/10000,0))-D2)</f>
        <v>#DIV/0!</v>
      </c>
      <c r="C2" s="2586"/>
      <c r="D2" s="1125" t="e">
        <f ca="1">SUMIF(INDIRECT("'"&amp;F2&amp;"'"&amp;"!A:A"),"承租人权益价值",INDIRECT("'"&amp;F2&amp;"'"&amp;"!c:c"))</f>
        <v>#REF!</v>
      </c>
      <c r="E2" s="2587" t="s">
        <v>2326</v>
      </c>
      <c r="F2" s="2588"/>
      <c r="G2" s="1126"/>
      <c r="H2" s="1126"/>
      <c r="I2" s="1126"/>
      <c r="J2" s="1126"/>
      <c r="K2" s="1128"/>
      <c r="L2" s="1129"/>
      <c r="M2" s="1130"/>
      <c r="N2" s="1130"/>
      <c r="O2" s="1130"/>
      <c r="P2" s="1420"/>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20"/>
      <c r="Q3" s="768"/>
      <c r="R3" s="768"/>
      <c r="S3" s="768"/>
      <c r="T3" s="768"/>
      <c r="U3" s="768"/>
      <c r="V3" s="768"/>
      <c r="W3" s="768"/>
      <c r="X3" s="768"/>
      <c r="Y3" s="768"/>
      <c r="Z3" s="768"/>
      <c r="AA3" s="768"/>
      <c r="AB3" s="786"/>
      <c r="AC3" s="782"/>
    </row>
    <row r="4" spans="1:29" ht="14.4">
      <c r="A4" s="401" t="s">
        <v>2643</v>
      </c>
      <c r="B4" s="402"/>
      <c r="C4" s="3607" t="s">
        <v>2644</v>
      </c>
      <c r="D4" s="3608"/>
      <c r="E4" s="3609" t="s">
        <v>2645</v>
      </c>
      <c r="F4" s="3610"/>
      <c r="G4" s="3607" t="s">
        <v>2646</v>
      </c>
      <c r="H4" s="3608"/>
      <c r="I4" s="3607" t="s">
        <v>2647</v>
      </c>
      <c r="J4" s="3608"/>
      <c r="K4" s="610" t="s">
        <v>2648</v>
      </c>
      <c r="L4" s="1131"/>
      <c r="M4" s="1132"/>
      <c r="N4" s="1132"/>
      <c r="O4" s="1132"/>
      <c r="P4" s="3611" t="s">
        <v>2649</v>
      </c>
      <c r="Q4" s="3612"/>
      <c r="R4" s="3594" t="s">
        <v>2645</v>
      </c>
      <c r="S4" s="3595"/>
      <c r="T4" s="3594" t="s">
        <v>2646</v>
      </c>
      <c r="U4" s="3595"/>
      <c r="V4" s="3619" t="s">
        <v>2647</v>
      </c>
      <c r="W4" s="3619"/>
      <c r="X4" s="1814"/>
      <c r="Y4" s="3594" t="s">
        <v>2649</v>
      </c>
      <c r="Z4" s="3595"/>
      <c r="AA4" s="3589" t="s">
        <v>2645</v>
      </c>
      <c r="AB4" s="3590" t="s">
        <v>2646</v>
      </c>
      <c r="AC4" s="3589" t="s">
        <v>2647</v>
      </c>
    </row>
    <row r="5" spans="1:29">
      <c r="A5" s="404"/>
      <c r="B5" s="405"/>
      <c r="C5" s="3600" t="s">
        <v>2540</v>
      </c>
      <c r="D5" s="3601"/>
      <c r="E5" s="3598" t="s">
        <v>2541</v>
      </c>
      <c r="F5" s="3599"/>
      <c r="G5" s="3600" t="s">
        <v>2542</v>
      </c>
      <c r="H5" s="3601"/>
      <c r="I5" s="3600" t="s">
        <v>2543</v>
      </c>
      <c r="J5" s="3601"/>
      <c r="K5" s="610"/>
      <c r="L5" s="1131"/>
      <c r="M5" s="1132"/>
      <c r="N5" s="1132"/>
      <c r="O5" s="1132"/>
      <c r="P5" s="3613"/>
      <c r="Q5" s="3614"/>
      <c r="R5" s="3596"/>
      <c r="S5" s="3597"/>
      <c r="T5" s="3596"/>
      <c r="U5" s="3597"/>
      <c r="V5" s="3619"/>
      <c r="W5" s="3619"/>
      <c r="X5" s="1814"/>
      <c r="Y5" s="3596"/>
      <c r="Z5" s="3597"/>
      <c r="AA5" s="3590"/>
      <c r="AB5" s="3590"/>
      <c r="AC5" s="3590"/>
    </row>
    <row r="6" spans="1:29" ht="15" thickBot="1">
      <c r="A6" s="406"/>
      <c r="B6" s="407"/>
      <c r="C6" s="3602" t="s">
        <v>2544</v>
      </c>
      <c r="D6" s="3603"/>
      <c r="E6" s="3604" t="s">
        <v>2544</v>
      </c>
      <c r="F6" s="3605"/>
      <c r="G6" s="3602" t="s">
        <v>2544</v>
      </c>
      <c r="H6" s="3603"/>
      <c r="I6" s="3602" t="s">
        <v>2544</v>
      </c>
      <c r="J6" s="3603"/>
      <c r="K6" s="610" t="s">
        <v>2545</v>
      </c>
      <c r="L6" s="1131"/>
      <c r="M6" s="1132"/>
      <c r="N6" s="1132"/>
      <c r="O6" s="1132"/>
      <c r="P6" s="3615"/>
      <c r="Q6" s="3616"/>
      <c r="R6" s="3596"/>
      <c r="S6" s="3597"/>
      <c r="T6" s="3617"/>
      <c r="U6" s="3618"/>
      <c r="V6" s="3619"/>
      <c r="W6" s="3619"/>
      <c r="X6" s="1814"/>
      <c r="Y6" s="3617"/>
      <c r="Z6" s="3618"/>
      <c r="AA6" s="3591"/>
      <c r="AB6" s="3591"/>
      <c r="AC6" s="3591"/>
    </row>
    <row r="7" spans="1:29" s="117" customFormat="1" ht="15" thickBot="1">
      <c r="A7" s="408" t="s">
        <v>2546</v>
      </c>
      <c r="B7" s="409"/>
      <c r="C7" s="410">
        <f>'数据-取费表'!B2</f>
        <v>43458</v>
      </c>
      <c r="D7" s="411">
        <v>100</v>
      </c>
      <c r="E7" s="412"/>
      <c r="F7" s="413">
        <f>SUMIF(48:48,YEAR(E7)&amp;"-"&amp;MONTH(E7),49:49)</f>
        <v>0</v>
      </c>
      <c r="G7" s="412"/>
      <c r="H7" s="411">
        <f>SUMIF(48:48,YEAR(G7)&amp;"-"&amp;MONTH(G7),49:49)</f>
        <v>0</v>
      </c>
      <c r="I7" s="412"/>
      <c r="J7" s="411">
        <f>SUMIF(48:48,YEAR(I7)&amp;"-"&amp;MONTH(I7),49:49)</f>
        <v>0</v>
      </c>
      <c r="K7" s="611"/>
      <c r="L7" s="1133"/>
      <c r="M7" s="1134"/>
      <c r="N7" s="1134"/>
      <c r="O7" s="1134"/>
      <c r="P7" s="3592" t="s">
        <v>2547</v>
      </c>
      <c r="Q7" s="3620"/>
      <c r="R7" s="770" t="s">
        <v>17</v>
      </c>
      <c r="S7" s="771">
        <f t="shared" ref="S7:S14" si="0">F7</f>
        <v>0</v>
      </c>
      <c r="T7" s="770" t="s">
        <v>17</v>
      </c>
      <c r="U7" s="771">
        <f t="shared" ref="U7:U14" si="1">H7</f>
        <v>0</v>
      </c>
      <c r="V7" s="770" t="s">
        <v>17</v>
      </c>
      <c r="W7" s="771">
        <f t="shared" ref="W7:W14" si="2">J7</f>
        <v>0</v>
      </c>
      <c r="X7" s="772"/>
      <c r="Y7" s="3592" t="s">
        <v>2547</v>
      </c>
      <c r="Z7" s="3593"/>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592" t="s">
        <v>2550</v>
      </c>
      <c r="Q8" s="3593"/>
      <c r="R8" s="770" t="s">
        <v>17</v>
      </c>
      <c r="S8" s="771">
        <f t="shared" si="0"/>
        <v>0</v>
      </c>
      <c r="T8" s="770" t="s">
        <v>17</v>
      </c>
      <c r="U8" s="771">
        <f t="shared" si="1"/>
        <v>0</v>
      </c>
      <c r="V8" s="770" t="s">
        <v>17</v>
      </c>
      <c r="W8" s="771">
        <f t="shared" si="2"/>
        <v>0</v>
      </c>
      <c r="X8" s="772"/>
      <c r="Y8" s="3592" t="s">
        <v>2550</v>
      </c>
      <c r="Z8" s="3593"/>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624" t="s">
        <v>2553</v>
      </c>
      <c r="Q9" s="1796" t="str">
        <f t="shared" ref="Q9:Q14" si="6">B9</f>
        <v>用途</v>
      </c>
      <c r="R9" s="770" t="s">
        <v>17</v>
      </c>
      <c r="S9" s="771">
        <f t="shared" si="0"/>
        <v>100</v>
      </c>
      <c r="T9" s="770" t="s">
        <v>17</v>
      </c>
      <c r="U9" s="771">
        <f t="shared" si="1"/>
        <v>100</v>
      </c>
      <c r="V9" s="770" t="s">
        <v>17</v>
      </c>
      <c r="W9" s="771">
        <f t="shared" si="2"/>
        <v>100</v>
      </c>
      <c r="X9" s="772"/>
      <c r="Y9" s="3439"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624"/>
      <c r="Q10" s="1796" t="str">
        <f t="shared" si="6"/>
        <v>土地使用年限（年）</v>
      </c>
      <c r="R10" s="770" t="s">
        <v>17</v>
      </c>
      <c r="S10" s="771">
        <f t="shared" si="0"/>
        <v>100</v>
      </c>
      <c r="T10" s="770" t="s">
        <v>17</v>
      </c>
      <c r="U10" s="771">
        <f t="shared" si="1"/>
        <v>100</v>
      </c>
      <c r="V10" s="770" t="s">
        <v>17</v>
      </c>
      <c r="W10" s="771">
        <f t="shared" si="2"/>
        <v>100</v>
      </c>
      <c r="X10" s="772"/>
      <c r="Y10" s="34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624"/>
      <c r="Q11" s="1796">
        <f t="shared" si="6"/>
        <v>111</v>
      </c>
      <c r="R11" s="770" t="s">
        <v>17</v>
      </c>
      <c r="S11" s="771">
        <f t="shared" si="0"/>
        <v>100</v>
      </c>
      <c r="T11" s="770" t="s">
        <v>17</v>
      </c>
      <c r="U11" s="771">
        <f t="shared" si="1"/>
        <v>100</v>
      </c>
      <c r="V11" s="770" t="s">
        <v>17</v>
      </c>
      <c r="W11" s="771">
        <f t="shared" si="2"/>
        <v>100</v>
      </c>
      <c r="X11" s="772"/>
      <c r="Y11" s="34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624"/>
      <c r="Q12" s="1796">
        <f t="shared" si="6"/>
        <v>111</v>
      </c>
      <c r="R12" s="770" t="s">
        <v>17</v>
      </c>
      <c r="S12" s="771">
        <f t="shared" si="0"/>
        <v>100</v>
      </c>
      <c r="T12" s="770" t="s">
        <v>17</v>
      </c>
      <c r="U12" s="771">
        <f t="shared" si="1"/>
        <v>100</v>
      </c>
      <c r="V12" s="770" t="s">
        <v>17</v>
      </c>
      <c r="W12" s="771">
        <f t="shared" si="2"/>
        <v>100</v>
      </c>
      <c r="X12" s="772"/>
      <c r="Y12" s="343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624"/>
      <c r="Q13" s="1796">
        <f t="shared" si="6"/>
        <v>111</v>
      </c>
      <c r="R13" s="770" t="s">
        <v>17</v>
      </c>
      <c r="S13" s="771">
        <f t="shared" si="0"/>
        <v>100</v>
      </c>
      <c r="T13" s="770" t="s">
        <v>17</v>
      </c>
      <c r="U13" s="771">
        <f t="shared" si="1"/>
        <v>100</v>
      </c>
      <c r="V13" s="770" t="s">
        <v>17</v>
      </c>
      <c r="W13" s="771">
        <f t="shared" si="2"/>
        <v>100</v>
      </c>
      <c r="X13" s="772"/>
      <c r="Y13" s="3439"/>
      <c r="Z13" s="55">
        <f t="shared" si="7"/>
        <v>111</v>
      </c>
      <c r="AA13" s="773">
        <f t="shared" si="3"/>
        <v>1</v>
      </c>
      <c r="AB13" s="773">
        <f t="shared" si="4"/>
        <v>1</v>
      </c>
      <c r="AC13" s="773">
        <f t="shared" si="5"/>
        <v>1</v>
      </c>
    </row>
    <row r="14" spans="1:29" ht="193.2">
      <c r="A14" s="401" t="s">
        <v>2557</v>
      </c>
      <c r="B14" s="629" t="s">
        <v>2707</v>
      </c>
      <c r="C14" s="2693"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626" t="s">
        <v>2558</v>
      </c>
      <c r="Q14" s="1811" t="str">
        <f t="shared" si="6"/>
        <v>交通便捷度</v>
      </c>
      <c r="R14" s="774" t="s">
        <v>17</v>
      </c>
      <c r="S14" s="775">
        <f t="shared" si="0"/>
        <v>100</v>
      </c>
      <c r="T14" s="774" t="s">
        <v>17</v>
      </c>
      <c r="U14" s="775">
        <f t="shared" si="1"/>
        <v>100</v>
      </c>
      <c r="V14" s="774" t="s">
        <v>17</v>
      </c>
      <c r="W14" s="775">
        <f t="shared" si="2"/>
        <v>100</v>
      </c>
      <c r="X14" s="1814"/>
      <c r="Y14" s="3626" t="s">
        <v>2558</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627"/>
      <c r="Q15" s="1811"/>
      <c r="R15" s="774"/>
      <c r="S15" s="775"/>
      <c r="T15" s="774"/>
      <c r="U15" s="775"/>
      <c r="V15" s="774"/>
      <c r="W15" s="775"/>
      <c r="X15" s="1814"/>
      <c r="Y15" s="3627"/>
      <c r="Z15" s="1815"/>
      <c r="AA15" s="1812">
        <v>1</v>
      </c>
      <c r="AB15" s="1812">
        <v>1</v>
      </c>
      <c r="AC15" s="1812">
        <v>1</v>
      </c>
    </row>
    <row r="16" spans="1:29" ht="41.4">
      <c r="A16" s="404"/>
      <c r="B16" s="631" t="s">
        <v>2686</v>
      </c>
      <c r="C16" s="2607"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627"/>
      <c r="Q16" s="1811" t="str">
        <f>B16</f>
        <v>公共配套设施</v>
      </c>
      <c r="R16" s="774" t="s">
        <v>17</v>
      </c>
      <c r="S16" s="775">
        <f>F16</f>
        <v>100</v>
      </c>
      <c r="T16" s="774" t="s">
        <v>17</v>
      </c>
      <c r="U16" s="775">
        <f>H16</f>
        <v>100</v>
      </c>
      <c r="V16" s="774" t="s">
        <v>17</v>
      </c>
      <c r="W16" s="775">
        <f>J16</f>
        <v>100</v>
      </c>
      <c r="X16" s="1814"/>
      <c r="Y16" s="3627"/>
      <c r="Z16" s="1815" t="str">
        <f>Q16</f>
        <v>公共配套设施</v>
      </c>
      <c r="AA16" s="1812">
        <f t="shared" si="3"/>
        <v>1</v>
      </c>
      <c r="AB16" s="1812">
        <f t="shared" si="4"/>
        <v>1</v>
      </c>
      <c r="AC16" s="1812">
        <f t="shared" si="5"/>
        <v>1</v>
      </c>
    </row>
    <row r="17" spans="1:29" ht="15">
      <c r="A17" s="404"/>
      <c r="B17" s="632"/>
      <c r="C17" s="2608"/>
      <c r="D17" s="448"/>
      <c r="E17" s="447"/>
      <c r="F17" s="449"/>
      <c r="G17" s="447"/>
      <c r="H17" s="448"/>
      <c r="I17" s="447"/>
      <c r="J17" s="448"/>
      <c r="K17" s="615"/>
      <c r="L17" s="1141"/>
      <c r="M17" s="1132"/>
      <c r="N17" s="1132"/>
      <c r="O17" s="1132"/>
      <c r="P17" s="3627"/>
      <c r="Q17" s="1811"/>
      <c r="R17" s="774"/>
      <c r="S17" s="775"/>
      <c r="T17" s="774"/>
      <c r="U17" s="775"/>
      <c r="V17" s="774"/>
      <c r="W17" s="775"/>
      <c r="X17" s="1814"/>
      <c r="Y17" s="3627"/>
      <c r="Z17" s="1815"/>
      <c r="AA17" s="1812">
        <v>1</v>
      </c>
      <c r="AB17" s="1812">
        <v>1</v>
      </c>
      <c r="AC17" s="1812">
        <v>1</v>
      </c>
    </row>
    <row r="18" spans="1:29" ht="41.4">
      <c r="A18" s="404"/>
      <c r="B18" s="633" t="s">
        <v>2687</v>
      </c>
      <c r="C18" s="2607" t="str">
        <f>IF(B1="工业",估价对象房地状况!G6,估价对象房地状况!C8)</f>
        <v>估价对象所在区域基础设施水平较高</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627"/>
      <c r="Q18" s="1811" t="str">
        <f>B18</f>
        <v>基础设施水平</v>
      </c>
      <c r="R18" s="774" t="s">
        <v>17</v>
      </c>
      <c r="S18" s="775">
        <f>F18</f>
        <v>100</v>
      </c>
      <c r="T18" s="774" t="s">
        <v>17</v>
      </c>
      <c r="U18" s="775">
        <f>H18</f>
        <v>100</v>
      </c>
      <c r="V18" s="774" t="s">
        <v>17</v>
      </c>
      <c r="W18" s="775">
        <f>J18</f>
        <v>100</v>
      </c>
      <c r="X18" s="1814"/>
      <c r="Y18" s="3627"/>
      <c r="Z18" s="1815" t="str">
        <f>Q18</f>
        <v>基础设施水平</v>
      </c>
      <c r="AA18" s="1812">
        <f>D18/F18</f>
        <v>1</v>
      </c>
      <c r="AB18" s="1812">
        <f>D18/H18</f>
        <v>1</v>
      </c>
      <c r="AC18" s="1812">
        <f>D18/J18</f>
        <v>1</v>
      </c>
    </row>
    <row r="19" spans="1:29" ht="15">
      <c r="A19" s="404"/>
      <c r="B19" s="633"/>
      <c r="C19" s="2608"/>
      <c r="D19" s="450"/>
      <c r="E19" s="2608"/>
      <c r="F19" s="453"/>
      <c r="G19" s="2608"/>
      <c r="H19" s="448"/>
      <c r="I19" s="447"/>
      <c r="J19" s="448"/>
      <c r="K19" s="1384"/>
      <c r="L19" s="1141"/>
      <c r="M19" s="1132"/>
      <c r="N19" s="1132"/>
      <c r="O19" s="1132"/>
      <c r="P19" s="3627"/>
      <c r="Q19" s="1811"/>
      <c r="R19" s="774"/>
      <c r="S19" s="775"/>
      <c r="T19" s="774"/>
      <c r="U19" s="775"/>
      <c r="V19" s="774"/>
      <c r="W19" s="775"/>
      <c r="X19" s="1814"/>
      <c r="Y19" s="3627"/>
      <c r="Z19" s="1815"/>
      <c r="AA19" s="1812">
        <v>1</v>
      </c>
      <c r="AB19" s="1812">
        <v>1</v>
      </c>
      <c r="AC19" s="1812">
        <v>1</v>
      </c>
    </row>
    <row r="20" spans="1:29" ht="96.6">
      <c r="A20" s="404"/>
      <c r="B20" s="631" t="s">
        <v>2708</v>
      </c>
      <c r="C20" s="2607" t="str">
        <f>IF(B1="工业",估价对象房地状况!G7,估价对象房地状况!C9)</f>
        <v>区域自然环境：廉政文化公园；人文环境：自来水博物馆；综合评价环境状况较好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627"/>
      <c r="Q20" s="1811" t="str">
        <f>B20</f>
        <v>自然及人文环境</v>
      </c>
      <c r="R20" s="774" t="s">
        <v>17</v>
      </c>
      <c r="S20" s="775">
        <f>F20</f>
        <v>100</v>
      </c>
      <c r="T20" s="774" t="s">
        <v>17</v>
      </c>
      <c r="U20" s="775">
        <f>H20</f>
        <v>100</v>
      </c>
      <c r="V20" s="774" t="s">
        <v>17</v>
      </c>
      <c r="W20" s="775">
        <f>J20</f>
        <v>100</v>
      </c>
      <c r="X20" s="1814"/>
      <c r="Y20" s="3627"/>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627"/>
      <c r="Q21" s="1811"/>
      <c r="R21" s="774"/>
      <c r="S21" s="775"/>
      <c r="T21" s="774"/>
      <c r="U21" s="775"/>
      <c r="V21" s="774"/>
      <c r="W21" s="775"/>
      <c r="X21" s="1814"/>
      <c r="Y21" s="3627"/>
      <c r="Z21" s="1815"/>
      <c r="AA21" s="1812">
        <v>1</v>
      </c>
      <c r="AB21" s="1812">
        <v>1</v>
      </c>
      <c r="AC21" s="1812">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627"/>
      <c r="Q22" s="1811" t="str">
        <f>B22</f>
        <v>楼层</v>
      </c>
      <c r="R22" s="774" t="s">
        <v>17</v>
      </c>
      <c r="S22" s="775">
        <f>F22</f>
        <v>100</v>
      </c>
      <c r="T22" s="774" t="s">
        <v>17</v>
      </c>
      <c r="U22" s="775">
        <f>H22</f>
        <v>100</v>
      </c>
      <c r="V22" s="774" t="s">
        <v>17</v>
      </c>
      <c r="W22" s="775">
        <f>J22</f>
        <v>100</v>
      </c>
      <c r="X22" s="1814"/>
      <c r="Y22" s="3627"/>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627"/>
      <c r="Q23" s="1811">
        <f>B23</f>
        <v>111</v>
      </c>
      <c r="R23" s="774" t="s">
        <v>17</v>
      </c>
      <c r="S23" s="775">
        <f>F23</f>
        <v>100</v>
      </c>
      <c r="T23" s="774" t="s">
        <v>17</v>
      </c>
      <c r="U23" s="775">
        <f>H23</f>
        <v>100</v>
      </c>
      <c r="V23" s="774" t="s">
        <v>17</v>
      </c>
      <c r="W23" s="775">
        <f>J23</f>
        <v>100</v>
      </c>
      <c r="X23" s="1814"/>
      <c r="Y23" s="3627"/>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627"/>
      <c r="Q24" s="1811">
        <f t="shared" ref="Q24:Q36" si="8">B24</f>
        <v>111</v>
      </c>
      <c r="R24" s="774" t="s">
        <v>17</v>
      </c>
      <c r="S24" s="775">
        <f>F24</f>
        <v>100</v>
      </c>
      <c r="T24" s="774" t="s">
        <v>17</v>
      </c>
      <c r="U24" s="775">
        <f>H24</f>
        <v>100</v>
      </c>
      <c r="V24" s="774" t="s">
        <v>17</v>
      </c>
      <c r="W24" s="775">
        <f>J24</f>
        <v>100</v>
      </c>
      <c r="X24" s="1814"/>
      <c r="Y24" s="3627"/>
      <c r="Z24" s="1815">
        <f>Q24</f>
        <v>111</v>
      </c>
      <c r="AA24" s="1812">
        <f t="shared" si="3"/>
        <v>1</v>
      </c>
      <c r="AB24" s="1812">
        <f t="shared" si="4"/>
        <v>1</v>
      </c>
      <c r="AC24" s="1812">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627"/>
      <c r="Q25" s="1796">
        <f t="shared" si="8"/>
        <v>111</v>
      </c>
      <c r="R25" s="770" t="s">
        <v>17</v>
      </c>
      <c r="S25" s="771">
        <f>F25</f>
        <v>100</v>
      </c>
      <c r="T25" s="770" t="s">
        <v>17</v>
      </c>
      <c r="U25" s="771">
        <f>H25</f>
        <v>100</v>
      </c>
      <c r="V25" s="770" t="s">
        <v>17</v>
      </c>
      <c r="W25" s="771">
        <f>J25</f>
        <v>100</v>
      </c>
      <c r="X25" s="772"/>
      <c r="Y25" s="3627"/>
      <c r="Z25" s="55">
        <f>Q25</f>
        <v>111</v>
      </c>
      <c r="AA25" s="1812">
        <f>D25/F25</f>
        <v>1</v>
      </c>
      <c r="AB25" s="1812">
        <f>D25/H25</f>
        <v>1</v>
      </c>
      <c r="AC25" s="1812">
        <f>D25/J25</f>
        <v>1</v>
      </c>
    </row>
    <row r="26" spans="1:29" ht="30">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650" t="s">
        <v>2563</v>
      </c>
      <c r="Q26" s="1811" t="str">
        <f t="shared" si="8"/>
        <v>配套类型</v>
      </c>
      <c r="R26" s="774" t="s">
        <v>17</v>
      </c>
      <c r="S26" s="775">
        <f t="shared" ref="S26:S36" si="9">F26</f>
        <v>100</v>
      </c>
      <c r="T26" s="774" t="s">
        <v>17</v>
      </c>
      <c r="U26" s="775">
        <f t="shared" ref="U26:U36" si="10">H26</f>
        <v>100</v>
      </c>
      <c r="V26" s="774" t="s">
        <v>17</v>
      </c>
      <c r="W26" s="775">
        <f t="shared" ref="W26:W36" si="11">J26</f>
        <v>100</v>
      </c>
      <c r="X26" s="1814"/>
      <c r="Y26" s="3631" t="s">
        <v>2563</v>
      </c>
      <c r="Z26" s="1815" t="str">
        <f t="shared" ref="Z26:Z36" si="12">Q26</f>
        <v>配套类型</v>
      </c>
      <c r="AA26" s="1812">
        <f t="shared" si="3"/>
        <v>1</v>
      </c>
      <c r="AB26" s="1812">
        <f t="shared" si="4"/>
        <v>1</v>
      </c>
      <c r="AC26" s="1812">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631"/>
      <c r="Q27" s="776" t="str">
        <f t="shared" si="8"/>
        <v>项目停车位配比</v>
      </c>
      <c r="R27" s="777" t="s">
        <v>17</v>
      </c>
      <c r="S27" s="778">
        <f t="shared" si="9"/>
        <v>100</v>
      </c>
      <c r="T27" s="777" t="s">
        <v>17</v>
      </c>
      <c r="U27" s="778">
        <f t="shared" si="10"/>
        <v>100</v>
      </c>
      <c r="V27" s="777" t="s">
        <v>17</v>
      </c>
      <c r="W27" s="778">
        <f t="shared" si="11"/>
        <v>100</v>
      </c>
      <c r="X27" s="779"/>
      <c r="Y27" s="3631"/>
      <c r="Z27" s="780" t="str">
        <f t="shared" si="12"/>
        <v>项目停车位配比</v>
      </c>
      <c r="AA27" s="1812">
        <f t="shared" si="3"/>
        <v>1</v>
      </c>
      <c r="AB27" s="1812">
        <f t="shared" si="4"/>
        <v>1</v>
      </c>
      <c r="AC27" s="1812">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631"/>
      <c r="Q28" s="1811" t="str">
        <f t="shared" si="8"/>
        <v>公共部分装修</v>
      </c>
      <c r="R28" s="774" t="s">
        <v>17</v>
      </c>
      <c r="S28" s="775">
        <f t="shared" si="9"/>
        <v>100</v>
      </c>
      <c r="T28" s="774" t="s">
        <v>17</v>
      </c>
      <c r="U28" s="775">
        <f t="shared" si="10"/>
        <v>100</v>
      </c>
      <c r="V28" s="774" t="s">
        <v>17</v>
      </c>
      <c r="W28" s="775">
        <f t="shared" si="11"/>
        <v>100</v>
      </c>
      <c r="X28" s="1814"/>
      <c r="Y28" s="3631"/>
      <c r="Z28" s="1815" t="str">
        <f t="shared" si="12"/>
        <v>公共部分装修</v>
      </c>
      <c r="AA28" s="1812">
        <f t="shared" si="3"/>
        <v>1</v>
      </c>
      <c r="AB28" s="1812">
        <f t="shared" si="4"/>
        <v>1</v>
      </c>
      <c r="AC28" s="1812">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631"/>
      <c r="Q29" s="1811" t="str">
        <f t="shared" si="8"/>
        <v>成新率</v>
      </c>
      <c r="R29" s="774" t="s">
        <v>17</v>
      </c>
      <c r="S29" s="775" t="e">
        <f t="shared" si="9"/>
        <v>#N/A</v>
      </c>
      <c r="T29" s="774" t="s">
        <v>17</v>
      </c>
      <c r="U29" s="775" t="e">
        <f t="shared" si="10"/>
        <v>#N/A</v>
      </c>
      <c r="V29" s="774" t="s">
        <v>17</v>
      </c>
      <c r="W29" s="775" t="e">
        <f t="shared" si="11"/>
        <v>#N/A</v>
      </c>
      <c r="X29" s="1814"/>
      <c r="Y29" s="3631"/>
      <c r="Z29" s="1815" t="str">
        <f t="shared" si="12"/>
        <v>成新率</v>
      </c>
      <c r="AA29" s="1812" t="e">
        <f t="shared" si="3"/>
        <v>#N/A</v>
      </c>
      <c r="AB29" s="1812" t="e">
        <f t="shared" si="4"/>
        <v>#N/A</v>
      </c>
      <c r="AC29" s="1812"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631"/>
      <c r="Q30" s="1811" t="str">
        <f t="shared" si="8"/>
        <v>物业等级</v>
      </c>
      <c r="R30" s="774" t="s">
        <v>17</v>
      </c>
      <c r="S30" s="775">
        <f t="shared" si="9"/>
        <v>100</v>
      </c>
      <c r="T30" s="774" t="s">
        <v>17</v>
      </c>
      <c r="U30" s="775">
        <f t="shared" si="10"/>
        <v>100</v>
      </c>
      <c r="V30" s="774" t="s">
        <v>17</v>
      </c>
      <c r="W30" s="775">
        <f t="shared" si="11"/>
        <v>100</v>
      </c>
      <c r="X30" s="1814"/>
      <c r="Y30" s="3631"/>
      <c r="Z30" s="1815" t="str">
        <f t="shared" si="12"/>
        <v>物业等级</v>
      </c>
      <c r="AA30" s="1812">
        <f t="shared" si="3"/>
        <v>1</v>
      </c>
      <c r="AB30" s="1812">
        <f t="shared" si="4"/>
        <v>1</v>
      </c>
      <c r="AC30" s="1812">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631"/>
      <c r="Q31" s="1796" t="str">
        <f t="shared" si="8"/>
        <v>停车位面积</v>
      </c>
      <c r="R31" s="770" t="s">
        <v>17</v>
      </c>
      <c r="S31" s="771" t="e">
        <f t="shared" si="9"/>
        <v>#N/A</v>
      </c>
      <c r="T31" s="770" t="s">
        <v>17</v>
      </c>
      <c r="U31" s="771" t="e">
        <f t="shared" si="10"/>
        <v>#N/A</v>
      </c>
      <c r="V31" s="770" t="s">
        <v>17</v>
      </c>
      <c r="W31" s="771" t="e">
        <f t="shared" si="11"/>
        <v>#N/A</v>
      </c>
      <c r="X31" s="772"/>
      <c r="Y31" s="3631"/>
      <c r="Z31" s="55" t="str">
        <f t="shared" si="12"/>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631" t="s">
        <v>2563</v>
      </c>
      <c r="Q32" s="1811" t="str">
        <f t="shared" si="8"/>
        <v>车位类型</v>
      </c>
      <c r="R32" s="774" t="s">
        <v>17</v>
      </c>
      <c r="S32" s="775">
        <f t="shared" si="9"/>
        <v>100</v>
      </c>
      <c r="T32" s="774" t="s">
        <v>17</v>
      </c>
      <c r="U32" s="775">
        <f t="shared" si="10"/>
        <v>100</v>
      </c>
      <c r="V32" s="774" t="s">
        <v>17</v>
      </c>
      <c r="W32" s="775">
        <f t="shared" si="11"/>
        <v>100</v>
      </c>
      <c r="X32" s="1814"/>
      <c r="Y32" s="3631" t="s">
        <v>2563</v>
      </c>
      <c r="Z32" s="1815" t="str">
        <f t="shared" si="12"/>
        <v>车位类型</v>
      </c>
      <c r="AA32" s="1812">
        <f t="shared" si="3"/>
        <v>1</v>
      </c>
      <c r="AB32" s="1812">
        <f t="shared" si="4"/>
        <v>1</v>
      </c>
      <c r="AC32" s="1812">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631"/>
      <c r="Q33" s="1811" t="str">
        <f t="shared" si="8"/>
        <v>是否直接入户</v>
      </c>
      <c r="R33" s="774" t="s">
        <v>17</v>
      </c>
      <c r="S33" s="775">
        <f t="shared" si="9"/>
        <v>100</v>
      </c>
      <c r="T33" s="774" t="s">
        <v>17</v>
      </c>
      <c r="U33" s="775">
        <f t="shared" si="10"/>
        <v>100</v>
      </c>
      <c r="V33" s="774" t="s">
        <v>17</v>
      </c>
      <c r="W33" s="775">
        <f t="shared" si="11"/>
        <v>100</v>
      </c>
      <c r="X33" s="1814"/>
      <c r="Y33" s="3631"/>
      <c r="Z33" s="1815" t="str">
        <f t="shared" si="12"/>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631"/>
      <c r="Q34" s="1811">
        <f t="shared" si="8"/>
        <v>111</v>
      </c>
      <c r="R34" s="774" t="s">
        <v>17</v>
      </c>
      <c r="S34" s="775">
        <f t="shared" si="9"/>
        <v>100</v>
      </c>
      <c r="T34" s="774" t="s">
        <v>17</v>
      </c>
      <c r="U34" s="775">
        <f t="shared" si="10"/>
        <v>100</v>
      </c>
      <c r="V34" s="774" t="s">
        <v>17</v>
      </c>
      <c r="W34" s="775">
        <f t="shared" si="11"/>
        <v>100</v>
      </c>
      <c r="X34" s="1814"/>
      <c r="Y34" s="3631"/>
      <c r="Z34" s="1815">
        <f t="shared" si="12"/>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631"/>
      <c r="Q35" s="776">
        <f t="shared" si="8"/>
        <v>111</v>
      </c>
      <c r="R35" s="777" t="s">
        <v>17</v>
      </c>
      <c r="S35" s="778">
        <f t="shared" si="9"/>
        <v>100</v>
      </c>
      <c r="T35" s="777" t="s">
        <v>17</v>
      </c>
      <c r="U35" s="778">
        <f t="shared" si="10"/>
        <v>100</v>
      </c>
      <c r="V35" s="777" t="s">
        <v>17</v>
      </c>
      <c r="W35" s="778">
        <f t="shared" si="11"/>
        <v>100</v>
      </c>
      <c r="X35" s="779"/>
      <c r="Y35" s="3631"/>
      <c r="Z35" s="780">
        <f t="shared" si="12"/>
        <v>111</v>
      </c>
      <c r="AA35" s="1812">
        <f t="shared" si="3"/>
        <v>1</v>
      </c>
      <c r="AB35" s="1812">
        <f t="shared" si="4"/>
        <v>1</v>
      </c>
      <c r="AC35" s="1812">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631"/>
      <c r="Q36" s="1811">
        <f t="shared" si="8"/>
        <v>111</v>
      </c>
      <c r="R36" s="774" t="s">
        <v>17</v>
      </c>
      <c r="S36" s="775">
        <f t="shared" si="9"/>
        <v>100</v>
      </c>
      <c r="T36" s="774" t="s">
        <v>17</v>
      </c>
      <c r="U36" s="775">
        <f t="shared" si="10"/>
        <v>100</v>
      </c>
      <c r="V36" s="774" t="s">
        <v>17</v>
      </c>
      <c r="W36" s="775">
        <f t="shared" si="11"/>
        <v>100</v>
      </c>
      <c r="X36" s="1814"/>
      <c r="Y36" s="3631"/>
      <c r="Z36" s="1815">
        <f t="shared" si="12"/>
        <v>111</v>
      </c>
      <c r="AA36" s="1812">
        <f t="shared" si="3"/>
        <v>1</v>
      </c>
      <c r="AB36" s="1812">
        <f t="shared" si="4"/>
        <v>1</v>
      </c>
      <c r="AC36" s="1812">
        <f t="shared" si="5"/>
        <v>1</v>
      </c>
    </row>
    <row r="37" spans="1:29" ht="14.4">
      <c r="A37" s="479" t="s">
        <v>2718</v>
      </c>
      <c r="B37" s="2695" t="s">
        <v>2719</v>
      </c>
      <c r="C37" s="1408" t="s">
        <v>1</v>
      </c>
      <c r="D37" s="1409"/>
      <c r="E37" s="1410"/>
      <c r="F37" s="1411"/>
      <c r="G37" s="1412"/>
      <c r="H37" s="1413"/>
      <c r="I37" s="1410"/>
      <c r="J37" s="1413"/>
      <c r="K37" s="619"/>
      <c r="L37" s="1144"/>
      <c r="M37" s="1145"/>
      <c r="N37" s="1132"/>
      <c r="O37" s="1145"/>
      <c r="P37" s="3624" t="str">
        <f>A37</f>
        <v>成交单价</v>
      </c>
      <c r="Q37" s="3624"/>
      <c r="R37" s="3625">
        <f>E37</f>
        <v>0</v>
      </c>
      <c r="S37" s="3625"/>
      <c r="T37" s="3625">
        <f>G37</f>
        <v>0</v>
      </c>
      <c r="U37" s="3625"/>
      <c r="V37" s="3625">
        <f>I37</f>
        <v>0</v>
      </c>
      <c r="W37" s="3625"/>
      <c r="X37" s="759"/>
      <c r="Y37" s="781"/>
      <c r="Z37" s="759"/>
      <c r="AA37" s="759"/>
      <c r="AB37" s="759"/>
      <c r="AC37" s="759"/>
    </row>
    <row r="38" spans="1:29" ht="15" thickBot="1">
      <c r="A38" s="486" t="s">
        <v>2720</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624" t="str">
        <f>A38</f>
        <v>比较价值（元/平方米）</v>
      </c>
      <c r="Q38" s="3624"/>
      <c r="R38" s="3625" t="e">
        <f>IF(F1="售价",ROUND(PRODUCT(R37,AA7:AA36),0),ROUND(PRODUCT(R37,AA7:AA36),1))</f>
        <v>#DIV/0!</v>
      </c>
      <c r="S38" s="3625"/>
      <c r="T38" s="3625" t="e">
        <f>IF(F1="售价",ROUND(PRODUCT(T37,AB7:AB36),0),ROUND(PRODUCT(T37,AB7:AB36),1))</f>
        <v>#DIV/0!</v>
      </c>
      <c r="U38" s="3625"/>
      <c r="V38" s="3625" t="e">
        <f>IF(F1="售价",ROUND(PRODUCT(V37,AC7:AC36),0),ROUND(PRODUCT(V37,AC7:AC36),1))</f>
        <v>#DIV/0!</v>
      </c>
      <c r="W38" s="3625"/>
      <c r="X38" s="759"/>
      <c r="Y38" s="759"/>
      <c r="Z38" s="759"/>
      <c r="AA38" s="759"/>
      <c r="AB38" s="759"/>
      <c r="AC38" s="759"/>
    </row>
    <row r="39" spans="1:29" ht="15" thickBot="1">
      <c r="A39" s="492" t="s">
        <v>2721</v>
      </c>
      <c r="B39" s="493"/>
      <c r="C39" s="1418" t="e">
        <f>R39</f>
        <v>#DIV/0!</v>
      </c>
      <c r="D39" s="1418"/>
      <c r="E39" s="1418"/>
      <c r="F39" s="1418"/>
      <c r="G39" s="1418"/>
      <c r="H39" s="1418"/>
      <c r="I39" s="1418"/>
      <c r="J39" s="1418"/>
      <c r="K39" s="621"/>
      <c r="L39" s="1144"/>
      <c r="M39" s="1145"/>
      <c r="N39" s="1145"/>
      <c r="O39" s="1145"/>
      <c r="P39" s="3621" t="str">
        <f>A39</f>
        <v>估价对象XX用房的比较价值（楼面单价，元/平方米）</v>
      </c>
      <c r="Q39" s="3622"/>
      <c r="R39" s="3623" t="e">
        <f>IF(F1="售价",ROUND(AVERAGE(R38:V38),0),ROUND(AVERAGE(R38:V38),1))</f>
        <v>#DIV/0!</v>
      </c>
      <c r="S39" s="3623"/>
      <c r="T39" s="3623"/>
      <c r="U39" s="3623"/>
      <c r="V39" s="3623"/>
      <c r="W39" s="3623"/>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2.2" thickBot="1">
      <c r="A47" s="1425" t="s">
        <v>2725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4.4">
      <c r="A48" s="505" t="s">
        <v>2726</v>
      </c>
      <c r="B48" s="506"/>
      <c r="C48" s="1575" t="str">
        <f>YEAR(C7)&amp;"-"&amp;MONTH(C7)</f>
        <v>2018-12</v>
      </c>
      <c r="D48" s="1576">
        <f>EDATE(C48,-1)</f>
        <v>43405</v>
      </c>
      <c r="E48" s="1576">
        <f t="shared" ref="E48:O48" si="13">EDATE(D48,-1)</f>
        <v>43374</v>
      </c>
      <c r="F48" s="1576">
        <f t="shared" si="13"/>
        <v>43344</v>
      </c>
      <c r="G48" s="1576">
        <f t="shared" si="13"/>
        <v>43313</v>
      </c>
      <c r="H48" s="1576">
        <f t="shared" si="13"/>
        <v>43282</v>
      </c>
      <c r="I48" s="1576">
        <f t="shared" si="13"/>
        <v>43252</v>
      </c>
      <c r="J48" s="1576">
        <f t="shared" si="13"/>
        <v>43221</v>
      </c>
      <c r="K48" s="1576">
        <f t="shared" si="13"/>
        <v>43191</v>
      </c>
      <c r="L48" s="1576">
        <f t="shared" si="13"/>
        <v>43160</v>
      </c>
      <c r="M48" s="1576">
        <f t="shared" si="13"/>
        <v>43132</v>
      </c>
      <c r="N48" s="1576">
        <f t="shared" si="13"/>
        <v>43101</v>
      </c>
      <c r="O48" s="1576">
        <f t="shared" si="13"/>
        <v>43070</v>
      </c>
      <c r="P48" s="1439"/>
      <c r="Q48" s="1440"/>
      <c r="R48" s="1440"/>
      <c r="S48" s="1440"/>
      <c r="T48" s="1440"/>
      <c r="U48" s="1440"/>
      <c r="V48" s="1440"/>
      <c r="W48" s="1440"/>
      <c r="X48" s="1440"/>
      <c r="Y48" s="1440"/>
      <c r="Z48" s="1440"/>
      <c r="AA48" s="1440"/>
      <c r="AB48" s="1440"/>
      <c r="AC48" s="1440"/>
    </row>
    <row r="49" spans="1:29" s="117" customFormat="1">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 thickBot="1">
      <c r="A50" s="515" t="s">
        <v>2583</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4.4">
      <c r="A51" s="521" t="s">
        <v>2548</v>
      </c>
      <c r="B51" s="510"/>
      <c r="C51" s="522" t="s">
        <v>2650</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4.4"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ht="14.4">
      <c r="A53" s="527" t="s">
        <v>2586</v>
      </c>
      <c r="B53" s="528" t="s">
        <v>2552</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4.4"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4.4"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4.4"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4.4"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4.4"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4.4"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4.4"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 thickTop="1">
      <c r="A65" s="534"/>
      <c r="B65" s="538" t="s">
        <v>2601</v>
      </c>
      <c r="C65" s="578" t="s">
        <v>2595</v>
      </c>
      <c r="D65" s="578" t="s">
        <v>2596</v>
      </c>
      <c r="E65" s="578" t="s">
        <v>2597</v>
      </c>
      <c r="F65" s="578" t="s">
        <v>2598</v>
      </c>
      <c r="G65" s="578" t="s">
        <v>2599</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 thickTop="1">
      <c r="A67" s="534"/>
      <c r="B67" s="546" t="s">
        <v>2687</v>
      </c>
      <c r="C67" s="660" t="s">
        <v>2673</v>
      </c>
      <c r="D67" s="660" t="s">
        <v>2674</v>
      </c>
      <c r="E67" s="660" t="s">
        <v>2675</v>
      </c>
      <c r="F67" s="660" t="s">
        <v>2676</v>
      </c>
      <c r="G67" s="660" t="s">
        <v>2677</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 thickTop="1">
      <c r="A69" s="534"/>
      <c r="B69" s="538" t="s">
        <v>2607</v>
      </c>
      <c r="C69" s="578" t="s">
        <v>2595</v>
      </c>
      <c r="D69" s="578" t="s">
        <v>2596</v>
      </c>
      <c r="E69" s="578" t="s">
        <v>2597</v>
      </c>
      <c r="F69" s="578" t="s">
        <v>2598</v>
      </c>
      <c r="G69" s="578" t="s">
        <v>2599</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 thickTop="1">
      <c r="A71" s="534"/>
      <c r="B71" s="538" t="s">
        <v>2727</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4.4"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4.4"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4.4"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4.4"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4.4"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4.4"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9.4" thickTop="1">
      <c r="A79" s="527" t="s">
        <v>2561</v>
      </c>
      <c r="B79" s="528" t="s">
        <v>2728</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4.4"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4"/>
      <c r="O80" s="1154"/>
      <c r="P80" s="1430"/>
      <c r="Q80" s="1424"/>
      <c r="R80" s="1145"/>
      <c r="S80" s="1145"/>
      <c r="T80" s="1145"/>
      <c r="U80" s="1145"/>
      <c r="V80" s="1145"/>
      <c r="W80" s="1145"/>
      <c r="X80" s="1145"/>
      <c r="Y80" s="1145"/>
      <c r="Z80" s="1145"/>
      <c r="AA80" s="1145"/>
      <c r="AB80" s="1145"/>
      <c r="AC80" s="1145"/>
    </row>
    <row r="81" spans="1:29" ht="15" thickTop="1">
      <c r="A81" s="534"/>
      <c r="B81" s="538" t="s">
        <v>2729</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4.4"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2614</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4.4"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4.4"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4.4"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4.4"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2733</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4.4"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4.4"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4.4"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4.4"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4.4"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4.4"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4.4"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0" customFormat="1" ht="28.5" customHeight="1" thickBot="1">
      <c r="A1" s="1619" t="s">
        <v>2705</v>
      </c>
      <c r="B1" s="1620"/>
      <c r="C1" s="1621" t="s">
        <v>2528</v>
      </c>
      <c r="D1" s="1622"/>
      <c r="E1" s="1631"/>
      <c r="F1" s="2584"/>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IF(C2="——",ROUND(C37*D3/10000,0),ROUND(C37*D3/10000,0)-D2)</f>
        <v>#DIV/0!</v>
      </c>
      <c r="C2" s="2586"/>
      <c r="D2" s="1125" t="e">
        <f ca="1">SUMIF(INDIRECT("'"&amp;F2&amp;"'"&amp;"!A:A"),"承租人权益价值",INDIRECT("'"&amp;F2&amp;"'"&amp;"!c:c"))</f>
        <v>#REF!</v>
      </c>
      <c r="E2" s="2587" t="s">
        <v>2326</v>
      </c>
      <c r="F2" s="2588"/>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2643</v>
      </c>
      <c r="B4" s="402"/>
      <c r="C4" s="3607" t="s">
        <v>2644</v>
      </c>
      <c r="D4" s="3608"/>
      <c r="E4" s="3609" t="s">
        <v>2645</v>
      </c>
      <c r="F4" s="3610"/>
      <c r="G4" s="3607" t="s">
        <v>2646</v>
      </c>
      <c r="H4" s="3608"/>
      <c r="I4" s="3607" t="s">
        <v>2647</v>
      </c>
      <c r="J4" s="3608"/>
      <c r="K4" s="610" t="s">
        <v>2648</v>
      </c>
      <c r="L4" s="1131"/>
      <c r="M4" s="1132"/>
      <c r="N4" s="1132"/>
      <c r="O4" s="1132"/>
      <c r="P4" s="3611" t="s">
        <v>2649</v>
      </c>
      <c r="Q4" s="3612"/>
      <c r="R4" s="3594" t="s">
        <v>2645</v>
      </c>
      <c r="S4" s="3595"/>
      <c r="T4" s="3594" t="s">
        <v>2646</v>
      </c>
      <c r="U4" s="3595"/>
      <c r="V4" s="3619" t="s">
        <v>2647</v>
      </c>
      <c r="W4" s="3619"/>
      <c r="X4" s="1814"/>
      <c r="Y4" s="3594" t="s">
        <v>2649</v>
      </c>
      <c r="Z4" s="3595"/>
      <c r="AA4" s="3589" t="s">
        <v>2645</v>
      </c>
      <c r="AB4" s="3590" t="s">
        <v>2646</v>
      </c>
      <c r="AC4" s="3589" t="s">
        <v>2647</v>
      </c>
    </row>
    <row r="5" spans="1:29">
      <c r="A5" s="404"/>
      <c r="B5" s="405"/>
      <c r="C5" s="3600" t="s">
        <v>2540</v>
      </c>
      <c r="D5" s="3601"/>
      <c r="E5" s="3598" t="s">
        <v>2541</v>
      </c>
      <c r="F5" s="3599"/>
      <c r="G5" s="3600" t="s">
        <v>2542</v>
      </c>
      <c r="H5" s="3601"/>
      <c r="I5" s="3600" t="s">
        <v>2543</v>
      </c>
      <c r="J5" s="3601"/>
      <c r="K5" s="610"/>
      <c r="L5" s="1131"/>
      <c r="M5" s="1132"/>
      <c r="N5" s="1132"/>
      <c r="O5" s="1132"/>
      <c r="P5" s="3613"/>
      <c r="Q5" s="3614"/>
      <c r="R5" s="3596"/>
      <c r="S5" s="3597"/>
      <c r="T5" s="3596"/>
      <c r="U5" s="3597"/>
      <c r="V5" s="3619"/>
      <c r="W5" s="3619"/>
      <c r="X5" s="1814"/>
      <c r="Y5" s="3596"/>
      <c r="Z5" s="3597"/>
      <c r="AA5" s="3590"/>
      <c r="AB5" s="3590"/>
      <c r="AC5" s="3590"/>
    </row>
    <row r="6" spans="1:29" ht="15" thickBot="1">
      <c r="A6" s="406"/>
      <c r="B6" s="407"/>
      <c r="C6" s="3602" t="s">
        <v>2544</v>
      </c>
      <c r="D6" s="3603"/>
      <c r="E6" s="3604" t="s">
        <v>2544</v>
      </c>
      <c r="F6" s="3605"/>
      <c r="G6" s="3602" t="s">
        <v>2544</v>
      </c>
      <c r="H6" s="3603"/>
      <c r="I6" s="3602" t="s">
        <v>2544</v>
      </c>
      <c r="J6" s="3603"/>
      <c r="K6" s="610" t="s">
        <v>2545</v>
      </c>
      <c r="L6" s="1131"/>
      <c r="M6" s="1132"/>
      <c r="N6" s="1132"/>
      <c r="O6" s="1132"/>
      <c r="P6" s="3615"/>
      <c r="Q6" s="3616"/>
      <c r="R6" s="3596"/>
      <c r="S6" s="3597"/>
      <c r="T6" s="3617"/>
      <c r="U6" s="3618"/>
      <c r="V6" s="3619"/>
      <c r="W6" s="3619"/>
      <c r="X6" s="1814"/>
      <c r="Y6" s="3617"/>
      <c r="Z6" s="3618"/>
      <c r="AA6" s="3591"/>
      <c r="AB6" s="3591"/>
      <c r="AC6" s="3591"/>
    </row>
    <row r="7" spans="1:29" s="117" customFormat="1" ht="15" thickBot="1">
      <c r="A7" s="408" t="s">
        <v>2546</v>
      </c>
      <c r="B7" s="409"/>
      <c r="C7" s="410">
        <f>'数据-取费表'!B2</f>
        <v>43458</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592" t="s">
        <v>2547</v>
      </c>
      <c r="Q7" s="3620"/>
      <c r="R7" s="770" t="s">
        <v>17</v>
      </c>
      <c r="S7" s="771">
        <f t="shared" ref="S7:S14" si="0">F7</f>
        <v>0</v>
      </c>
      <c r="T7" s="770" t="s">
        <v>17</v>
      </c>
      <c r="U7" s="771">
        <f t="shared" ref="U7:U14" si="1">H7</f>
        <v>0</v>
      </c>
      <c r="V7" s="770" t="s">
        <v>17</v>
      </c>
      <c r="W7" s="771">
        <f t="shared" ref="W7:W14" si="2">J7</f>
        <v>0</v>
      </c>
      <c r="X7" s="772"/>
      <c r="Y7" s="3592" t="s">
        <v>2547</v>
      </c>
      <c r="Z7" s="3593"/>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592" t="s">
        <v>2550</v>
      </c>
      <c r="Q8" s="3593"/>
      <c r="R8" s="770" t="s">
        <v>17</v>
      </c>
      <c r="S8" s="771">
        <f t="shared" si="0"/>
        <v>0</v>
      </c>
      <c r="T8" s="770" t="s">
        <v>17</v>
      </c>
      <c r="U8" s="771">
        <f t="shared" si="1"/>
        <v>0</v>
      </c>
      <c r="V8" s="770" t="s">
        <v>17</v>
      </c>
      <c r="W8" s="771">
        <f t="shared" si="2"/>
        <v>0</v>
      </c>
      <c r="X8" s="772"/>
      <c r="Y8" s="3592" t="s">
        <v>2550</v>
      </c>
      <c r="Z8" s="3593"/>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624" t="s">
        <v>2553</v>
      </c>
      <c r="Q9" s="1796" t="str">
        <f t="shared" ref="Q9:Q14" si="6">B9</f>
        <v>用途</v>
      </c>
      <c r="R9" s="770" t="s">
        <v>17</v>
      </c>
      <c r="S9" s="771">
        <f t="shared" si="0"/>
        <v>100</v>
      </c>
      <c r="T9" s="770" t="s">
        <v>17</v>
      </c>
      <c r="U9" s="771">
        <f t="shared" si="1"/>
        <v>100</v>
      </c>
      <c r="V9" s="770" t="s">
        <v>17</v>
      </c>
      <c r="W9" s="771">
        <f t="shared" si="2"/>
        <v>100</v>
      </c>
      <c r="X9" s="772"/>
      <c r="Y9" s="3439"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624"/>
      <c r="Q10" s="1796" t="str">
        <f t="shared" si="6"/>
        <v>土地使用年限（年）</v>
      </c>
      <c r="R10" s="770" t="s">
        <v>17</v>
      </c>
      <c r="S10" s="771">
        <f t="shared" si="0"/>
        <v>100</v>
      </c>
      <c r="T10" s="770" t="s">
        <v>17</v>
      </c>
      <c r="U10" s="771">
        <f t="shared" si="1"/>
        <v>100</v>
      </c>
      <c r="V10" s="770" t="s">
        <v>17</v>
      </c>
      <c r="W10" s="771">
        <f t="shared" si="2"/>
        <v>100</v>
      </c>
      <c r="X10" s="772"/>
      <c r="Y10" s="343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624"/>
      <c r="Q11" s="1796">
        <f t="shared" si="6"/>
        <v>111</v>
      </c>
      <c r="R11" s="770" t="s">
        <v>17</v>
      </c>
      <c r="S11" s="771">
        <f t="shared" si="0"/>
        <v>100</v>
      </c>
      <c r="T11" s="770" t="s">
        <v>17</v>
      </c>
      <c r="U11" s="771">
        <f t="shared" si="1"/>
        <v>100</v>
      </c>
      <c r="V11" s="770" t="s">
        <v>17</v>
      </c>
      <c r="W11" s="771">
        <f t="shared" si="2"/>
        <v>100</v>
      </c>
      <c r="X11" s="772"/>
      <c r="Y11" s="343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624"/>
      <c r="Q12" s="1796">
        <f t="shared" si="6"/>
        <v>111</v>
      </c>
      <c r="R12" s="770" t="s">
        <v>17</v>
      </c>
      <c r="S12" s="771">
        <f t="shared" si="0"/>
        <v>100</v>
      </c>
      <c r="T12" s="770" t="s">
        <v>17</v>
      </c>
      <c r="U12" s="771">
        <f t="shared" si="1"/>
        <v>100</v>
      </c>
      <c r="V12" s="770" t="s">
        <v>17</v>
      </c>
      <c r="W12" s="771">
        <f t="shared" si="2"/>
        <v>100</v>
      </c>
      <c r="X12" s="772"/>
      <c r="Y12" s="3439"/>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624"/>
      <c r="Q13" s="1796">
        <f t="shared" si="6"/>
        <v>111</v>
      </c>
      <c r="R13" s="770" t="s">
        <v>17</v>
      </c>
      <c r="S13" s="771">
        <f t="shared" si="0"/>
        <v>100</v>
      </c>
      <c r="T13" s="770" t="s">
        <v>17</v>
      </c>
      <c r="U13" s="771">
        <f t="shared" si="1"/>
        <v>100</v>
      </c>
      <c r="V13" s="770" t="s">
        <v>17</v>
      </c>
      <c r="W13" s="771">
        <f t="shared" si="2"/>
        <v>100</v>
      </c>
      <c r="X13" s="772"/>
      <c r="Y13" s="3439"/>
      <c r="Z13" s="55">
        <f t="shared" si="7"/>
        <v>111</v>
      </c>
      <c r="AA13" s="773">
        <f t="shared" si="3"/>
        <v>1</v>
      </c>
      <c r="AB13" s="773">
        <f t="shared" si="4"/>
        <v>1</v>
      </c>
      <c r="AC13" s="773">
        <f t="shared" si="5"/>
        <v>1</v>
      </c>
    </row>
    <row r="14" spans="1:29" ht="193.2">
      <c r="A14" s="440" t="s">
        <v>2557</v>
      </c>
      <c r="B14" s="69" t="s">
        <v>2707</v>
      </c>
      <c r="C14" s="2693"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626" t="s">
        <v>2558</v>
      </c>
      <c r="Q14" s="1811" t="str">
        <f t="shared" si="6"/>
        <v>交通便捷度</v>
      </c>
      <c r="R14" s="774" t="s">
        <v>17</v>
      </c>
      <c r="S14" s="775">
        <f t="shared" si="0"/>
        <v>100</v>
      </c>
      <c r="T14" s="774" t="s">
        <v>17</v>
      </c>
      <c r="U14" s="775">
        <f t="shared" si="1"/>
        <v>100</v>
      </c>
      <c r="V14" s="774" t="s">
        <v>17</v>
      </c>
      <c r="W14" s="775">
        <f t="shared" si="2"/>
        <v>100</v>
      </c>
      <c r="X14" s="1814"/>
      <c r="Y14" s="3626" t="s">
        <v>2558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627"/>
      <c r="Q15" s="1811"/>
      <c r="R15" s="774"/>
      <c r="S15" s="775"/>
      <c r="T15" s="774"/>
      <c r="U15" s="775"/>
      <c r="V15" s="774"/>
      <c r="W15" s="775"/>
      <c r="X15" s="1814"/>
      <c r="Y15" s="3627"/>
      <c r="Z15" s="1815"/>
      <c r="AA15" s="1812">
        <v>1</v>
      </c>
      <c r="AB15" s="1812">
        <v>1</v>
      </c>
      <c r="AC15" s="1812">
        <v>1</v>
      </c>
    </row>
    <row r="16" spans="1:29" ht="41.4">
      <c r="A16" s="428"/>
      <c r="B16" s="451" t="s">
        <v>2686</v>
      </c>
      <c r="C16" s="2607"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627"/>
      <c r="Q16" s="1811" t="str">
        <f>B16</f>
        <v>公共配套设施</v>
      </c>
      <c r="R16" s="774" t="s">
        <v>17</v>
      </c>
      <c r="S16" s="775">
        <f>F16</f>
        <v>100</v>
      </c>
      <c r="T16" s="774" t="s">
        <v>17</v>
      </c>
      <c r="U16" s="775">
        <f>H16</f>
        <v>100</v>
      </c>
      <c r="V16" s="774" t="s">
        <v>17</v>
      </c>
      <c r="W16" s="775">
        <f>J16</f>
        <v>100</v>
      </c>
      <c r="X16" s="1814"/>
      <c r="Y16" s="3627"/>
      <c r="Z16" s="1815" t="str">
        <f>Q16</f>
        <v>公共配套设施</v>
      </c>
      <c r="AA16" s="1812">
        <f t="shared" si="3"/>
        <v>1</v>
      </c>
      <c r="AB16" s="1812">
        <f t="shared" si="4"/>
        <v>1</v>
      </c>
      <c r="AC16" s="1812">
        <f t="shared" si="5"/>
        <v>1</v>
      </c>
    </row>
    <row r="17" spans="1:29" ht="15">
      <c r="A17" s="428"/>
      <c r="B17" s="456"/>
      <c r="C17" s="2608"/>
      <c r="D17" s="448"/>
      <c r="E17" s="447"/>
      <c r="F17" s="449"/>
      <c r="G17" s="447"/>
      <c r="H17" s="448"/>
      <c r="I17" s="447"/>
      <c r="J17" s="448"/>
      <c r="K17" s="615"/>
      <c r="L17" s="1141"/>
      <c r="M17" s="1132"/>
      <c r="N17" s="1132"/>
      <c r="O17" s="1140"/>
      <c r="P17" s="3627"/>
      <c r="Q17" s="1811"/>
      <c r="R17" s="774"/>
      <c r="S17" s="775"/>
      <c r="T17" s="774"/>
      <c r="U17" s="775"/>
      <c r="V17" s="774"/>
      <c r="W17" s="775"/>
      <c r="X17" s="1814"/>
      <c r="Y17" s="3627"/>
      <c r="Z17" s="1815"/>
      <c r="AA17" s="1812">
        <v>1</v>
      </c>
      <c r="AB17" s="1812">
        <v>1</v>
      </c>
      <c r="AC17" s="1812">
        <v>1</v>
      </c>
    </row>
    <row r="18" spans="1:29" ht="41.4">
      <c r="A18" s="428"/>
      <c r="B18" s="1385" t="s">
        <v>2687</v>
      </c>
      <c r="C18" s="2607" t="str">
        <f>IF(B1="工业",估价对象房地状况!G6,估价对象房地状况!C8)</f>
        <v>估价对象所在区域基础设施水平较高</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627"/>
      <c r="Q18" s="1811" t="str">
        <f>B18</f>
        <v>基础设施水平</v>
      </c>
      <c r="R18" s="774" t="s">
        <v>17</v>
      </c>
      <c r="S18" s="775">
        <f>F18</f>
        <v>100</v>
      </c>
      <c r="T18" s="774" t="s">
        <v>17</v>
      </c>
      <c r="U18" s="775">
        <f>H18</f>
        <v>100</v>
      </c>
      <c r="V18" s="774" t="s">
        <v>17</v>
      </c>
      <c r="W18" s="775">
        <f>J18</f>
        <v>100</v>
      </c>
      <c r="X18" s="1814"/>
      <c r="Y18" s="3627"/>
      <c r="Z18" s="1815" t="str">
        <f>Q18</f>
        <v>基础设施水平</v>
      </c>
      <c r="AA18" s="1812">
        <f>D18/F18</f>
        <v>1</v>
      </c>
      <c r="AB18" s="1812">
        <f>D18/H18</f>
        <v>1</v>
      </c>
      <c r="AC18" s="1812">
        <f>D18/J18</f>
        <v>1</v>
      </c>
    </row>
    <row r="19" spans="1:29" ht="15">
      <c r="A19" s="428"/>
      <c r="B19" s="1385"/>
      <c r="C19" s="2608"/>
      <c r="D19" s="450"/>
      <c r="E19" s="2608"/>
      <c r="F19" s="453"/>
      <c r="G19" s="2608"/>
      <c r="H19" s="448"/>
      <c r="I19" s="447"/>
      <c r="J19" s="448"/>
      <c r="K19" s="1384"/>
      <c r="L19" s="1141"/>
      <c r="M19" s="1132"/>
      <c r="N19" s="1132"/>
      <c r="O19" s="1140"/>
      <c r="P19" s="3627"/>
      <c r="Q19" s="1811"/>
      <c r="R19" s="774"/>
      <c r="S19" s="775"/>
      <c r="T19" s="774"/>
      <c r="U19" s="775"/>
      <c r="V19" s="774"/>
      <c r="W19" s="775"/>
      <c r="X19" s="1814"/>
      <c r="Y19" s="3627"/>
      <c r="Z19" s="1815"/>
      <c r="AA19" s="1812">
        <v>1</v>
      </c>
      <c r="AB19" s="1812">
        <v>1</v>
      </c>
      <c r="AC19" s="1812">
        <v>1</v>
      </c>
    </row>
    <row r="20" spans="1:29" ht="96.6">
      <c r="A20" s="428"/>
      <c r="B20" s="451" t="s">
        <v>2708</v>
      </c>
      <c r="C20" s="2607" t="str">
        <f>IF(B1="工业",估价对象房地状况!G7,估价对象房地状况!C9)</f>
        <v>区域自然环境：廉政文化公园；人文环境：自来水博物馆；综合评价环境状况较好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627"/>
      <c r="Q20" s="1811" t="str">
        <f>B20</f>
        <v>自然及人文环境</v>
      </c>
      <c r="R20" s="774" t="s">
        <v>17</v>
      </c>
      <c r="S20" s="775">
        <f>F20</f>
        <v>100</v>
      </c>
      <c r="T20" s="774" t="s">
        <v>17</v>
      </c>
      <c r="U20" s="775">
        <f>H20</f>
        <v>100</v>
      </c>
      <c r="V20" s="774" t="s">
        <v>17</v>
      </c>
      <c r="W20" s="775">
        <f>J20</f>
        <v>100</v>
      </c>
      <c r="X20" s="1814"/>
      <c r="Y20" s="3627"/>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627"/>
      <c r="Q21" s="1811"/>
      <c r="R21" s="774"/>
      <c r="S21" s="775"/>
      <c r="T21" s="774"/>
      <c r="U21" s="775"/>
      <c r="V21" s="774"/>
      <c r="W21" s="775"/>
      <c r="X21" s="1814"/>
      <c r="Y21" s="3627"/>
      <c r="Z21" s="1815"/>
      <c r="AA21" s="1812">
        <v>1</v>
      </c>
      <c r="AB21" s="1812">
        <v>1</v>
      </c>
      <c r="AC21" s="181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627"/>
      <c r="Q22" s="1811" t="str">
        <f>B22</f>
        <v>楼层</v>
      </c>
      <c r="R22" s="774" t="s">
        <v>17</v>
      </c>
      <c r="S22" s="775">
        <f>F22</f>
        <v>100</v>
      </c>
      <c r="T22" s="774" t="s">
        <v>17</v>
      </c>
      <c r="U22" s="775">
        <f>H22</f>
        <v>100</v>
      </c>
      <c r="V22" s="774" t="s">
        <v>17</v>
      </c>
      <c r="W22" s="775">
        <f>J22</f>
        <v>100</v>
      </c>
      <c r="X22" s="1814"/>
      <c r="Y22" s="3627"/>
      <c r="Z22" s="1815" t="str">
        <f>Q22</f>
        <v>楼层</v>
      </c>
      <c r="AA22" s="1812">
        <f t="shared" si="3"/>
        <v>1</v>
      </c>
      <c r="AB22" s="1812">
        <f t="shared" si="4"/>
        <v>1</v>
      </c>
      <c r="AC22" s="1812">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627"/>
      <c r="Q23" s="1811">
        <f>B23</f>
        <v>111</v>
      </c>
      <c r="R23" s="774" t="s">
        <v>17</v>
      </c>
      <c r="S23" s="775">
        <f>F23</f>
        <v>100</v>
      </c>
      <c r="T23" s="774" t="s">
        <v>17</v>
      </c>
      <c r="U23" s="775">
        <f>H23</f>
        <v>100</v>
      </c>
      <c r="V23" s="774" t="s">
        <v>17</v>
      </c>
      <c r="W23" s="775">
        <f>J23</f>
        <v>100</v>
      </c>
      <c r="X23" s="1814"/>
      <c r="Y23" s="3627"/>
      <c r="Z23" s="1815">
        <f>Q23</f>
        <v>111</v>
      </c>
      <c r="AA23" s="1812">
        <f t="shared" si="3"/>
        <v>1</v>
      </c>
      <c r="AB23" s="1812">
        <f t="shared" si="4"/>
        <v>1</v>
      </c>
      <c r="AC23" s="1812">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627"/>
      <c r="Q24" s="1811">
        <f t="shared" ref="Q24:Q34" si="8">B24</f>
        <v>111</v>
      </c>
      <c r="R24" s="774" t="s">
        <v>17</v>
      </c>
      <c r="S24" s="775">
        <f>F24</f>
        <v>100</v>
      </c>
      <c r="T24" s="774" t="s">
        <v>17</v>
      </c>
      <c r="U24" s="775">
        <f>H24</f>
        <v>100</v>
      </c>
      <c r="V24" s="774" t="s">
        <v>17</v>
      </c>
      <c r="W24" s="775">
        <f>J24</f>
        <v>100</v>
      </c>
      <c r="X24" s="1814"/>
      <c r="Y24" s="3627"/>
      <c r="Z24" s="1815">
        <f>Q24</f>
        <v>111</v>
      </c>
      <c r="AA24" s="1812">
        <f t="shared" si="3"/>
        <v>1</v>
      </c>
      <c r="AB24" s="1812">
        <f t="shared" si="4"/>
        <v>1</v>
      </c>
      <c r="AC24" s="1812">
        <f t="shared" si="5"/>
        <v>1</v>
      </c>
    </row>
    <row r="25" spans="1:29" s="117" customFormat="1" ht="15.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627"/>
      <c r="Q25" s="1796">
        <f t="shared" si="8"/>
        <v>111</v>
      </c>
      <c r="R25" s="770" t="s">
        <v>17</v>
      </c>
      <c r="S25" s="771">
        <f>F25</f>
        <v>100</v>
      </c>
      <c r="T25" s="770" t="s">
        <v>17</v>
      </c>
      <c r="U25" s="771">
        <f>H25</f>
        <v>100</v>
      </c>
      <c r="V25" s="770" t="s">
        <v>17</v>
      </c>
      <c r="W25" s="771">
        <f>J25</f>
        <v>100</v>
      </c>
      <c r="X25" s="772"/>
      <c r="Y25" s="3627"/>
      <c r="Z25" s="55">
        <f>Q25</f>
        <v>111</v>
      </c>
      <c r="AA25" s="1812">
        <f>D25/F25</f>
        <v>1</v>
      </c>
      <c r="AB25" s="1812">
        <f>D25/H25</f>
        <v>1</v>
      </c>
      <c r="AC25" s="1812">
        <f>D25/J25</f>
        <v>1</v>
      </c>
    </row>
    <row r="26" spans="1:29" ht="30">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650" t="s">
        <v>2563</v>
      </c>
      <c r="Q26" s="1811" t="str">
        <f t="shared" si="8"/>
        <v>公共部分装修</v>
      </c>
      <c r="R26" s="774" t="s">
        <v>17</v>
      </c>
      <c r="S26" s="775">
        <f t="shared" ref="S26:S34" si="9">F26</f>
        <v>100</v>
      </c>
      <c r="T26" s="774" t="s">
        <v>17</v>
      </c>
      <c r="U26" s="775">
        <f t="shared" ref="U26:U34" si="10">H26</f>
        <v>100</v>
      </c>
      <c r="V26" s="774" t="s">
        <v>17</v>
      </c>
      <c r="W26" s="775">
        <f t="shared" ref="W26:W34" si="11">J26</f>
        <v>100</v>
      </c>
      <c r="X26" s="1814"/>
      <c r="Y26" s="3631" t="s">
        <v>2563</v>
      </c>
      <c r="Z26" s="1815" t="str">
        <f t="shared" ref="Z26:Z34" si="12">Q26</f>
        <v>公共部分装修</v>
      </c>
      <c r="AA26" s="1812">
        <f t="shared" si="3"/>
        <v>1</v>
      </c>
      <c r="AB26" s="1812">
        <f t="shared" si="4"/>
        <v>1</v>
      </c>
      <c r="AC26" s="181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631"/>
      <c r="Q27" s="776" t="str">
        <f t="shared" si="8"/>
        <v>成新率</v>
      </c>
      <c r="R27" s="777" t="s">
        <v>17</v>
      </c>
      <c r="S27" s="778" t="e">
        <f t="shared" si="9"/>
        <v>#N/A</v>
      </c>
      <c r="T27" s="777" t="s">
        <v>17</v>
      </c>
      <c r="U27" s="778" t="e">
        <f t="shared" si="10"/>
        <v>#N/A</v>
      </c>
      <c r="V27" s="777" t="s">
        <v>17</v>
      </c>
      <c r="W27" s="778" t="e">
        <f t="shared" si="11"/>
        <v>#N/A</v>
      </c>
      <c r="X27" s="779"/>
      <c r="Y27" s="3631"/>
      <c r="Z27" s="780" t="str">
        <f t="shared" si="12"/>
        <v>成新率</v>
      </c>
      <c r="AA27" s="1812" t="e">
        <f t="shared" si="3"/>
        <v>#N/A</v>
      </c>
      <c r="AB27" s="1812" t="e">
        <f t="shared" si="4"/>
        <v>#N/A</v>
      </c>
      <c r="AC27" s="181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631"/>
      <c r="Q28" s="1811" t="str">
        <f t="shared" si="8"/>
        <v>物业等级</v>
      </c>
      <c r="R28" s="774" t="s">
        <v>17</v>
      </c>
      <c r="S28" s="775">
        <f t="shared" si="9"/>
        <v>100</v>
      </c>
      <c r="T28" s="774" t="s">
        <v>17</v>
      </c>
      <c r="U28" s="775">
        <f t="shared" si="10"/>
        <v>100</v>
      </c>
      <c r="V28" s="774" t="s">
        <v>17</v>
      </c>
      <c r="W28" s="775">
        <f t="shared" si="11"/>
        <v>100</v>
      </c>
      <c r="X28" s="1814"/>
      <c r="Y28" s="3631"/>
      <c r="Z28" s="1815" t="str">
        <f t="shared" si="12"/>
        <v>物业等级</v>
      </c>
      <c r="AA28" s="1812">
        <f t="shared" si="3"/>
        <v>1</v>
      </c>
      <c r="AB28" s="1812">
        <f t="shared" si="4"/>
        <v>1</v>
      </c>
      <c r="AC28" s="1812">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631"/>
      <c r="Q29" s="1811" t="str">
        <f t="shared" si="8"/>
        <v>有无电梯</v>
      </c>
      <c r="R29" s="774" t="s">
        <v>17</v>
      </c>
      <c r="S29" s="775">
        <f t="shared" si="9"/>
        <v>100</v>
      </c>
      <c r="T29" s="774" t="s">
        <v>17</v>
      </c>
      <c r="U29" s="775">
        <f t="shared" si="10"/>
        <v>100</v>
      </c>
      <c r="V29" s="774" t="s">
        <v>17</v>
      </c>
      <c r="W29" s="775">
        <f t="shared" si="11"/>
        <v>100</v>
      </c>
      <c r="X29" s="1814"/>
      <c r="Y29" s="3631"/>
      <c r="Z29" s="1815" t="str">
        <f t="shared" si="12"/>
        <v>有无电梯</v>
      </c>
      <c r="AA29" s="1812">
        <f t="shared" si="3"/>
        <v>1</v>
      </c>
      <c r="AB29" s="1812">
        <f t="shared" si="4"/>
        <v>1</v>
      </c>
      <c r="AC29" s="181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631"/>
      <c r="Q30" s="1811" t="str">
        <f t="shared" si="8"/>
        <v>建筑面积</v>
      </c>
      <c r="R30" s="774" t="s">
        <v>17</v>
      </c>
      <c r="S30" s="775" t="e">
        <f t="shared" si="9"/>
        <v>#N/A</v>
      </c>
      <c r="T30" s="774" t="s">
        <v>17</v>
      </c>
      <c r="U30" s="775" t="e">
        <f t="shared" si="10"/>
        <v>#N/A</v>
      </c>
      <c r="V30" s="774" t="s">
        <v>17</v>
      </c>
      <c r="W30" s="775" t="e">
        <f t="shared" si="11"/>
        <v>#N/A</v>
      </c>
      <c r="X30" s="1814"/>
      <c r="Y30" s="3631"/>
      <c r="Z30" s="1815" t="str">
        <f t="shared" si="12"/>
        <v>建筑面积</v>
      </c>
      <c r="AA30" s="1812" t="e">
        <f t="shared" si="3"/>
        <v>#N/A</v>
      </c>
      <c r="AB30" s="1812" t="e">
        <f t="shared" si="4"/>
        <v>#N/A</v>
      </c>
      <c r="AC30" s="1812"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631"/>
      <c r="Q31" s="1796" t="str">
        <f t="shared" si="8"/>
        <v>是否封闭</v>
      </c>
      <c r="R31" s="770" t="s">
        <v>17</v>
      </c>
      <c r="S31" s="771">
        <f t="shared" si="9"/>
        <v>100</v>
      </c>
      <c r="T31" s="770" t="s">
        <v>17</v>
      </c>
      <c r="U31" s="771">
        <f t="shared" si="10"/>
        <v>100</v>
      </c>
      <c r="V31" s="770" t="s">
        <v>17</v>
      </c>
      <c r="W31" s="771">
        <f t="shared" si="11"/>
        <v>100</v>
      </c>
      <c r="X31" s="772"/>
      <c r="Y31" s="3631"/>
      <c r="Z31" s="55" t="str">
        <f t="shared" si="12"/>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631" t="s">
        <v>2563</v>
      </c>
      <c r="Q32" s="1811">
        <f t="shared" si="8"/>
        <v>111</v>
      </c>
      <c r="R32" s="774" t="s">
        <v>17</v>
      </c>
      <c r="S32" s="775">
        <f t="shared" si="9"/>
        <v>100</v>
      </c>
      <c r="T32" s="774" t="s">
        <v>17</v>
      </c>
      <c r="U32" s="775">
        <f t="shared" si="10"/>
        <v>100</v>
      </c>
      <c r="V32" s="774" t="s">
        <v>17</v>
      </c>
      <c r="W32" s="775">
        <f t="shared" si="11"/>
        <v>100</v>
      </c>
      <c r="X32" s="1814"/>
      <c r="Y32" s="3631" t="s">
        <v>2563</v>
      </c>
      <c r="Z32" s="1815">
        <f t="shared" si="12"/>
        <v>111</v>
      </c>
      <c r="AA32" s="1812">
        <f t="shared" si="3"/>
        <v>1</v>
      </c>
      <c r="AB32" s="1812">
        <f t="shared" si="4"/>
        <v>1</v>
      </c>
      <c r="AC32" s="1812">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631"/>
      <c r="Q33" s="1811">
        <f t="shared" si="8"/>
        <v>111</v>
      </c>
      <c r="R33" s="774" t="s">
        <v>17</v>
      </c>
      <c r="S33" s="775">
        <f t="shared" si="9"/>
        <v>100</v>
      </c>
      <c r="T33" s="774" t="s">
        <v>17</v>
      </c>
      <c r="U33" s="775">
        <f t="shared" si="10"/>
        <v>100</v>
      </c>
      <c r="V33" s="774" t="s">
        <v>17</v>
      </c>
      <c r="W33" s="775">
        <f t="shared" si="11"/>
        <v>100</v>
      </c>
      <c r="X33" s="1814"/>
      <c r="Y33" s="3631"/>
      <c r="Z33" s="1815">
        <f t="shared" si="12"/>
        <v>111</v>
      </c>
      <c r="AA33" s="1812">
        <f t="shared" si="3"/>
        <v>1</v>
      </c>
      <c r="AB33" s="1812">
        <f t="shared" si="4"/>
        <v>1</v>
      </c>
      <c r="AC33" s="1812">
        <f t="shared" si="5"/>
        <v>1</v>
      </c>
    </row>
    <row r="34" spans="1:29" ht="15.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631"/>
      <c r="Q34" s="1811">
        <f t="shared" si="8"/>
        <v>111</v>
      </c>
      <c r="R34" s="774" t="s">
        <v>17</v>
      </c>
      <c r="S34" s="775">
        <f t="shared" si="9"/>
        <v>100</v>
      </c>
      <c r="T34" s="774" t="s">
        <v>17</v>
      </c>
      <c r="U34" s="775">
        <f t="shared" si="10"/>
        <v>100</v>
      </c>
      <c r="V34" s="774" t="s">
        <v>17</v>
      </c>
      <c r="W34" s="775">
        <f t="shared" si="11"/>
        <v>100</v>
      </c>
      <c r="X34" s="1814"/>
      <c r="Y34" s="3631"/>
      <c r="Z34" s="1815">
        <f t="shared" si="12"/>
        <v>111</v>
      </c>
      <c r="AA34" s="1812">
        <f t="shared" si="3"/>
        <v>1</v>
      </c>
      <c r="AB34" s="1812">
        <f t="shared" si="4"/>
        <v>1</v>
      </c>
      <c r="AC34" s="1812">
        <f t="shared" si="5"/>
        <v>1</v>
      </c>
    </row>
    <row r="35" spans="1:29" ht="14.4">
      <c r="A35" s="479" t="s">
        <v>2575</v>
      </c>
      <c r="B35" s="480"/>
      <c r="C35" s="1408" t="s">
        <v>1</v>
      </c>
      <c r="D35" s="1409"/>
      <c r="E35" s="1410"/>
      <c r="F35" s="1411"/>
      <c r="G35" s="1412"/>
      <c r="H35" s="1413"/>
      <c r="I35" s="1410"/>
      <c r="J35" s="1413"/>
      <c r="K35" s="783"/>
      <c r="L35" s="1144"/>
      <c r="M35" s="1145"/>
      <c r="N35" s="1132"/>
      <c r="O35" s="1145"/>
      <c r="P35" s="3624" t="str">
        <f>A35</f>
        <v>成交单价（元/平方米）</v>
      </c>
      <c r="Q35" s="3624"/>
      <c r="R35" s="3625">
        <f>E35</f>
        <v>0</v>
      </c>
      <c r="S35" s="3625"/>
      <c r="T35" s="3625">
        <f>G35</f>
        <v>0</v>
      </c>
      <c r="U35" s="3625"/>
      <c r="V35" s="3625">
        <f>I35</f>
        <v>0</v>
      </c>
      <c r="W35" s="3625"/>
      <c r="X35" s="759"/>
      <c r="Y35" s="781"/>
      <c r="Z35" s="759"/>
      <c r="AA35" s="759"/>
      <c r="AB35" s="759"/>
      <c r="AC35" s="759"/>
    </row>
    <row r="36" spans="1:29" ht="15" thickBot="1">
      <c r="A36" s="486" t="s">
        <v>2667</v>
      </c>
      <c r="B36" s="487"/>
      <c r="C36" s="1414" t="e">
        <f>R37</f>
        <v>#DIV/0!</v>
      </c>
      <c r="D36" s="1415"/>
      <c r="E36" s="1416" t="e">
        <f>R36</f>
        <v>#DIV/0!</v>
      </c>
      <c r="F36" s="1416"/>
      <c r="G36" s="1414" t="e">
        <f>T36</f>
        <v>#DIV/0!</v>
      </c>
      <c r="H36" s="1415"/>
      <c r="I36" s="1416" t="e">
        <f>V36</f>
        <v>#DIV/0!</v>
      </c>
      <c r="J36" s="1415"/>
      <c r="K36" s="784"/>
      <c r="L36" s="1144"/>
      <c r="M36" s="1145"/>
      <c r="N36" s="1132"/>
      <c r="O36" s="1145"/>
      <c r="P36" s="3624" t="str">
        <f>A36</f>
        <v>比较价值（元/平方米）</v>
      </c>
      <c r="Q36" s="3624"/>
      <c r="R36" s="3625" t="e">
        <f>IF(F1="售价",ROUND(PRODUCT(R35,AA7:AA34),0),ROUND(PRODUCT(R35,AA7:AA34),1))</f>
        <v>#DIV/0!</v>
      </c>
      <c r="S36" s="3625"/>
      <c r="T36" s="3625" t="e">
        <f>IF(F1="售价",ROUND(PRODUCT(T35,AB7:AB34),0),ROUND(PRODUCT(T35,AB7:AB34),1))</f>
        <v>#DIV/0!</v>
      </c>
      <c r="U36" s="3625"/>
      <c r="V36" s="3625" t="e">
        <f>IF(F1="售价",ROUND(PRODUCT(V35,AC7:AC34),0),ROUND(PRODUCT(V35,AC7:AC34),1))</f>
        <v>#DIV/0!</v>
      </c>
      <c r="W36" s="3625"/>
      <c r="X36" s="759"/>
      <c r="Y36" s="759"/>
      <c r="Z36" s="759"/>
      <c r="AA36" s="759"/>
      <c r="AB36" s="759"/>
      <c r="AC36" s="759"/>
    </row>
    <row r="37" spans="1:29" ht="15" thickBot="1">
      <c r="A37" s="492" t="s">
        <v>2668</v>
      </c>
      <c r="B37" s="493"/>
      <c r="C37" s="1418" t="e">
        <f>R37</f>
        <v>#DIV/0!</v>
      </c>
      <c r="D37" s="1418"/>
      <c r="E37" s="1418"/>
      <c r="F37" s="1418"/>
      <c r="G37" s="1418"/>
      <c r="H37" s="1418"/>
      <c r="I37" s="1418"/>
      <c r="J37" s="1418"/>
      <c r="K37" s="785"/>
      <c r="L37" s="1144"/>
      <c r="M37" s="1145"/>
      <c r="N37" s="1145"/>
      <c r="O37" s="1145"/>
      <c r="P37" s="3621" t="str">
        <f>A37</f>
        <v>估价对象XX用房的比较价值（楼面单价，元/平方米）</v>
      </c>
      <c r="Q37" s="3622"/>
      <c r="R37" s="3623" t="e">
        <f>IF(F1="售价",ROUND(AVERAGE(R36:V36),0),ROUND(AVERAGE(R36:V36),1))</f>
        <v>#DIV/0!</v>
      </c>
      <c r="S37" s="3623"/>
      <c r="T37" s="3623"/>
      <c r="U37" s="3623"/>
      <c r="V37" s="3623"/>
      <c r="W37" s="3623"/>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5" t="str">
        <f>YEAR(C7)&amp;"-"&amp;MONTH(C7)</f>
        <v>2018-12</v>
      </c>
      <c r="D46" s="1576">
        <f>EDATE(C46,-1)</f>
        <v>43405</v>
      </c>
      <c r="E46" s="1576">
        <f t="shared" ref="E46:O46" si="13">EDATE(D46,-1)</f>
        <v>43374</v>
      </c>
      <c r="F46" s="1576">
        <f t="shared" si="13"/>
        <v>43344</v>
      </c>
      <c r="G46" s="1576">
        <f t="shared" si="13"/>
        <v>43313</v>
      </c>
      <c r="H46" s="1576">
        <f t="shared" si="13"/>
        <v>43282</v>
      </c>
      <c r="I46" s="1576">
        <f t="shared" si="13"/>
        <v>43252</v>
      </c>
      <c r="J46" s="1576">
        <f t="shared" si="13"/>
        <v>43221</v>
      </c>
      <c r="K46" s="1576">
        <f t="shared" si="13"/>
        <v>43191</v>
      </c>
      <c r="L46" s="1576">
        <f t="shared" si="13"/>
        <v>43160</v>
      </c>
      <c r="M46" s="1576">
        <f t="shared" si="13"/>
        <v>43132</v>
      </c>
      <c r="N46" s="1576">
        <f t="shared" si="13"/>
        <v>43101</v>
      </c>
      <c r="O46" s="1576">
        <f t="shared" si="13"/>
        <v>43070</v>
      </c>
      <c r="P46" s="507"/>
    </row>
    <row r="47" spans="1:29" s="117" customFormat="1">
      <c r="A47" s="509"/>
      <c r="B47" s="510"/>
      <c r="C47" s="1574">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2"/>
      <c r="O49" s="1152"/>
      <c r="P49" s="526"/>
      <c r="Q49" s="504"/>
    </row>
    <row r="50" spans="1:17" s="117" customFormat="1" ht="14.4" thickBot="1">
      <c r="A50" s="521"/>
      <c r="B50" s="510"/>
      <c r="C50" s="639">
        <v>100</v>
      </c>
      <c r="D50" s="512"/>
      <c r="E50" s="512"/>
      <c r="F50" s="512"/>
      <c r="G50" s="512"/>
      <c r="H50" s="512"/>
      <c r="I50" s="512"/>
      <c r="J50" s="512"/>
      <c r="K50" s="512"/>
      <c r="L50" s="512"/>
      <c r="M50" s="514"/>
      <c r="N50" s="1152"/>
      <c r="O50" s="1152"/>
      <c r="P50" s="504"/>
      <c r="Q50" s="504"/>
    </row>
    <row r="51" spans="1:17" ht="14.4">
      <c r="A51" s="527" t="s">
        <v>2586</v>
      </c>
      <c r="B51" s="528" t="s">
        <v>2552</v>
      </c>
      <c r="C51" s="529">
        <f>C9</f>
        <v>0</v>
      </c>
      <c r="D51" s="530"/>
      <c r="E51" s="530"/>
      <c r="F51" s="530"/>
      <c r="G51" s="530"/>
      <c r="H51" s="530"/>
      <c r="I51" s="530"/>
      <c r="J51" s="530"/>
      <c r="K51" s="531"/>
      <c r="L51" s="532"/>
      <c r="M51" s="533"/>
      <c r="N51" s="1153"/>
      <c r="O51" s="1153"/>
      <c r="P51" s="45"/>
      <c r="Q51" s="504"/>
    </row>
    <row r="52" spans="1:17" ht="14.4" thickBot="1">
      <c r="A52" s="534"/>
      <c r="B52" s="535"/>
      <c r="C52" s="536">
        <v>100</v>
      </c>
      <c r="D52" s="536"/>
      <c r="E52" s="536"/>
      <c r="F52" s="536"/>
      <c r="G52" s="536"/>
      <c r="H52" s="536"/>
      <c r="I52" s="536"/>
      <c r="J52" s="536"/>
      <c r="K52" s="536"/>
      <c r="L52" s="536"/>
      <c r="M52" s="537"/>
      <c r="N52" s="1154"/>
      <c r="O52" s="1154"/>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4.4" thickTop="1">
      <c r="A55" s="534"/>
      <c r="B55" s="660">
        <f>B11</f>
        <v>111</v>
      </c>
      <c r="C55" s="549"/>
      <c r="D55" s="549"/>
      <c r="E55" s="549"/>
      <c r="F55" s="549"/>
      <c r="G55" s="549"/>
      <c r="H55" s="549"/>
      <c r="I55" s="549"/>
      <c r="J55" s="549"/>
      <c r="K55" s="550"/>
      <c r="L55" s="551"/>
      <c r="M55" s="552"/>
      <c r="N55" s="1153"/>
      <c r="O55" s="1153"/>
      <c r="P55" s="45"/>
      <c r="Q55" s="504"/>
    </row>
    <row r="56" spans="1:17" ht="14.4" thickBot="1">
      <c r="A56" s="534"/>
      <c r="B56" s="535"/>
      <c r="C56" s="560"/>
      <c r="D56" s="536"/>
      <c r="E56" s="536"/>
      <c r="F56" s="536"/>
      <c r="G56" s="536"/>
      <c r="H56" s="536"/>
      <c r="I56" s="536"/>
      <c r="J56" s="536"/>
      <c r="K56" s="536"/>
      <c r="L56" s="536"/>
      <c r="M56" s="537"/>
      <c r="N56" s="1154"/>
      <c r="O56" s="1154"/>
      <c r="P56" s="45"/>
      <c r="Q56" s="504"/>
    </row>
    <row r="57" spans="1:17" s="471" customFormat="1" ht="14.4" thickTop="1">
      <c r="A57" s="553"/>
      <c r="B57" s="538">
        <f>B12</f>
        <v>111</v>
      </c>
      <c r="C57" s="549"/>
      <c r="D57" s="549"/>
      <c r="E57" s="549"/>
      <c r="F57" s="549"/>
      <c r="G57" s="554"/>
      <c r="H57" s="555"/>
      <c r="I57" s="555"/>
      <c r="J57" s="555"/>
      <c r="K57" s="555"/>
      <c r="L57" s="556"/>
      <c r="M57" s="557"/>
      <c r="N57" s="1155"/>
      <c r="O57" s="1155"/>
      <c r="P57" s="558"/>
      <c r="Q57" s="559"/>
    </row>
    <row r="58" spans="1:17" s="471" customFormat="1" ht="14.4" thickBot="1">
      <c r="A58" s="553"/>
      <c r="B58" s="543"/>
      <c r="C58" s="560"/>
      <c r="D58" s="536"/>
      <c r="E58" s="536"/>
      <c r="F58" s="536"/>
      <c r="G58" s="536"/>
      <c r="H58" s="536"/>
      <c r="I58" s="536"/>
      <c r="J58" s="536"/>
      <c r="K58" s="536"/>
      <c r="L58" s="536"/>
      <c r="M58" s="537"/>
      <c r="N58" s="1154"/>
      <c r="O58" s="1154"/>
      <c r="P58" s="558"/>
      <c r="Q58" s="559"/>
    </row>
    <row r="59" spans="1:17" s="471" customFormat="1" ht="14.4" thickTop="1">
      <c r="A59" s="553"/>
      <c r="B59" s="538">
        <f>B13</f>
        <v>111</v>
      </c>
      <c r="C59" s="549"/>
      <c r="D59" s="549"/>
      <c r="E59" s="549"/>
      <c r="F59" s="549"/>
      <c r="G59" s="554"/>
      <c r="H59" s="555"/>
      <c r="I59" s="555"/>
      <c r="J59" s="555"/>
      <c r="K59" s="555"/>
      <c r="L59" s="556"/>
      <c r="M59" s="557"/>
      <c r="N59" s="1155"/>
      <c r="O59" s="1155"/>
      <c r="P59" s="470"/>
      <c r="Q59" s="561"/>
    </row>
    <row r="60" spans="1:17" s="471" customFormat="1" ht="14.4"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3"/>
      <c r="N65" s="1154"/>
      <c r="O65" s="1154"/>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 thickTop="1">
      <c r="A69" s="534"/>
      <c r="B69" s="538" t="s">
        <v>2727</v>
      </c>
      <c r="C69" s="554"/>
      <c r="D69" s="554"/>
      <c r="E69" s="554"/>
      <c r="F69" s="554"/>
      <c r="G69" s="554"/>
      <c r="H69" s="583"/>
      <c r="I69" s="583"/>
      <c r="J69" s="583"/>
      <c r="K69" s="584"/>
      <c r="L69" s="585"/>
      <c r="M69" s="586"/>
      <c r="N69" s="1153"/>
      <c r="O69" s="1153"/>
      <c r="P69" s="45"/>
      <c r="Q69" s="504"/>
    </row>
    <row r="70" spans="1:17" ht="14.4"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4.4" thickTop="1">
      <c r="A71" s="579"/>
      <c r="B71" s="538">
        <f>B23</f>
        <v>111</v>
      </c>
      <c r="C71" s="549"/>
      <c r="D71" s="549"/>
      <c r="E71" s="549"/>
      <c r="F71" s="549"/>
      <c r="G71" s="554"/>
      <c r="H71" s="554"/>
      <c r="I71" s="554"/>
      <c r="J71" s="554"/>
      <c r="K71" s="554"/>
      <c r="L71" s="580"/>
      <c r="M71" s="581"/>
      <c r="N71" s="1152"/>
      <c r="O71" s="1152"/>
      <c r="P71" s="45"/>
      <c r="Q71" s="504"/>
    </row>
    <row r="72" spans="1:17" s="117" customFormat="1" ht="14.4" thickBot="1">
      <c r="A72" s="579"/>
      <c r="B72" s="543"/>
      <c r="C72" s="560"/>
      <c r="D72" s="536"/>
      <c r="E72" s="536"/>
      <c r="F72" s="536"/>
      <c r="G72" s="536"/>
      <c r="H72" s="536"/>
      <c r="I72" s="536"/>
      <c r="J72" s="536"/>
      <c r="K72" s="536"/>
      <c r="L72" s="536"/>
      <c r="M72" s="537"/>
      <c r="N72" s="1154"/>
      <c r="O72" s="1154"/>
      <c r="P72" s="45"/>
      <c r="Q72" s="504"/>
    </row>
    <row r="73" spans="1:17" s="117" customFormat="1" ht="14.4" thickTop="1">
      <c r="A73" s="579"/>
      <c r="B73" s="538">
        <f>B24</f>
        <v>111</v>
      </c>
      <c r="C73" s="549"/>
      <c r="D73" s="549"/>
      <c r="E73" s="549"/>
      <c r="F73" s="549"/>
      <c r="G73" s="554"/>
      <c r="H73" s="554"/>
      <c r="I73" s="554"/>
      <c r="J73" s="554"/>
      <c r="K73" s="554"/>
      <c r="L73" s="554"/>
      <c r="M73" s="581"/>
      <c r="N73" s="1152"/>
      <c r="O73" s="1152"/>
      <c r="P73" s="45"/>
      <c r="Q73" s="504"/>
    </row>
    <row r="74" spans="1:17" s="117" customFormat="1" ht="14.4" thickBot="1">
      <c r="A74" s="579"/>
      <c r="B74" s="543"/>
      <c r="C74" s="560"/>
      <c r="D74" s="536"/>
      <c r="E74" s="536"/>
      <c r="F74" s="536"/>
      <c r="G74" s="536"/>
      <c r="H74" s="536"/>
      <c r="I74" s="536"/>
      <c r="J74" s="536"/>
      <c r="K74" s="536"/>
      <c r="L74" s="536"/>
      <c r="M74" s="537"/>
      <c r="N74" s="1154"/>
      <c r="O74" s="1154"/>
      <c r="P74" s="45"/>
      <c r="Q74" s="504"/>
    </row>
    <row r="75" spans="1:17" s="471" customFormat="1" ht="14.4" thickTop="1">
      <c r="A75" s="553"/>
      <c r="B75" s="538">
        <f>B25</f>
        <v>111</v>
      </c>
      <c r="C75" s="549"/>
      <c r="D75" s="549"/>
      <c r="E75" s="549"/>
      <c r="F75" s="549"/>
      <c r="G75" s="554"/>
      <c r="H75" s="555"/>
      <c r="I75" s="555"/>
      <c r="J75" s="555"/>
      <c r="K75" s="555"/>
      <c r="L75" s="556"/>
      <c r="M75" s="557"/>
      <c r="N75" s="1155"/>
      <c r="O75" s="1155"/>
      <c r="P75" s="558"/>
      <c r="Q75" s="559"/>
    </row>
    <row r="76" spans="1:17" s="471" customFormat="1" ht="14.4"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4.4"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4"/>
      <c r="O78" s="1154"/>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4.4"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4.4"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4.4"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4"/>
      <c r="O85" s="1154"/>
      <c r="P85" s="45"/>
      <c r="Q85" s="504"/>
    </row>
    <row r="86" spans="1:17" ht="15"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4.4"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4.4" thickBot="1">
      <c r="A90" s="553"/>
      <c r="B90" s="543"/>
      <c r="C90" s="560"/>
      <c r="D90" s="536"/>
      <c r="E90" s="536"/>
      <c r="F90" s="536"/>
      <c r="G90" s="536"/>
      <c r="H90" s="536"/>
      <c r="I90" s="536"/>
      <c r="J90" s="536"/>
      <c r="K90" s="536"/>
      <c r="L90" s="536"/>
      <c r="M90" s="537"/>
      <c r="N90" s="1155"/>
      <c r="O90" s="1155"/>
      <c r="P90" s="558"/>
      <c r="Q90" s="559"/>
    </row>
    <row r="91" spans="1:17" ht="14.4" thickTop="1">
      <c r="A91" s="599"/>
      <c r="B91" s="538">
        <f>B32</f>
        <v>111</v>
      </c>
      <c r="C91" s="549"/>
      <c r="D91" s="549"/>
      <c r="E91" s="549"/>
      <c r="F91" s="549"/>
      <c r="G91" s="554"/>
      <c r="H91" s="555"/>
      <c r="I91" s="555"/>
      <c r="J91" s="555"/>
      <c r="K91" s="555"/>
      <c r="L91" s="556"/>
      <c r="M91" s="557"/>
      <c r="N91" s="1153"/>
      <c r="O91" s="1153"/>
      <c r="P91" s="45"/>
      <c r="Q91" s="504"/>
    </row>
    <row r="92" spans="1:17" ht="14.4" thickBot="1">
      <c r="A92" s="534"/>
      <c r="B92" s="543"/>
      <c r="C92" s="560"/>
      <c r="D92" s="536"/>
      <c r="E92" s="536"/>
      <c r="F92" s="536"/>
      <c r="G92" s="560"/>
      <c r="H92" s="562"/>
      <c r="I92" s="562"/>
      <c r="J92" s="562"/>
      <c r="K92" s="562"/>
      <c r="L92" s="562"/>
      <c r="M92" s="563"/>
      <c r="N92" s="1154"/>
      <c r="O92" s="1154"/>
      <c r="P92" s="45"/>
      <c r="Q92" s="504"/>
    </row>
    <row r="93" spans="1:17" ht="14.4" thickTop="1">
      <c r="A93" s="599"/>
      <c r="B93" s="538">
        <f>B33</f>
        <v>111</v>
      </c>
      <c r="C93" s="549"/>
      <c r="D93" s="549"/>
      <c r="E93" s="549"/>
      <c r="F93" s="549"/>
      <c r="G93" s="554"/>
      <c r="H93" s="555"/>
      <c r="I93" s="555"/>
      <c r="J93" s="555"/>
      <c r="K93" s="555"/>
      <c r="L93" s="556"/>
      <c r="M93" s="557"/>
      <c r="N93" s="1153"/>
      <c r="O93" s="1153"/>
      <c r="P93" s="45"/>
      <c r="Q93" s="504"/>
    </row>
    <row r="94" spans="1:17" ht="14.4" thickBot="1">
      <c r="A94" s="534"/>
      <c r="B94" s="543"/>
      <c r="C94" s="560"/>
      <c r="D94" s="536"/>
      <c r="E94" s="536"/>
      <c r="F94" s="536"/>
      <c r="G94" s="560"/>
      <c r="H94" s="562"/>
      <c r="I94" s="562"/>
      <c r="J94" s="562"/>
      <c r="K94" s="562"/>
      <c r="L94" s="562"/>
      <c r="M94" s="563"/>
      <c r="N94" s="1154"/>
      <c r="O94" s="1154"/>
      <c r="P94" s="45"/>
      <c r="Q94" s="504"/>
    </row>
    <row r="95" spans="1:17" ht="14.4" thickTop="1">
      <c r="A95" s="599"/>
      <c r="B95" s="636">
        <f>B34</f>
        <v>111</v>
      </c>
      <c r="C95" s="549"/>
      <c r="D95" s="549"/>
      <c r="E95" s="549"/>
      <c r="F95" s="549"/>
      <c r="G95" s="554"/>
      <c r="H95" s="555"/>
      <c r="I95" s="555"/>
      <c r="J95" s="555"/>
      <c r="K95" s="555"/>
      <c r="L95" s="556"/>
      <c r="M95" s="557"/>
      <c r="N95" s="1154"/>
      <c r="O95" s="1154"/>
      <c r="P95" s="637"/>
      <c r="Q95" s="638"/>
    </row>
    <row r="96" spans="1:17" ht="14.4" thickBot="1">
      <c r="A96" s="534"/>
      <c r="B96" s="543"/>
      <c r="C96" s="560"/>
      <c r="D96" s="560"/>
      <c r="E96" s="560"/>
      <c r="F96" s="560"/>
      <c r="G96" s="560"/>
      <c r="H96" s="562"/>
      <c r="I96" s="562"/>
      <c r="J96" s="562"/>
      <c r="K96" s="562"/>
      <c r="L96" s="562"/>
      <c r="M96" s="563"/>
      <c r="N96" s="1154"/>
      <c r="O96" s="1154"/>
      <c r="P96" s="45"/>
      <c r="Q96" s="504"/>
    </row>
    <row r="97" spans="1:20" ht="14.4"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46" sqref="E4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 ca="1">F66</f>
        <v>90651</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2327</v>
      </c>
      <c r="B3" s="609">
        <f ca="1">ROUND(IF(D3="",B2*10000/'数据-汇总表'!E3,B2*10000/D3),0)</f>
        <v>18087</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4.4">
      <c r="A4" s="401" t="s">
        <v>2643</v>
      </c>
      <c r="B4" s="402"/>
      <c r="C4" s="3607" t="s">
        <v>2644</v>
      </c>
      <c r="D4" s="3608"/>
      <c r="E4" s="3609" t="s">
        <v>2645</v>
      </c>
      <c r="F4" s="3610"/>
      <c r="G4" s="3607" t="s">
        <v>2646</v>
      </c>
      <c r="H4" s="3608"/>
      <c r="I4" s="3607" t="s">
        <v>2647</v>
      </c>
      <c r="J4" s="3608"/>
      <c r="K4" s="610" t="s">
        <v>2648</v>
      </c>
      <c r="L4" s="1131"/>
      <c r="M4" s="1132"/>
      <c r="N4" s="1132"/>
      <c r="O4" s="1132"/>
      <c r="P4" s="3611" t="s">
        <v>2649</v>
      </c>
      <c r="Q4" s="3612"/>
      <c r="R4" s="3594" t="s">
        <v>2645</v>
      </c>
      <c r="S4" s="3595"/>
      <c r="T4" s="3594" t="s">
        <v>2646</v>
      </c>
      <c r="U4" s="3595"/>
      <c r="V4" s="3619" t="s">
        <v>2647</v>
      </c>
      <c r="W4" s="3619"/>
      <c r="X4" s="1814"/>
      <c r="Y4" s="3594" t="s">
        <v>2649</v>
      </c>
      <c r="Z4" s="3595"/>
      <c r="AA4" s="3589" t="s">
        <v>2645</v>
      </c>
      <c r="AB4" s="3590" t="s">
        <v>2646</v>
      </c>
      <c r="AC4" s="3589" t="s">
        <v>2647</v>
      </c>
    </row>
    <row r="5" spans="1:30">
      <c r="A5" s="404"/>
      <c r="B5" s="405"/>
      <c r="C5" s="3600" t="s">
        <v>2540</v>
      </c>
      <c r="D5" s="3601"/>
      <c r="E5" s="3598" t="s">
        <v>2541</v>
      </c>
      <c r="F5" s="3599"/>
      <c r="G5" s="3600" t="s">
        <v>2542</v>
      </c>
      <c r="H5" s="3601"/>
      <c r="I5" s="3600" t="s">
        <v>2543</v>
      </c>
      <c r="J5" s="3601"/>
      <c r="K5" s="610"/>
      <c r="L5" s="1131"/>
      <c r="M5" s="1132"/>
      <c r="N5" s="1132"/>
      <c r="O5" s="1132"/>
      <c r="P5" s="3613"/>
      <c r="Q5" s="3614"/>
      <c r="R5" s="3596"/>
      <c r="S5" s="3597"/>
      <c r="T5" s="3596"/>
      <c r="U5" s="3597"/>
      <c r="V5" s="3619"/>
      <c r="W5" s="3619"/>
      <c r="X5" s="1814"/>
      <c r="Y5" s="3596"/>
      <c r="Z5" s="3597"/>
      <c r="AA5" s="3590"/>
      <c r="AB5" s="3590"/>
      <c r="AC5" s="3590"/>
    </row>
    <row r="6" spans="1:30" ht="15" thickBot="1">
      <c r="A6" s="406"/>
      <c r="B6" s="407"/>
      <c r="C6" s="3602" t="s">
        <v>2544</v>
      </c>
      <c r="D6" s="3603"/>
      <c r="E6" s="3604" t="s">
        <v>2544</v>
      </c>
      <c r="F6" s="3605"/>
      <c r="G6" s="3602" t="s">
        <v>2544</v>
      </c>
      <c r="H6" s="3603"/>
      <c r="I6" s="3602" t="s">
        <v>2544</v>
      </c>
      <c r="J6" s="3603"/>
      <c r="K6" s="610" t="s">
        <v>2545</v>
      </c>
      <c r="L6" s="1131"/>
      <c r="M6" s="1132"/>
      <c r="N6" s="1132"/>
      <c r="O6" s="1132"/>
      <c r="P6" s="3615"/>
      <c r="Q6" s="3616"/>
      <c r="R6" s="3596"/>
      <c r="S6" s="3597"/>
      <c r="T6" s="3617"/>
      <c r="U6" s="3618"/>
      <c r="V6" s="3619"/>
      <c r="W6" s="3619"/>
      <c r="X6" s="1814"/>
      <c r="Y6" s="3617"/>
      <c r="Z6" s="3618"/>
      <c r="AA6" s="3591"/>
      <c r="AB6" s="3591"/>
      <c r="AC6" s="3591"/>
    </row>
    <row r="7" spans="1:30" s="117" customFormat="1" ht="15" thickBot="1">
      <c r="A7" s="408" t="s">
        <v>2546</v>
      </c>
      <c r="B7" s="409"/>
      <c r="C7" s="410">
        <f>'数据-取费表'!B2</f>
        <v>43458</v>
      </c>
      <c r="D7" s="411">
        <v>100</v>
      </c>
      <c r="E7" s="412">
        <v>42826</v>
      </c>
      <c r="F7" s="413">
        <f>SUMIF(70:70,YEAR(E7)&amp;"-"&amp;INT((MONTH(E7)+2)/3),71:71)</f>
        <v>98</v>
      </c>
      <c r="G7" s="2696">
        <v>42795</v>
      </c>
      <c r="H7" s="411">
        <f>SUMIF(70:70,YEAR(G7)&amp;"-"&amp;INT((MONTH(G7)+2)/3),71:71)</f>
        <v>98</v>
      </c>
      <c r="I7" s="2696">
        <v>42795</v>
      </c>
      <c r="J7" s="411">
        <f>SUMIF(70:70,YEAR(I7)&amp;"-"&amp;INT((MONTH(I7)+2)/3),71:71)</f>
        <v>98</v>
      </c>
      <c r="K7" s="611"/>
      <c r="L7" s="1133"/>
      <c r="M7" s="1134"/>
      <c r="N7" s="1134"/>
      <c r="O7" s="1134"/>
      <c r="P7" s="3592" t="s">
        <v>2547</v>
      </c>
      <c r="Q7" s="3620"/>
      <c r="R7" s="770" t="s">
        <v>17</v>
      </c>
      <c r="S7" s="771">
        <f t="shared" ref="S7:S15" si="0">F7</f>
        <v>98</v>
      </c>
      <c r="T7" s="770" t="s">
        <v>17</v>
      </c>
      <c r="U7" s="771">
        <f t="shared" ref="U7:U15" si="1">H7</f>
        <v>98</v>
      </c>
      <c r="V7" s="770" t="s">
        <v>17</v>
      </c>
      <c r="W7" s="771">
        <f t="shared" ref="W7:W15" si="2">J7</f>
        <v>98</v>
      </c>
      <c r="X7" s="772"/>
      <c r="Y7" s="3592" t="s">
        <v>2547</v>
      </c>
      <c r="Z7" s="3593"/>
      <c r="AA7" s="773">
        <f>D7/F7</f>
        <v>1.0204081632653061</v>
      </c>
      <c r="AB7" s="773">
        <f>D7/H7</f>
        <v>1.0204081632653061</v>
      </c>
      <c r="AC7" s="773">
        <f>D7/J7</f>
        <v>1.0204081632653061</v>
      </c>
    </row>
    <row r="8" spans="1:30" s="117" customFormat="1" ht="15" thickBot="1">
      <c r="A8" s="408" t="s">
        <v>2548</v>
      </c>
      <c r="B8" s="409"/>
      <c r="C8" s="414" t="s">
        <v>2549</v>
      </c>
      <c r="D8" s="411">
        <v>100</v>
      </c>
      <c r="E8" s="414" t="s">
        <v>3332</v>
      </c>
      <c r="F8" s="413">
        <f>SUMIF(73:73,E8,74:74)-SUMIF(73:73,C8,74:74)+100</f>
        <v>100</v>
      </c>
      <c r="G8" s="414" t="s">
        <v>3332</v>
      </c>
      <c r="H8" s="411">
        <f>SUMIF(73:73,G8,74:74)-SUMIF(73:73,C8,74:74)+100</f>
        <v>100</v>
      </c>
      <c r="I8" s="414" t="s">
        <v>3332</v>
      </c>
      <c r="J8" s="411">
        <f>SUMIF(73:73,I8,74:74)-SUMIF(73:73,C8,74:74)+100</f>
        <v>100</v>
      </c>
      <c r="K8" s="611"/>
      <c r="L8" s="1133"/>
      <c r="M8" s="1134"/>
      <c r="N8" s="1134"/>
      <c r="O8" s="1134"/>
      <c r="P8" s="3592" t="s">
        <v>2550</v>
      </c>
      <c r="Q8" s="3593"/>
      <c r="R8" s="770" t="s">
        <v>17</v>
      </c>
      <c r="S8" s="771">
        <f t="shared" si="0"/>
        <v>100</v>
      </c>
      <c r="T8" s="770" t="s">
        <v>17</v>
      </c>
      <c r="U8" s="771">
        <f t="shared" si="1"/>
        <v>100</v>
      </c>
      <c r="V8" s="770" t="s">
        <v>17</v>
      </c>
      <c r="W8" s="771">
        <f t="shared" si="2"/>
        <v>100</v>
      </c>
      <c r="X8" s="772"/>
      <c r="Y8" s="3592" t="s">
        <v>2550</v>
      </c>
      <c r="Z8" s="3593"/>
      <c r="AA8" s="773">
        <f t="shared" ref="AA8:AA45" si="3">D8/F8</f>
        <v>1</v>
      </c>
      <c r="AB8" s="773">
        <f t="shared" ref="AB8:AB45" si="4">D8/H8</f>
        <v>1</v>
      </c>
      <c r="AC8" s="773">
        <f t="shared" ref="AC8:AC45" si="5">D8/J8</f>
        <v>1</v>
      </c>
    </row>
    <row r="9" spans="1:30" s="117" customFormat="1" ht="14.4">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624" t="s">
        <v>2553</v>
      </c>
      <c r="Q9" s="1796" t="str">
        <f t="shared" ref="Q9:Q15" si="6">B9</f>
        <v>用途</v>
      </c>
      <c r="R9" s="770" t="s">
        <v>17</v>
      </c>
      <c r="S9" s="771">
        <f t="shared" si="0"/>
        <v>100</v>
      </c>
      <c r="T9" s="770" t="s">
        <v>17</v>
      </c>
      <c r="U9" s="771">
        <f t="shared" si="1"/>
        <v>100</v>
      </c>
      <c r="V9" s="770" t="s">
        <v>17</v>
      </c>
      <c r="W9" s="771">
        <f t="shared" si="2"/>
        <v>100</v>
      </c>
      <c r="X9" s="772"/>
      <c r="Y9" s="3439"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c r="F10" s="136">
        <f ca="1">ROUND(100/'数据-取费表'!G16,0)</f>
        <v>110</v>
      </c>
      <c r="G10" s="463"/>
      <c r="H10" s="136">
        <f ca="1">ROUND(100/'数据-取费表'!G16,0)</f>
        <v>110</v>
      </c>
      <c r="I10" s="463"/>
      <c r="J10" s="136">
        <f ca="1">ROUND(100/'数据-取费表'!G16,0)</f>
        <v>110</v>
      </c>
      <c r="K10" s="672"/>
      <c r="L10" s="1136"/>
      <c r="M10" s="1137"/>
      <c r="N10" s="1137"/>
      <c r="O10" s="1138"/>
      <c r="P10" s="3624"/>
      <c r="Q10" s="1796" t="str">
        <f t="shared" si="6"/>
        <v>土地使用年限（年）</v>
      </c>
      <c r="R10" s="770" t="s">
        <v>17</v>
      </c>
      <c r="S10" s="771">
        <f t="shared" ca="1" si="0"/>
        <v>110</v>
      </c>
      <c r="T10" s="770" t="s">
        <v>17</v>
      </c>
      <c r="U10" s="771">
        <f t="shared" ca="1" si="1"/>
        <v>110</v>
      </c>
      <c r="V10" s="770" t="s">
        <v>17</v>
      </c>
      <c r="W10" s="771">
        <f t="shared" ca="1" si="2"/>
        <v>110</v>
      </c>
      <c r="X10" s="772"/>
      <c r="Y10" s="3439"/>
      <c r="Z10" s="55" t="str">
        <f t="shared" si="7"/>
        <v>土地使用年限（年）</v>
      </c>
      <c r="AA10" s="773">
        <f t="shared" ca="1" si="3"/>
        <v>0.90909090909090906</v>
      </c>
      <c r="AB10" s="773">
        <f t="shared" ca="1" si="4"/>
        <v>0.90909090909090906</v>
      </c>
      <c r="AC10" s="773">
        <f t="shared" ca="1" si="5"/>
        <v>0.90909090909090906</v>
      </c>
    </row>
    <row r="11" spans="1:30" ht="15">
      <c r="A11" s="428"/>
      <c r="B11" s="422" t="s">
        <v>2556</v>
      </c>
      <c r="C11" s="429">
        <v>7.5</v>
      </c>
      <c r="D11" s="136">
        <v>100</v>
      </c>
      <c r="E11" s="429">
        <v>3</v>
      </c>
      <c r="F11" s="136">
        <f>LOOKUP(E11,80:80,81:81)-LOOKUP(C11,80:80,81:81)+100</f>
        <v>102</v>
      </c>
      <c r="G11" s="430">
        <v>2</v>
      </c>
      <c r="H11" s="136">
        <f>LOOKUP(G11,80:80,81:81)-LOOKUP(C11,80:80,81:81)+100</f>
        <v>104</v>
      </c>
      <c r="I11" s="429">
        <v>2</v>
      </c>
      <c r="J11" s="136">
        <f>LOOKUP(I11,80:80,81:81)-LOOKUP(C11,80:80,81:81)+100</f>
        <v>104</v>
      </c>
      <c r="K11" s="673">
        <v>2</v>
      </c>
      <c r="L11" s="1139"/>
      <c r="M11" s="1132"/>
      <c r="N11" s="1132"/>
      <c r="O11" s="1140"/>
      <c r="P11" s="3624"/>
      <c r="Q11" s="1796" t="str">
        <f t="shared" si="6"/>
        <v>容积率</v>
      </c>
      <c r="R11" s="770" t="s">
        <v>17</v>
      </c>
      <c r="S11" s="771">
        <f t="shared" si="0"/>
        <v>102</v>
      </c>
      <c r="T11" s="770" t="s">
        <v>17</v>
      </c>
      <c r="U11" s="771">
        <f t="shared" si="1"/>
        <v>104</v>
      </c>
      <c r="V11" s="770" t="s">
        <v>17</v>
      </c>
      <c r="W11" s="771">
        <f t="shared" si="2"/>
        <v>104</v>
      </c>
      <c r="X11" s="772"/>
      <c r="Y11" s="3439"/>
      <c r="Z11" s="55" t="str">
        <f t="shared" si="7"/>
        <v>容积率</v>
      </c>
      <c r="AA11" s="773">
        <f t="shared" si="3"/>
        <v>0.98039215686274506</v>
      </c>
      <c r="AB11" s="773">
        <f t="shared" si="4"/>
        <v>0.96153846153846156</v>
      </c>
      <c r="AC11" s="773">
        <f t="shared" si="5"/>
        <v>0.96153846153846156</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624"/>
      <c r="Q12" s="1796" t="str">
        <f t="shared" si="6"/>
        <v>配建</v>
      </c>
      <c r="R12" s="770" t="s">
        <v>17</v>
      </c>
      <c r="S12" s="771">
        <f t="shared" si="0"/>
        <v>100</v>
      </c>
      <c r="T12" s="770" t="s">
        <v>17</v>
      </c>
      <c r="U12" s="771">
        <f t="shared" si="1"/>
        <v>100</v>
      </c>
      <c r="V12" s="770" t="s">
        <v>17</v>
      </c>
      <c r="W12" s="771">
        <f t="shared" si="2"/>
        <v>100</v>
      </c>
      <c r="X12" s="772"/>
      <c r="Y12" s="343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624"/>
      <c r="Q13" s="1796">
        <f t="shared" si="6"/>
        <v>111</v>
      </c>
      <c r="R13" s="770" t="s">
        <v>17</v>
      </c>
      <c r="S13" s="771">
        <f t="shared" si="0"/>
        <v>100</v>
      </c>
      <c r="T13" s="770" t="s">
        <v>17</v>
      </c>
      <c r="U13" s="771">
        <f t="shared" si="1"/>
        <v>100</v>
      </c>
      <c r="V13" s="770" t="s">
        <v>17</v>
      </c>
      <c r="W13" s="771">
        <f t="shared" si="2"/>
        <v>100</v>
      </c>
      <c r="X13" s="772"/>
      <c r="Y13" s="3439"/>
      <c r="Z13" s="55">
        <f t="shared" si="7"/>
        <v>111</v>
      </c>
      <c r="AA13" s="773">
        <f>D13/F13</f>
        <v>1</v>
      </c>
      <c r="AB13" s="773">
        <f>D13/H13</f>
        <v>1</v>
      </c>
      <c r="AC13" s="773">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624"/>
      <c r="Q14" s="1796">
        <f t="shared" si="6"/>
        <v>111</v>
      </c>
      <c r="R14" s="770" t="s">
        <v>17</v>
      </c>
      <c r="S14" s="771">
        <f t="shared" si="0"/>
        <v>100</v>
      </c>
      <c r="T14" s="770" t="s">
        <v>17</v>
      </c>
      <c r="U14" s="771">
        <f t="shared" si="1"/>
        <v>100</v>
      </c>
      <c r="V14" s="770" t="s">
        <v>17</v>
      </c>
      <c r="W14" s="771">
        <f t="shared" si="2"/>
        <v>100</v>
      </c>
      <c r="X14" s="772"/>
      <c r="Y14" s="3439"/>
      <c r="Z14" s="55">
        <f t="shared" si="7"/>
        <v>111</v>
      </c>
      <c r="AA14" s="773">
        <f>D14/F14</f>
        <v>1</v>
      </c>
      <c r="AB14" s="773">
        <f>D14/H14</f>
        <v>1</v>
      </c>
      <c r="AC14" s="773">
        <f>D14/J14</f>
        <v>1</v>
      </c>
    </row>
    <row r="15" spans="1:30" ht="96.6">
      <c r="A15" s="440" t="s">
        <v>2557</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626" t="s">
        <v>2558</v>
      </c>
      <c r="Q15" s="1811" t="str">
        <f t="shared" si="6"/>
        <v>居住社区成熟度</v>
      </c>
      <c r="R15" s="774" t="s">
        <v>17</v>
      </c>
      <c r="S15" s="775">
        <f t="shared" si="0"/>
        <v>100</v>
      </c>
      <c r="T15" s="774" t="s">
        <v>17</v>
      </c>
      <c r="U15" s="775">
        <f t="shared" si="1"/>
        <v>100</v>
      </c>
      <c r="V15" s="774" t="s">
        <v>17</v>
      </c>
      <c r="W15" s="775">
        <f t="shared" si="2"/>
        <v>100</v>
      </c>
      <c r="X15" s="1814"/>
      <c r="Y15" s="3626" t="s">
        <v>2558</v>
      </c>
      <c r="Z15" s="1815" t="str">
        <f t="shared" si="7"/>
        <v>居住社区成熟度</v>
      </c>
      <c r="AA15" s="1812">
        <f t="shared" si="3"/>
        <v>1</v>
      </c>
      <c r="AB15" s="1812">
        <f t="shared" si="4"/>
        <v>1</v>
      </c>
      <c r="AC15" s="1812">
        <f t="shared" si="5"/>
        <v>1</v>
      </c>
    </row>
    <row r="16" spans="1:30" ht="15">
      <c r="A16" s="428"/>
      <c r="B16" s="446"/>
      <c r="C16" s="447"/>
      <c r="D16" s="448"/>
      <c r="E16" s="2605"/>
      <c r="F16" s="448"/>
      <c r="G16" s="2605"/>
      <c r="H16" s="450"/>
      <c r="I16" s="2604"/>
      <c r="J16" s="448"/>
      <c r="K16" s="672"/>
      <c r="L16" s="1141"/>
      <c r="M16" s="1132"/>
      <c r="N16" s="1132"/>
      <c r="O16" s="1140"/>
      <c r="P16" s="3627"/>
      <c r="Q16" s="1811"/>
      <c r="R16" s="774"/>
      <c r="S16" s="775"/>
      <c r="T16" s="774"/>
      <c r="U16" s="775"/>
      <c r="V16" s="774"/>
      <c r="W16" s="775"/>
      <c r="X16" s="1814"/>
      <c r="Y16" s="3627"/>
      <c r="Z16" s="1815"/>
      <c r="AA16" s="1812">
        <v>1</v>
      </c>
      <c r="AB16" s="1812">
        <v>1</v>
      </c>
      <c r="AC16" s="1812">
        <v>1</v>
      </c>
    </row>
    <row r="17" spans="1:29" ht="82.8">
      <c r="A17" s="428"/>
      <c r="B17" s="451" t="s">
        <v>2651</v>
      </c>
      <c r="C17" s="2664" t="str">
        <f>估价对象房地状况!C16</f>
        <v>估价对象位于东直门商圈，周边商业氛围成熟，人流量大，商业繁华度好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627"/>
      <c r="Q17" s="1811" t="str">
        <f>B17</f>
        <v>商业繁华度</v>
      </c>
      <c r="R17" s="774" t="s">
        <v>17</v>
      </c>
      <c r="S17" s="775">
        <f>F17</f>
        <v>100</v>
      </c>
      <c r="T17" s="774" t="s">
        <v>17</v>
      </c>
      <c r="U17" s="775">
        <f>H17</f>
        <v>100</v>
      </c>
      <c r="V17" s="774" t="s">
        <v>17</v>
      </c>
      <c r="W17" s="775">
        <f>J17</f>
        <v>100</v>
      </c>
      <c r="X17" s="1814"/>
      <c r="Y17" s="3627"/>
      <c r="Z17" s="1815" t="str">
        <f>Q17</f>
        <v>商业繁华度</v>
      </c>
      <c r="AA17" s="1812">
        <f t="shared" si="3"/>
        <v>1</v>
      </c>
      <c r="AB17" s="1812">
        <f t="shared" si="4"/>
        <v>1</v>
      </c>
      <c r="AC17" s="1812">
        <f t="shared" si="5"/>
        <v>1</v>
      </c>
    </row>
    <row r="18" spans="1:29" ht="15">
      <c r="A18" s="428"/>
      <c r="B18" s="456"/>
      <c r="C18" s="2608"/>
      <c r="D18" s="450"/>
      <c r="E18" s="2610"/>
      <c r="F18" s="450"/>
      <c r="G18" s="2610"/>
      <c r="H18" s="448"/>
      <c r="I18" s="2609"/>
      <c r="J18" s="448"/>
      <c r="K18" s="672"/>
      <c r="L18" s="1141"/>
      <c r="M18" s="1132"/>
      <c r="N18" s="1132"/>
      <c r="O18" s="1140"/>
      <c r="P18" s="3627"/>
      <c r="Q18" s="1811"/>
      <c r="R18" s="774"/>
      <c r="S18" s="775"/>
      <c r="T18" s="774"/>
      <c r="U18" s="775"/>
      <c r="V18" s="774"/>
      <c r="W18" s="775"/>
      <c r="X18" s="1814"/>
      <c r="Y18" s="3627"/>
      <c r="Z18" s="1815"/>
      <c r="AA18" s="1812">
        <v>1</v>
      </c>
      <c r="AB18" s="1812">
        <v>1</v>
      </c>
      <c r="AC18" s="1812">
        <v>1</v>
      </c>
    </row>
    <row r="19" spans="1:29" ht="82.8">
      <c r="A19" s="428"/>
      <c r="B19" s="451" t="s">
        <v>2685</v>
      </c>
      <c r="C19" s="2664" t="str">
        <f>估价对象房地状况!C17</f>
        <v>估价对象位于东直门商圈，周边办公楼项目较多，入驻率高，办公集聚程度较好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627"/>
      <c r="Q19" s="1811" t="str">
        <f>B19</f>
        <v>办公集聚程度</v>
      </c>
      <c r="R19" s="774" t="s">
        <v>17</v>
      </c>
      <c r="S19" s="775">
        <f>F19</f>
        <v>100</v>
      </c>
      <c r="T19" s="774" t="s">
        <v>17</v>
      </c>
      <c r="U19" s="775">
        <f>H19</f>
        <v>100</v>
      </c>
      <c r="V19" s="774" t="s">
        <v>17</v>
      </c>
      <c r="W19" s="775">
        <f>J19</f>
        <v>100</v>
      </c>
      <c r="X19" s="1814"/>
      <c r="Y19" s="3627"/>
      <c r="Z19" s="1815" t="str">
        <f>Q19</f>
        <v>办公集聚程度</v>
      </c>
      <c r="AA19" s="1812">
        <f t="shared" si="3"/>
        <v>1</v>
      </c>
      <c r="AB19" s="1812">
        <f t="shared" si="4"/>
        <v>1</v>
      </c>
      <c r="AC19" s="1812">
        <f t="shared" si="5"/>
        <v>1</v>
      </c>
    </row>
    <row r="20" spans="1:29" ht="15">
      <c r="A20" s="428"/>
      <c r="B20" s="456"/>
      <c r="C20" s="447"/>
      <c r="D20" s="448"/>
      <c r="E20" s="2605"/>
      <c r="F20" s="448"/>
      <c r="G20" s="2605"/>
      <c r="H20" s="448"/>
      <c r="I20" s="2604"/>
      <c r="J20" s="448"/>
      <c r="K20" s="672"/>
      <c r="L20" s="1141"/>
      <c r="M20" s="1132"/>
      <c r="N20" s="1132"/>
      <c r="O20" s="1140"/>
      <c r="P20" s="3627"/>
      <c r="Q20" s="1811"/>
      <c r="R20" s="774"/>
      <c r="S20" s="775"/>
      <c r="T20" s="774"/>
      <c r="U20" s="775"/>
      <c r="V20" s="774"/>
      <c r="W20" s="775"/>
      <c r="X20" s="1814"/>
      <c r="Y20" s="3627"/>
      <c r="Z20" s="1815"/>
      <c r="AA20" s="1812">
        <v>1</v>
      </c>
      <c r="AB20" s="1812">
        <v>1</v>
      </c>
      <c r="AC20" s="1812">
        <v>1</v>
      </c>
    </row>
    <row r="21" spans="1:29" ht="193.2">
      <c r="A21" s="428"/>
      <c r="B21" s="451" t="s">
        <v>2707</v>
      </c>
      <c r="C21" s="2607" t="str">
        <f>估价对象房地状况!C18</f>
        <v>估价对象周边道路状况较好（机场高速、香河园路）、公共交通较通达（2、机场线东直门站，18路、916路香河园路，359、915路东直门外站）、停车便捷程度，综合评价交通便捷度较好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627"/>
      <c r="Q21" s="1811" t="str">
        <f>B21</f>
        <v>交通便捷度</v>
      </c>
      <c r="R21" s="774" t="s">
        <v>17</v>
      </c>
      <c r="S21" s="775">
        <f>F21</f>
        <v>100</v>
      </c>
      <c r="T21" s="774" t="s">
        <v>17</v>
      </c>
      <c r="U21" s="775">
        <f>H21</f>
        <v>100</v>
      </c>
      <c r="V21" s="774" t="s">
        <v>17</v>
      </c>
      <c r="W21" s="775">
        <f>J21</f>
        <v>100</v>
      </c>
      <c r="X21" s="1814"/>
      <c r="Y21" s="3627"/>
      <c r="Z21" s="1815" t="str">
        <f>Q21</f>
        <v>交通便捷度</v>
      </c>
      <c r="AA21" s="1812">
        <f t="shared" si="3"/>
        <v>1</v>
      </c>
      <c r="AB21" s="1812">
        <f t="shared" si="4"/>
        <v>1</v>
      </c>
      <c r="AC21" s="1812">
        <f t="shared" si="5"/>
        <v>1</v>
      </c>
    </row>
    <row r="22" spans="1:29" ht="15">
      <c r="A22" s="428"/>
      <c r="B22" s="1385"/>
      <c r="C22" s="447"/>
      <c r="D22" s="450"/>
      <c r="E22" s="2605"/>
      <c r="F22" s="448"/>
      <c r="G22" s="2605"/>
      <c r="H22" s="448"/>
      <c r="I22" s="2604"/>
      <c r="J22" s="448"/>
      <c r="K22" s="672"/>
      <c r="L22" s="1141"/>
      <c r="M22" s="1132"/>
      <c r="N22" s="1132"/>
      <c r="O22" s="1140"/>
      <c r="P22" s="3627"/>
      <c r="Q22" s="1811"/>
      <c r="R22" s="774"/>
      <c r="S22" s="775"/>
      <c r="T22" s="774"/>
      <c r="U22" s="775"/>
      <c r="V22" s="774"/>
      <c r="W22" s="775"/>
      <c r="X22" s="1814"/>
      <c r="Y22" s="3627"/>
      <c r="Z22" s="1815"/>
      <c r="AA22" s="1812">
        <v>1</v>
      </c>
      <c r="AB22" s="1812">
        <v>1</v>
      </c>
      <c r="AC22" s="1812">
        <v>1</v>
      </c>
    </row>
    <row r="23" spans="1:29" ht="28.8">
      <c r="A23" s="404"/>
      <c r="B23" s="451" t="s">
        <v>2746</v>
      </c>
      <c r="C23" s="1390"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627"/>
      <c r="Q23" s="1811" t="str">
        <f t="shared" ref="Q23:Q37" si="8">B23</f>
        <v>区域土地利用方向</v>
      </c>
      <c r="R23" s="774" t="s">
        <v>17</v>
      </c>
      <c r="S23" s="775">
        <f>F23</f>
        <v>100</v>
      </c>
      <c r="T23" s="774" t="s">
        <v>17</v>
      </c>
      <c r="U23" s="775">
        <f>H23</f>
        <v>100</v>
      </c>
      <c r="V23" s="774" t="s">
        <v>17</v>
      </c>
      <c r="W23" s="775">
        <f>J23</f>
        <v>100</v>
      </c>
      <c r="X23" s="1814"/>
      <c r="Y23" s="3627"/>
      <c r="Z23" s="1815" t="str">
        <f>Q23</f>
        <v>区域土地利用方向</v>
      </c>
      <c r="AA23" s="1812">
        <f t="shared" si="3"/>
        <v>1</v>
      </c>
      <c r="AB23" s="1812">
        <f t="shared" si="4"/>
        <v>1</v>
      </c>
      <c r="AC23" s="1812">
        <f t="shared" si="5"/>
        <v>1</v>
      </c>
    </row>
    <row r="24" spans="1:29" ht="15">
      <c r="A24" s="404"/>
      <c r="B24" s="456"/>
      <c r="C24" s="616"/>
      <c r="D24" s="448"/>
      <c r="E24" s="2605"/>
      <c r="F24" s="448"/>
      <c r="G24" s="2604"/>
      <c r="H24" s="448"/>
      <c r="I24" s="2604"/>
      <c r="J24" s="448"/>
      <c r="K24" s="810"/>
      <c r="L24" s="1141"/>
      <c r="M24" s="1132"/>
      <c r="N24" s="1132"/>
      <c r="O24" s="1140"/>
      <c r="P24" s="3627"/>
      <c r="Q24" s="1811"/>
      <c r="R24" s="774"/>
      <c r="S24" s="775"/>
      <c r="T24" s="774"/>
      <c r="U24" s="775"/>
      <c r="V24" s="774"/>
      <c r="W24" s="775"/>
      <c r="X24" s="1814"/>
      <c r="Y24" s="3627"/>
      <c r="Z24" s="1815"/>
      <c r="AA24" s="1812"/>
      <c r="AB24" s="1812"/>
      <c r="AC24" s="1812"/>
    </row>
    <row r="25" spans="1:29" ht="96.6">
      <c r="A25" s="404"/>
      <c r="B25" s="1385" t="s">
        <v>2747</v>
      </c>
      <c r="C25" s="2664" t="str">
        <f>估价对象房地状况!C20</f>
        <v>区域自然环境：廉政文化公园；人文环境：自来水博物馆；综合评价环境状况较好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627"/>
      <c r="Q25" s="1811" t="str">
        <f t="shared" si="8"/>
        <v>自然及人文环境状况</v>
      </c>
      <c r="R25" s="774" t="s">
        <v>17</v>
      </c>
      <c r="S25" s="775">
        <f>F25</f>
        <v>100</v>
      </c>
      <c r="T25" s="774" t="s">
        <v>17</v>
      </c>
      <c r="U25" s="775">
        <f>H25</f>
        <v>100</v>
      </c>
      <c r="V25" s="774" t="s">
        <v>17</v>
      </c>
      <c r="W25" s="775">
        <f>J25</f>
        <v>100</v>
      </c>
      <c r="X25" s="1814"/>
      <c r="Y25" s="3627"/>
      <c r="Z25" s="1815" t="str">
        <f>Q25</f>
        <v>自然及人文环境状况</v>
      </c>
      <c r="AA25" s="1812">
        <f t="shared" si="3"/>
        <v>1</v>
      </c>
      <c r="AB25" s="1812">
        <f t="shared" si="4"/>
        <v>1</v>
      </c>
      <c r="AC25" s="1812">
        <f t="shared" si="5"/>
        <v>1</v>
      </c>
    </row>
    <row r="26" spans="1:29" ht="15">
      <c r="A26" s="404"/>
      <c r="B26" s="456"/>
      <c r="C26" s="447"/>
      <c r="D26" s="448"/>
      <c r="E26" s="2611"/>
      <c r="F26" s="448"/>
      <c r="G26" s="2611"/>
      <c r="H26" s="448"/>
      <c r="I26" s="447"/>
      <c r="J26" s="448"/>
      <c r="K26" s="672"/>
      <c r="L26" s="1141"/>
      <c r="M26" s="1132"/>
      <c r="N26" s="1132"/>
      <c r="O26" s="1140"/>
      <c r="P26" s="3627"/>
      <c r="Q26" s="1811"/>
      <c r="R26" s="774"/>
      <c r="S26" s="775"/>
      <c r="T26" s="774"/>
      <c r="U26" s="775"/>
      <c r="V26" s="774"/>
      <c r="W26" s="775"/>
      <c r="X26" s="1814"/>
      <c r="Y26" s="3627"/>
      <c r="Z26" s="1815"/>
      <c r="AA26" s="1812">
        <v>1</v>
      </c>
      <c r="AB26" s="1812">
        <v>1</v>
      </c>
      <c r="AC26" s="1812">
        <v>1</v>
      </c>
    </row>
    <row r="27" spans="1:29" s="117" customFormat="1" ht="41.4">
      <c r="A27" s="649"/>
      <c r="B27" s="1385" t="s">
        <v>2652</v>
      </c>
      <c r="C27" s="2607"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627"/>
      <c r="Q27" s="1796" t="str">
        <f t="shared" si="8"/>
        <v>公共配套设施</v>
      </c>
      <c r="R27" s="770" t="s">
        <v>17</v>
      </c>
      <c r="S27" s="771">
        <f>F27</f>
        <v>100</v>
      </c>
      <c r="T27" s="770" t="s">
        <v>17</v>
      </c>
      <c r="U27" s="771">
        <f>H27</f>
        <v>100</v>
      </c>
      <c r="V27" s="770" t="s">
        <v>17</v>
      </c>
      <c r="W27" s="771">
        <f>J27</f>
        <v>100</v>
      </c>
      <c r="X27" s="772"/>
      <c r="Y27" s="3627"/>
      <c r="Z27" s="55" t="str">
        <f>Q27</f>
        <v>公共配套设施</v>
      </c>
      <c r="AA27" s="1812">
        <f>D27/F27</f>
        <v>1</v>
      </c>
      <c r="AB27" s="1812">
        <f>D27/H27</f>
        <v>1</v>
      </c>
      <c r="AC27" s="1812">
        <f>D27/J27</f>
        <v>1</v>
      </c>
    </row>
    <row r="28" spans="1:29" s="117" customFormat="1" ht="15">
      <c r="A28" s="649"/>
      <c r="B28" s="456"/>
      <c r="C28" s="2700"/>
      <c r="D28" s="448"/>
      <c r="E28" s="2611"/>
      <c r="F28" s="448"/>
      <c r="G28" s="2611"/>
      <c r="H28" s="448"/>
      <c r="I28" s="447"/>
      <c r="J28" s="448"/>
      <c r="K28" s="672"/>
      <c r="L28" s="1133"/>
      <c r="M28" s="1134"/>
      <c r="N28" s="1134"/>
      <c r="O28" s="1135"/>
      <c r="P28" s="3627"/>
      <c r="Q28" s="1796"/>
      <c r="R28" s="770"/>
      <c r="S28" s="771"/>
      <c r="T28" s="770"/>
      <c r="U28" s="771"/>
      <c r="V28" s="770"/>
      <c r="W28" s="771"/>
      <c r="X28" s="772"/>
      <c r="Y28" s="3627"/>
      <c r="Z28" s="55"/>
      <c r="AA28" s="1812">
        <v>1</v>
      </c>
      <c r="AB28" s="1812">
        <v>1</v>
      </c>
      <c r="AC28" s="1812">
        <v>1</v>
      </c>
    </row>
    <row r="29" spans="1:29" s="117" customFormat="1" ht="41.4">
      <c r="A29" s="649"/>
      <c r="B29" s="1385" t="s">
        <v>2653</v>
      </c>
      <c r="C29" s="2607" t="str">
        <f>估价对象房地状况!C22</f>
        <v>估价对象所在区域基础设施水平较高</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627"/>
      <c r="Q29" s="1796" t="str">
        <f>B29</f>
        <v>基础设施水平</v>
      </c>
      <c r="R29" s="770" t="s">
        <v>17</v>
      </c>
      <c r="S29" s="771">
        <f>F29</f>
        <v>100</v>
      </c>
      <c r="T29" s="770" t="s">
        <v>17</v>
      </c>
      <c r="U29" s="771">
        <f>H29</f>
        <v>100</v>
      </c>
      <c r="V29" s="770" t="s">
        <v>17</v>
      </c>
      <c r="W29" s="771">
        <f>J29</f>
        <v>100</v>
      </c>
      <c r="X29" s="772"/>
      <c r="Y29" s="3627"/>
      <c r="Z29" s="55" t="str">
        <f>Q29</f>
        <v>基础设施水平</v>
      </c>
      <c r="AA29" s="1812">
        <f>D29/F29</f>
        <v>1</v>
      </c>
      <c r="AB29" s="1812">
        <f>D29/H29</f>
        <v>1</v>
      </c>
      <c r="AC29" s="1812">
        <f>D29/J29</f>
        <v>1</v>
      </c>
    </row>
    <row r="30" spans="1:29" s="117" customFormat="1" ht="15">
      <c r="A30" s="649"/>
      <c r="B30" s="456"/>
      <c r="C30" s="2700"/>
      <c r="D30" s="448"/>
      <c r="E30" s="2701"/>
      <c r="F30" s="448"/>
      <c r="G30" s="2701"/>
      <c r="H30" s="448"/>
      <c r="I30" s="2701"/>
      <c r="J30" s="448"/>
      <c r="K30" s="672"/>
      <c r="L30" s="1133"/>
      <c r="M30" s="1134"/>
      <c r="N30" s="1134"/>
      <c r="O30" s="1135"/>
      <c r="P30" s="3627"/>
      <c r="Q30" s="1796"/>
      <c r="R30" s="770"/>
      <c r="S30" s="771"/>
      <c r="T30" s="770"/>
      <c r="U30" s="771"/>
      <c r="V30" s="770"/>
      <c r="W30" s="771"/>
      <c r="X30" s="772"/>
      <c r="Y30" s="3627"/>
      <c r="Z30" s="55"/>
      <c r="AA30" s="1812">
        <v>1</v>
      </c>
      <c r="AB30" s="1812">
        <v>1</v>
      </c>
      <c r="AC30" s="1812">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627"/>
      <c r="Q31" s="1811" t="str">
        <f t="shared" si="8"/>
        <v>临街状况</v>
      </c>
      <c r="R31" s="774" t="s">
        <v>17</v>
      </c>
      <c r="S31" s="775">
        <f t="shared" ref="S31:S45" si="9">F31</f>
        <v>100</v>
      </c>
      <c r="T31" s="774" t="s">
        <v>17</v>
      </c>
      <c r="U31" s="775">
        <f t="shared" ref="U31:U45" si="10">H31</f>
        <v>100</v>
      </c>
      <c r="V31" s="774" t="s">
        <v>17</v>
      </c>
      <c r="W31" s="775">
        <f t="shared" ref="W31:W45" si="11">J31</f>
        <v>100</v>
      </c>
      <c r="X31" s="1814"/>
      <c r="Y31" s="3627"/>
      <c r="Z31" s="1815" t="str">
        <f t="shared" ref="Z31:Z45" si="12">Q31</f>
        <v>临街状况</v>
      </c>
      <c r="AA31" s="1812">
        <f t="shared" si="3"/>
        <v>1</v>
      </c>
      <c r="AB31" s="1812">
        <f t="shared" si="4"/>
        <v>1</v>
      </c>
      <c r="AC31" s="1812">
        <f t="shared" si="5"/>
        <v>1</v>
      </c>
    </row>
    <row r="32" spans="1:29" ht="28.8">
      <c r="A32" s="428"/>
      <c r="B32" s="1385"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627"/>
      <c r="Q32" s="1811" t="str">
        <f t="shared" si="8"/>
        <v>毗邻道路的类型与等级</v>
      </c>
      <c r="R32" s="774" t="s">
        <v>17</v>
      </c>
      <c r="S32" s="775">
        <f t="shared" si="9"/>
        <v>100</v>
      </c>
      <c r="T32" s="774" t="s">
        <v>17</v>
      </c>
      <c r="U32" s="775">
        <f t="shared" si="10"/>
        <v>100</v>
      </c>
      <c r="V32" s="774" t="s">
        <v>17</v>
      </c>
      <c r="W32" s="775">
        <f t="shared" si="11"/>
        <v>100</v>
      </c>
      <c r="X32" s="1814"/>
      <c r="Y32" s="3627"/>
      <c r="Z32" s="1815" t="str">
        <f t="shared" si="12"/>
        <v>毗邻道路的类型与等级</v>
      </c>
      <c r="AA32" s="1812">
        <f t="shared" si="3"/>
        <v>1</v>
      </c>
      <c r="AB32" s="1812">
        <f t="shared" si="4"/>
        <v>1</v>
      </c>
      <c r="AC32" s="1812">
        <f t="shared" si="5"/>
        <v>1</v>
      </c>
    </row>
    <row r="33" spans="1:29" ht="15">
      <c r="A33" s="428"/>
      <c r="B33" s="456"/>
      <c r="C33" s="447"/>
      <c r="D33" s="448"/>
      <c r="E33" s="2611"/>
      <c r="F33" s="448"/>
      <c r="G33" s="2611"/>
      <c r="H33" s="448"/>
      <c r="I33" s="447"/>
      <c r="J33" s="448"/>
      <c r="K33" s="613"/>
      <c r="L33" s="1141"/>
      <c r="M33" s="1132"/>
      <c r="N33" s="1132"/>
      <c r="O33" s="1140"/>
      <c r="P33" s="3627"/>
      <c r="Q33" s="1811"/>
      <c r="R33" s="774"/>
      <c r="S33" s="775"/>
      <c r="T33" s="774"/>
      <c r="U33" s="775"/>
      <c r="V33" s="774"/>
      <c r="W33" s="775"/>
      <c r="X33" s="1814"/>
      <c r="Y33" s="3627"/>
      <c r="Z33" s="1815"/>
      <c r="AA33" s="1812">
        <v>1</v>
      </c>
      <c r="AB33" s="1812">
        <v>1</v>
      </c>
      <c r="AC33" s="1812">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627"/>
      <c r="Q34" s="1811" t="str">
        <f t="shared" si="8"/>
        <v>土地级别</v>
      </c>
      <c r="R34" s="774" t="s">
        <v>17</v>
      </c>
      <c r="S34" s="775">
        <f t="shared" si="9"/>
        <v>100</v>
      </c>
      <c r="T34" s="774" t="s">
        <v>17</v>
      </c>
      <c r="U34" s="775">
        <f t="shared" si="10"/>
        <v>100</v>
      </c>
      <c r="V34" s="774" t="s">
        <v>17</v>
      </c>
      <c r="W34" s="775">
        <f t="shared" si="11"/>
        <v>100</v>
      </c>
      <c r="X34" s="1814"/>
      <c r="Y34" s="3627"/>
      <c r="Z34" s="1815" t="str">
        <f t="shared" si="12"/>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627"/>
      <c r="Q35" s="1811">
        <f t="shared" si="8"/>
        <v>111</v>
      </c>
      <c r="R35" s="774" t="s">
        <v>17</v>
      </c>
      <c r="S35" s="775">
        <f t="shared" si="9"/>
        <v>100</v>
      </c>
      <c r="T35" s="774" t="s">
        <v>17</v>
      </c>
      <c r="U35" s="775">
        <f t="shared" si="10"/>
        <v>100</v>
      </c>
      <c r="V35" s="774" t="s">
        <v>17</v>
      </c>
      <c r="W35" s="775">
        <f t="shared" si="11"/>
        <v>100</v>
      </c>
      <c r="X35" s="1814"/>
      <c r="Y35" s="3627"/>
      <c r="Z35" s="1815">
        <f t="shared" si="12"/>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650" t="s">
        <v>2563</v>
      </c>
      <c r="Q36" s="1811">
        <f t="shared" si="8"/>
        <v>111</v>
      </c>
      <c r="R36" s="774" t="s">
        <v>17</v>
      </c>
      <c r="S36" s="775">
        <f t="shared" si="9"/>
        <v>100</v>
      </c>
      <c r="T36" s="774" t="s">
        <v>17</v>
      </c>
      <c r="U36" s="775">
        <f t="shared" si="10"/>
        <v>100</v>
      </c>
      <c r="V36" s="774" t="s">
        <v>17</v>
      </c>
      <c r="W36" s="775">
        <f t="shared" si="11"/>
        <v>100</v>
      </c>
      <c r="X36" s="1814"/>
      <c r="Y36" s="3631" t="s">
        <v>2563</v>
      </c>
      <c r="Z36" s="1815">
        <f t="shared" si="12"/>
        <v>111</v>
      </c>
      <c r="AA36" s="1812">
        <f t="shared" si="3"/>
        <v>1</v>
      </c>
      <c r="AB36" s="1812">
        <f t="shared" si="4"/>
        <v>1</v>
      </c>
      <c r="AC36" s="1812">
        <f t="shared" si="5"/>
        <v>1</v>
      </c>
    </row>
    <row r="37" spans="1:29" s="471" customFormat="1" ht="15.6"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631"/>
      <c r="Q37" s="1811">
        <f t="shared" si="8"/>
        <v>111</v>
      </c>
      <c r="R37" s="777" t="s">
        <v>17</v>
      </c>
      <c r="S37" s="778">
        <f t="shared" si="9"/>
        <v>100</v>
      </c>
      <c r="T37" s="777" t="s">
        <v>17</v>
      </c>
      <c r="U37" s="778">
        <f t="shared" si="10"/>
        <v>100</v>
      </c>
      <c r="V37" s="777" t="s">
        <v>17</v>
      </c>
      <c r="W37" s="778">
        <f t="shared" si="11"/>
        <v>100</v>
      </c>
      <c r="X37" s="779"/>
      <c r="Y37" s="3631"/>
      <c r="Z37" s="780">
        <f t="shared" si="12"/>
        <v>111</v>
      </c>
      <c r="AA37" s="1812">
        <f t="shared" si="3"/>
        <v>1</v>
      </c>
      <c r="AB37" s="1812">
        <f t="shared" si="4"/>
        <v>1</v>
      </c>
      <c r="AC37" s="1812">
        <f t="shared" si="5"/>
        <v>1</v>
      </c>
    </row>
    <row r="38" spans="1:29" ht="15.6">
      <c r="A38" s="472" t="s">
        <v>2561</v>
      </c>
      <c r="B38" s="456" t="s">
        <v>2749</v>
      </c>
      <c r="C38" s="679">
        <f>'数据-基础表'!A3</f>
        <v>5235.2</v>
      </c>
      <c r="D38" s="467">
        <v>100</v>
      </c>
      <c r="E38" s="679">
        <f>[2]Sheet0!$D$22</f>
        <v>39744.120000000003</v>
      </c>
      <c r="F38" s="467">
        <f>LOOKUP(E38,117:117,118:118)-LOOKUP(C38,117:117,118:118)+100</f>
        <v>98</v>
      </c>
      <c r="G38" s="679">
        <f>[2]Sheet0!$D$26</f>
        <v>46165.91</v>
      </c>
      <c r="H38" s="467">
        <f>LOOKUP(G38,117:117,118:118)-LOOKUP(C38,117:117,118:118)+100</f>
        <v>98</v>
      </c>
      <c r="I38" s="530">
        <f>[2]Sheet0!$D$27</f>
        <v>38100</v>
      </c>
      <c r="J38" s="467">
        <f>LOOKUP(I38,117:117,118:118)-LOOKUP(C38,117:117,118:118)+100</f>
        <v>98</v>
      </c>
      <c r="K38" s="613"/>
      <c r="L38" s="1141"/>
      <c r="M38" s="1132"/>
      <c r="N38" s="1132"/>
      <c r="O38" s="1140"/>
      <c r="P38" s="3631"/>
      <c r="Q38" s="1811" t="str">
        <f>B38</f>
        <v>宗地面积</v>
      </c>
      <c r="R38" s="774" t="s">
        <v>17</v>
      </c>
      <c r="S38" s="775">
        <f t="shared" si="9"/>
        <v>98</v>
      </c>
      <c r="T38" s="774" t="s">
        <v>17</v>
      </c>
      <c r="U38" s="775">
        <f t="shared" si="10"/>
        <v>98</v>
      </c>
      <c r="V38" s="774" t="s">
        <v>17</v>
      </c>
      <c r="W38" s="775">
        <f t="shared" si="11"/>
        <v>98</v>
      </c>
      <c r="X38" s="1814"/>
      <c r="Y38" s="3631"/>
      <c r="Z38" s="1815" t="str">
        <f t="shared" si="12"/>
        <v>宗地面积</v>
      </c>
      <c r="AA38" s="1812">
        <f t="shared" si="3"/>
        <v>1.0204081632653061</v>
      </c>
      <c r="AB38" s="1812">
        <f t="shared" si="4"/>
        <v>1.0204081632653061</v>
      </c>
      <c r="AC38" s="1812">
        <f t="shared" si="5"/>
        <v>1.0204081632653061</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1"/>
      <c r="M39" s="1132"/>
      <c r="N39" s="1132"/>
      <c r="O39" s="1140"/>
      <c r="P39" s="3631"/>
      <c r="Q39" s="1811" t="str">
        <f t="shared" ref="Q39:Q45" si="13">B39</f>
        <v>宗地形状</v>
      </c>
      <c r="R39" s="774" t="s">
        <v>17</v>
      </c>
      <c r="S39" s="775">
        <f t="shared" si="9"/>
        <v>100</v>
      </c>
      <c r="T39" s="774" t="s">
        <v>17</v>
      </c>
      <c r="U39" s="775">
        <f t="shared" si="10"/>
        <v>100</v>
      </c>
      <c r="V39" s="774" t="s">
        <v>17</v>
      </c>
      <c r="W39" s="775">
        <f t="shared" si="11"/>
        <v>100</v>
      </c>
      <c r="X39" s="1814"/>
      <c r="Y39" s="3631"/>
      <c r="Z39" s="1815" t="str">
        <f t="shared" si="12"/>
        <v>宗地形状</v>
      </c>
      <c r="AA39" s="1812">
        <f t="shared" si="3"/>
        <v>1</v>
      </c>
      <c r="AB39" s="1812">
        <f t="shared" si="4"/>
        <v>1</v>
      </c>
      <c r="AC39" s="1812">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1"/>
      <c r="M40" s="1132"/>
      <c r="N40" s="1132"/>
      <c r="O40" s="1140"/>
      <c r="P40" s="3631"/>
      <c r="Q40" s="1811" t="str">
        <f t="shared" si="13"/>
        <v>临街宽度及深度</v>
      </c>
      <c r="R40" s="774" t="s">
        <v>17</v>
      </c>
      <c r="S40" s="775">
        <f t="shared" si="9"/>
        <v>100</v>
      </c>
      <c r="T40" s="774" t="s">
        <v>17</v>
      </c>
      <c r="U40" s="775">
        <f t="shared" si="10"/>
        <v>100</v>
      </c>
      <c r="V40" s="774" t="s">
        <v>17</v>
      </c>
      <c r="W40" s="775">
        <f t="shared" si="11"/>
        <v>100</v>
      </c>
      <c r="X40" s="1814"/>
      <c r="Y40" s="3631"/>
      <c r="Z40" s="1815" t="str">
        <f t="shared" si="12"/>
        <v>临街宽度及深度</v>
      </c>
      <c r="AA40" s="1812">
        <f t="shared" si="3"/>
        <v>1</v>
      </c>
      <c r="AB40" s="1812">
        <f t="shared" si="4"/>
        <v>1</v>
      </c>
      <c r="AC40" s="1812">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631"/>
      <c r="Q41" s="1811" t="str">
        <f t="shared" si="13"/>
        <v>宗地开发程度</v>
      </c>
      <c r="R41" s="770" t="s">
        <v>17</v>
      </c>
      <c r="S41" s="771">
        <f t="shared" si="9"/>
        <v>100</v>
      </c>
      <c r="T41" s="770" t="s">
        <v>17</v>
      </c>
      <c r="U41" s="771">
        <f t="shared" si="10"/>
        <v>100</v>
      </c>
      <c r="V41" s="770" t="s">
        <v>17</v>
      </c>
      <c r="W41" s="771">
        <f t="shared" si="11"/>
        <v>100</v>
      </c>
      <c r="X41" s="772"/>
      <c r="Y41" s="3631"/>
      <c r="Z41" s="55" t="str">
        <f t="shared" si="12"/>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1"/>
      <c r="M42" s="1132"/>
      <c r="N42" s="1132"/>
      <c r="O42" s="1140"/>
      <c r="P42" s="3631" t="s">
        <v>2563</v>
      </c>
      <c r="Q42" s="1811" t="str">
        <f t="shared" si="13"/>
        <v>工程地质条件</v>
      </c>
      <c r="R42" s="774" t="s">
        <v>17</v>
      </c>
      <c r="S42" s="775">
        <f t="shared" si="9"/>
        <v>100</v>
      </c>
      <c r="T42" s="774" t="s">
        <v>17</v>
      </c>
      <c r="U42" s="775">
        <f t="shared" si="10"/>
        <v>100</v>
      </c>
      <c r="V42" s="774" t="s">
        <v>17</v>
      </c>
      <c r="W42" s="775">
        <f t="shared" si="11"/>
        <v>100</v>
      </c>
      <c r="X42" s="1814"/>
      <c r="Y42" s="3631" t="s">
        <v>2563</v>
      </c>
      <c r="Z42" s="1815" t="str">
        <f t="shared" si="12"/>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631"/>
      <c r="Q43" s="1811">
        <f t="shared" si="13"/>
        <v>111</v>
      </c>
      <c r="R43" s="774" t="s">
        <v>17</v>
      </c>
      <c r="S43" s="775">
        <f t="shared" si="9"/>
        <v>100</v>
      </c>
      <c r="T43" s="774" t="s">
        <v>17</v>
      </c>
      <c r="U43" s="775">
        <f t="shared" si="10"/>
        <v>100</v>
      </c>
      <c r="V43" s="774" t="s">
        <v>17</v>
      </c>
      <c r="W43" s="775">
        <f t="shared" si="11"/>
        <v>100</v>
      </c>
      <c r="X43" s="1814"/>
      <c r="Y43" s="3631"/>
      <c r="Z43" s="1815">
        <f t="shared" si="12"/>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631"/>
      <c r="Q44" s="1811">
        <f t="shared" si="13"/>
        <v>111</v>
      </c>
      <c r="R44" s="774" t="s">
        <v>17</v>
      </c>
      <c r="S44" s="775">
        <f t="shared" si="9"/>
        <v>100</v>
      </c>
      <c r="T44" s="774" t="s">
        <v>17</v>
      </c>
      <c r="U44" s="775">
        <f t="shared" si="10"/>
        <v>100</v>
      </c>
      <c r="V44" s="774" t="s">
        <v>17</v>
      </c>
      <c r="W44" s="775">
        <f t="shared" si="11"/>
        <v>100</v>
      </c>
      <c r="X44" s="1814"/>
      <c r="Y44" s="3631"/>
      <c r="Z44" s="1815">
        <f t="shared" si="12"/>
        <v>111</v>
      </c>
      <c r="AA44" s="1812">
        <f t="shared" si="3"/>
        <v>1</v>
      </c>
      <c r="AB44" s="1812">
        <f t="shared" si="4"/>
        <v>1</v>
      </c>
      <c r="AC44" s="1812">
        <f t="shared" si="5"/>
        <v>1</v>
      </c>
    </row>
    <row r="45" spans="1:29" s="471" customFormat="1" ht="15.6"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631"/>
      <c r="Q45" s="1811">
        <f t="shared" si="13"/>
        <v>111</v>
      </c>
      <c r="R45" s="777" t="s">
        <v>17</v>
      </c>
      <c r="S45" s="778">
        <f t="shared" si="9"/>
        <v>100</v>
      </c>
      <c r="T45" s="777" t="s">
        <v>17</v>
      </c>
      <c r="U45" s="778">
        <f t="shared" si="10"/>
        <v>100</v>
      </c>
      <c r="V45" s="777" t="s">
        <v>17</v>
      </c>
      <c r="W45" s="778">
        <f t="shared" si="11"/>
        <v>100</v>
      </c>
      <c r="X45" s="779"/>
      <c r="Y45" s="3631"/>
      <c r="Z45" s="780">
        <f t="shared" si="12"/>
        <v>111</v>
      </c>
      <c r="AA45" s="1812">
        <f t="shared" si="3"/>
        <v>1</v>
      </c>
      <c r="AB45" s="1812">
        <f t="shared" si="4"/>
        <v>1</v>
      </c>
      <c r="AC45" s="1812">
        <f t="shared" si="5"/>
        <v>1</v>
      </c>
    </row>
    <row r="46" spans="1:29" ht="14.4">
      <c r="A46" s="479" t="s">
        <v>2718</v>
      </c>
      <c r="B46" s="2704" t="s">
        <v>2754</v>
      </c>
      <c r="C46" s="682" t="s">
        <v>1</v>
      </c>
      <c r="D46" s="481"/>
      <c r="E46" s="482">
        <f>[2]Sheet0!$K$22</f>
        <v>24490.06</v>
      </c>
      <c r="F46" s="483"/>
      <c r="G46" s="484">
        <f>[2]Sheet0!$K$26</f>
        <v>24368.58</v>
      </c>
      <c r="H46" s="485"/>
      <c r="I46" s="482">
        <f>[2]Sheet0!$K$27</f>
        <v>26771.65</v>
      </c>
      <c r="J46" s="485"/>
      <c r="K46" s="783"/>
      <c r="L46" s="1144"/>
      <c r="M46" s="1145"/>
      <c r="N46" s="1132"/>
      <c r="O46" s="1145"/>
      <c r="P46" s="3624" t="str">
        <f>A46</f>
        <v>成交单价</v>
      </c>
      <c r="Q46" s="3624"/>
      <c r="R46" s="3619">
        <f>E46</f>
        <v>24490.06</v>
      </c>
      <c r="S46" s="3619"/>
      <c r="T46" s="3619">
        <f>G46</f>
        <v>24368.58</v>
      </c>
      <c r="U46" s="3619"/>
      <c r="V46" s="3619">
        <f>I46</f>
        <v>26771.65</v>
      </c>
      <c r="W46" s="3619"/>
      <c r="X46" s="759"/>
      <c r="Y46" s="781"/>
      <c r="Z46" s="759"/>
      <c r="AA46" s="759"/>
      <c r="AB46" s="759"/>
      <c r="AC46" s="759"/>
    </row>
    <row r="47" spans="1:29" ht="15" thickBot="1">
      <c r="A47" s="486" t="s">
        <v>2667</v>
      </c>
      <c r="B47" s="683"/>
      <c r="C47" s="490">
        <f ca="1">R48</f>
        <v>23091</v>
      </c>
      <c r="D47" s="489"/>
      <c r="E47" s="490">
        <f ca="1">R47</f>
        <v>22727</v>
      </c>
      <c r="F47" s="491"/>
      <c r="G47" s="488">
        <f ca="1">T47</f>
        <v>22180</v>
      </c>
      <c r="H47" s="489"/>
      <c r="I47" s="490">
        <f ca="1">V47</f>
        <v>24367</v>
      </c>
      <c r="J47" s="489"/>
      <c r="K47" s="784"/>
      <c r="L47" s="1144"/>
      <c r="M47" s="1145"/>
      <c r="N47" s="1145"/>
      <c r="O47" s="1145"/>
      <c r="P47" s="3624" t="str">
        <f>A47</f>
        <v>比较价值（元/平方米）</v>
      </c>
      <c r="Q47" s="3624"/>
      <c r="R47" s="3651">
        <f ca="1">ROUND(PRODUCT(R46,AA7:AA45),0)</f>
        <v>22727</v>
      </c>
      <c r="S47" s="3651"/>
      <c r="T47" s="3651">
        <f ca="1">ROUND(PRODUCT(T46,AB7:AB45),0)</f>
        <v>22180</v>
      </c>
      <c r="U47" s="3651"/>
      <c r="V47" s="3651">
        <f ca="1">ROUND(PRODUCT(V46,AC7:AC45),0)</f>
        <v>24367</v>
      </c>
      <c r="W47" s="3651"/>
      <c r="X47" s="759"/>
      <c r="Y47" s="759"/>
      <c r="Z47" s="759"/>
      <c r="AA47" s="759"/>
      <c r="AB47" s="759"/>
      <c r="AC47" s="759"/>
    </row>
    <row r="48" spans="1:29" ht="15" thickBot="1">
      <c r="A48" s="492" t="s">
        <v>2755</v>
      </c>
      <c r="B48" s="493"/>
      <c r="C48" s="494">
        <f ca="1">R48</f>
        <v>23091</v>
      </c>
      <c r="D48" s="494"/>
      <c r="E48" s="494"/>
      <c r="F48" s="494"/>
      <c r="G48" s="494"/>
      <c r="H48" s="494"/>
      <c r="I48" s="494"/>
      <c r="J48" s="494"/>
      <c r="K48" s="785"/>
      <c r="L48" s="1144"/>
      <c r="M48" s="1145"/>
      <c r="N48" s="1145"/>
      <c r="O48" s="1145"/>
      <c r="P48" s="3621" t="str">
        <f>A48</f>
        <v>估价对象XX用房的比较价值（楼面单价，元/平方米）</v>
      </c>
      <c r="Q48" s="3622"/>
      <c r="R48" s="3652">
        <f ca="1">ROUND(AVERAGE(R47:V47),0)</f>
        <v>23091</v>
      </c>
      <c r="S48" s="3652"/>
      <c r="T48" s="3652"/>
      <c r="U48" s="3652"/>
      <c r="V48" s="3652"/>
      <c r="W48" s="3652"/>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2669</v>
      </c>
      <c r="D51" s="498"/>
      <c r="E51" s="499">
        <f ca="1">IF(E46&lt;E47,E47/E46-1,E46/E47-1)</f>
        <v>7.7575570906850855E-2</v>
      </c>
      <c r="F51" s="500" t="str">
        <f ca="1">IF(OR(E51&gt;=0.3,E51&lt;=-0.3),"超过30%","")</f>
        <v/>
      </c>
      <c r="G51" s="499">
        <f ca="1">IF(G46&lt;G47,G47/G46-1,G46/G47-1)</f>
        <v>9.8673579801623168E-2</v>
      </c>
      <c r="H51" s="500" t="str">
        <f ca="1">IF(OR(G51&gt;=0.3,G51&lt;=-0.3),"超过30%","")</f>
        <v/>
      </c>
      <c r="I51" s="499">
        <f ca="1">IF(I46&lt;I47,I47/I46-1,I46/I47-1)</f>
        <v>9.8684696515779491E-2</v>
      </c>
      <c r="J51" s="500" t="str">
        <f ca="1">IF(OR(I51&gt;=0.3,I51&lt;=-0.3),"超过30%","")</f>
        <v/>
      </c>
      <c r="K51" s="1106"/>
      <c r="L51" s="1107"/>
      <c r="M51" s="1145"/>
      <c r="N51" s="1145"/>
      <c r="O51" s="1145"/>
    </row>
    <row r="52" spans="1:15" ht="13.5" customHeight="1">
      <c r="A52" s="1145"/>
      <c r="B52" s="1145"/>
      <c r="C52" s="497" t="s">
        <v>2670</v>
      </c>
      <c r="D52" s="501"/>
      <c r="E52" s="499">
        <f ca="1">IF(E47&lt;G47,G47/E47-1,E47/G47-1)</f>
        <v>2.4661857529305609E-2</v>
      </c>
      <c r="F52" s="500" t="str">
        <f ca="1">IF(OR(E52&gt;=0.2,E52&lt;=-0.2),"超过20%","")</f>
        <v/>
      </c>
      <c r="G52" s="499">
        <f ca="1">IF(G47&lt;I47,I47/G47-1,G47/I47-1)</f>
        <v>9.8602344454463475E-2</v>
      </c>
      <c r="H52" s="500" t="str">
        <f ca="1">IF(OR(G52&gt;=0.2,G52&lt;=-0.2),"超过20%","")</f>
        <v/>
      </c>
      <c r="I52" s="499">
        <f ca="1">IF(I47&lt;E47,E47/I47-1,I47/E47-1)</f>
        <v>7.2160865930391171E-2</v>
      </c>
      <c r="J52" s="500" t="str">
        <f ca="1">IF(OR(I52&gt;=0.2,I52&lt;=-0.2),"超过20%","")</f>
        <v/>
      </c>
      <c r="K52" s="1106"/>
      <c r="L52" s="1107"/>
      <c r="M52" s="1145"/>
      <c r="N52" s="1145"/>
      <c r="O52" s="1145"/>
    </row>
    <row r="53" spans="1:15" s="502" customFormat="1" ht="13.5" customHeight="1">
      <c r="A53" s="1146"/>
      <c r="B53" s="1146"/>
      <c r="C53" s="497" t="s">
        <v>2671</v>
      </c>
      <c r="D53" s="501"/>
      <c r="E53" s="499">
        <f>IF(E46&lt;G46,G46/E46-1,E46/G46-1)</f>
        <v>4.9851078725144937E-3</v>
      </c>
      <c r="F53" s="500" t="str">
        <f>IF(OR(E53&gt;=0.3,E53&lt;=-0.3),"超过30%","")</f>
        <v/>
      </c>
      <c r="G53" s="499">
        <f>IF(G46&lt;I46,I46/G46-1,G46/I46-1)</f>
        <v>9.861346044783903E-2</v>
      </c>
      <c r="H53" s="500" t="str">
        <f>IF(OR(G53&gt;=0.3,G53&lt;=-0.3),"超过30%","")</f>
        <v/>
      </c>
      <c r="I53" s="499">
        <f>IF(I46&lt;E46,E46/I46-1,I46/E46-1)</f>
        <v>9.3163920382391963E-2</v>
      </c>
      <c r="J53" s="500" t="str">
        <f>IF(OR(I53&gt;=0.3,I53&lt;=-0.3),"超过30%","")</f>
        <v/>
      </c>
      <c r="K53" s="1149"/>
      <c r="L53" s="1150"/>
      <c r="M53" s="1146"/>
      <c r="N53" s="1146"/>
      <c r="O53" s="1146"/>
    </row>
    <row r="54" spans="1:15" s="502" customFormat="1" ht="14.4" thickBot="1">
      <c r="A54" s="1146"/>
      <c r="B54" s="1147"/>
      <c r="C54" s="762"/>
      <c r="D54" s="760"/>
      <c r="E54" s="760"/>
      <c r="F54" s="760"/>
      <c r="G54" s="760"/>
      <c r="H54" s="760"/>
      <c r="I54" s="760"/>
      <c r="J54" s="760"/>
      <c r="K54" s="1149"/>
      <c r="L54" s="1150"/>
      <c r="M54" s="1146"/>
      <c r="N54" s="1146"/>
      <c r="O54" s="1146"/>
    </row>
    <row r="55" spans="1:15" ht="27" customHeight="1">
      <c r="A55" s="684" t="s">
        <v>2756</v>
      </c>
      <c r="B55" s="685" t="s">
        <v>2757</v>
      </c>
      <c r="C55" s="2705" t="s">
        <v>2758</v>
      </c>
      <c r="D55" s="2706" t="s">
        <v>2759</v>
      </c>
      <c r="E55" s="686" t="s">
        <v>2760</v>
      </c>
      <c r="F55" s="1108" t="s">
        <v>2761</v>
      </c>
      <c r="G55" s="3607" t="s">
        <v>2762</v>
      </c>
      <c r="H55" s="3653"/>
      <c r="I55" s="144" t="s">
        <v>2763</v>
      </c>
      <c r="J55" s="2707">
        <f>项目基本情况!F35</f>
        <v>0</v>
      </c>
      <c r="K55" s="2708" t="s">
        <v>2764</v>
      </c>
      <c r="L55" s="1107"/>
      <c r="M55" s="1145"/>
      <c r="N55" s="1145"/>
      <c r="O55" s="1145"/>
    </row>
    <row r="56" spans="1:15" s="692" customFormat="1">
      <c r="A56" s="688" t="s">
        <v>2765</v>
      </c>
      <c r="B56" s="689">
        <f ca="1">C48</f>
        <v>23091</v>
      </c>
      <c r="C56" s="690">
        <v>1</v>
      </c>
      <c r="D56" s="1164">
        <v>1</v>
      </c>
      <c r="E56" s="690">
        <f>'数据-汇总表'!E8+'数据-汇总表'!E9</f>
        <v>39258.17</v>
      </c>
      <c r="F56" s="1104">
        <f t="shared" ref="F56:F65" ca="1" si="14">ROUND(B56*E56/10000,0)</f>
        <v>90651</v>
      </c>
      <c r="G56" s="3606"/>
      <c r="H56" s="3624"/>
      <c r="I56" s="1109">
        <v>1</v>
      </c>
      <c r="J56" s="1112">
        <v>1</v>
      </c>
      <c r="K56" s="1146"/>
      <c r="L56" s="942"/>
      <c r="M56" s="942"/>
      <c r="N56" s="942"/>
      <c r="O56" s="942"/>
    </row>
    <row r="57" spans="1:15" s="692" customFormat="1">
      <c r="A57" s="693" t="s">
        <v>2766</v>
      </c>
      <c r="B57" s="262">
        <f ca="1">ROUND($C$48*C57*D57,0)</f>
        <v>4618</v>
      </c>
      <c r="C57" s="200">
        <f t="shared" ref="C57:C65" si="15">IF($C$55="北京市系数",I57,J57)</f>
        <v>0.8</v>
      </c>
      <c r="D57" s="1165">
        <v>0.25</v>
      </c>
      <c r="E57" s="694"/>
      <c r="F57" s="1104">
        <f t="shared" ca="1" si="14"/>
        <v>0</v>
      </c>
      <c r="G57" s="3654" t="s">
        <v>2767</v>
      </c>
      <c r="H57" s="1105" t="str">
        <f>项目基本情况!B37</f>
        <v>二级</v>
      </c>
      <c r="I57" s="1109">
        <f>SUMIF(修正!A45:A56,H57,修正!B45:B56)</f>
        <v>0.8</v>
      </c>
      <c r="J57" s="1113"/>
      <c r="K57" s="1145"/>
      <c r="L57" s="942"/>
      <c r="M57" s="942"/>
      <c r="N57" s="942"/>
      <c r="O57" s="942"/>
    </row>
    <row r="58" spans="1:15" s="692" customFormat="1">
      <c r="A58" s="693" t="s">
        <v>2768</v>
      </c>
      <c r="B58" s="262">
        <f t="shared" ref="B58:B65" ca="1" si="16">ROUND($C$48*C58*D58,0)</f>
        <v>2886</v>
      </c>
      <c r="C58" s="200">
        <f t="shared" si="15"/>
        <v>0.5</v>
      </c>
      <c r="D58" s="1165">
        <v>0.25</v>
      </c>
      <c r="E58" s="694"/>
      <c r="F58" s="1104">
        <f t="shared" ca="1" si="14"/>
        <v>0</v>
      </c>
      <c r="G58" s="3654"/>
      <c r="H58" s="1105" t="str">
        <f>项目基本情况!B37</f>
        <v>二级</v>
      </c>
      <c r="I58" s="1109">
        <f>SUMIF(修正!A45:A56,H58,修正!C45:C56)</f>
        <v>0.5</v>
      </c>
      <c r="J58" s="1113"/>
      <c r="K58" s="1146"/>
      <c r="L58" s="942"/>
      <c r="M58" s="942"/>
      <c r="N58" s="942"/>
      <c r="O58" s="942"/>
    </row>
    <row r="59" spans="1:15" s="692" customFormat="1">
      <c r="A59" s="693" t="s">
        <v>2769</v>
      </c>
      <c r="B59" s="262">
        <f t="shared" ca="1" si="16"/>
        <v>2078</v>
      </c>
      <c r="C59" s="200">
        <f t="shared" si="15"/>
        <v>0.36</v>
      </c>
      <c r="D59" s="1165">
        <v>0.25</v>
      </c>
      <c r="E59" s="694"/>
      <c r="F59" s="1104">
        <f t="shared" ca="1" si="14"/>
        <v>0</v>
      </c>
      <c r="G59" s="3654"/>
      <c r="H59" s="1105" t="str">
        <f>项目基本情况!B37</f>
        <v>二级</v>
      </c>
      <c r="I59" s="1109">
        <f>SUMIF(修正!A45:A56,H59,修正!D45:D56)</f>
        <v>0.36</v>
      </c>
      <c r="J59" s="1113"/>
      <c r="K59" s="1145"/>
      <c r="L59" s="942"/>
      <c r="M59" s="942"/>
      <c r="N59" s="942"/>
      <c r="O59" s="942"/>
    </row>
    <row r="60" spans="1:15" s="692" customFormat="1">
      <c r="A60" s="693" t="s">
        <v>2770</v>
      </c>
      <c r="B60" s="262">
        <f t="shared" ca="1" si="16"/>
        <v>1732</v>
      </c>
      <c r="C60" s="200">
        <f t="shared" si="15"/>
        <v>0.3</v>
      </c>
      <c r="D60" s="1165">
        <v>0.25</v>
      </c>
      <c r="E60" s="694"/>
      <c r="F60" s="1104">
        <f t="shared" ca="1" si="14"/>
        <v>0</v>
      </c>
      <c r="G60" s="3654"/>
      <c r="H60" s="1105" t="str">
        <f>项目基本情况!B37</f>
        <v>二级</v>
      </c>
      <c r="I60" s="1109">
        <f>SUMIF(修正!A45:A56,H60,修正!E45:E56)</f>
        <v>0.3</v>
      </c>
      <c r="J60" s="1113"/>
      <c r="K60" s="1146"/>
      <c r="L60" s="942"/>
      <c r="M60" s="942"/>
      <c r="N60" s="942"/>
      <c r="O60" s="942"/>
    </row>
    <row r="61" spans="1:15" s="692" customFormat="1">
      <c r="A61" s="693" t="s">
        <v>2771</v>
      </c>
      <c r="B61" s="262">
        <f t="shared" ca="1" si="16"/>
        <v>1732</v>
      </c>
      <c r="C61" s="200">
        <f t="shared" si="15"/>
        <v>0.3</v>
      </c>
      <c r="D61" s="1165">
        <v>0.25</v>
      </c>
      <c r="E61" s="261">
        <f>'数据-汇总表'!E11</f>
        <v>0</v>
      </c>
      <c r="F61" s="1104">
        <f t="shared" ca="1" si="14"/>
        <v>0</v>
      </c>
      <c r="G61" s="2709" t="s">
        <v>2772</v>
      </c>
      <c r="H61" s="1105" t="str">
        <f>项目基本情况!C37</f>
        <v>二级</v>
      </c>
      <c r="I61" s="1109">
        <f>SUMIF(修正!A45:A56,H61,修正!F45:F56)</f>
        <v>0.3</v>
      </c>
      <c r="J61" s="1113"/>
      <c r="K61" s="1145"/>
      <c r="L61" s="942"/>
      <c r="M61" s="942"/>
      <c r="N61" s="942"/>
      <c r="O61" s="942"/>
    </row>
    <row r="62" spans="1:15" s="692" customFormat="1">
      <c r="A62" s="693" t="s">
        <v>2773</v>
      </c>
      <c r="B62" s="262">
        <f t="shared" ca="1" si="16"/>
        <v>1732</v>
      </c>
      <c r="C62" s="200">
        <f t="shared" si="15"/>
        <v>0.3</v>
      </c>
      <c r="D62" s="1165">
        <v>0.25</v>
      </c>
      <c r="E62" s="261">
        <f>'数据-汇总表'!E12</f>
        <v>0</v>
      </c>
      <c r="F62" s="1104">
        <f t="shared" ca="1" si="14"/>
        <v>0</v>
      </c>
      <c r="G62" s="1110" t="s">
        <v>2774</v>
      </c>
      <c r="H62" s="1105" t="str">
        <f>IF(G62="商业",项目基本情况!B37,IF(G62="办公",项目基本情况!C37,IF(G62="住宅",项目基本情况!D37,项目基本情况!E37)))</f>
        <v>二级</v>
      </c>
      <c r="I62" s="1109">
        <f>SUMIF(修正!A45:A56,H62,修正!G45:G56)</f>
        <v>0.3</v>
      </c>
      <c r="J62" s="1113"/>
      <c r="K62" s="1146"/>
      <c r="L62" s="942"/>
      <c r="M62" s="942"/>
      <c r="N62" s="942"/>
      <c r="O62" s="942"/>
    </row>
    <row r="63" spans="1:15" s="692" customFormat="1">
      <c r="A63" s="693" t="s">
        <v>2775</v>
      </c>
      <c r="B63" s="262">
        <f t="shared" ca="1" si="16"/>
        <v>0</v>
      </c>
      <c r="C63" s="200">
        <f t="shared" si="15"/>
        <v>0</v>
      </c>
      <c r="D63" s="1165">
        <v>0.25</v>
      </c>
      <c r="E63" s="261">
        <f>'数据-汇总表'!E13</f>
        <v>6074.74</v>
      </c>
      <c r="F63" s="1104">
        <f t="shared" ca="1" si="14"/>
        <v>0</v>
      </c>
      <c r="G63" s="1110" t="s">
        <v>2776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2777</v>
      </c>
      <c r="B64" s="262">
        <f t="shared" ca="1" si="16"/>
        <v>1443</v>
      </c>
      <c r="C64" s="200">
        <f t="shared" si="15"/>
        <v>0.25</v>
      </c>
      <c r="D64" s="1165">
        <v>0.25</v>
      </c>
      <c r="E64" s="261">
        <f>'数据-汇总表'!E14</f>
        <v>0</v>
      </c>
      <c r="F64" s="1104">
        <f t="shared" ca="1" si="14"/>
        <v>0</v>
      </c>
      <c r="G64" s="2709" t="s">
        <v>2767</v>
      </c>
      <c r="H64" s="1105" t="str">
        <f>项目基本情况!B37</f>
        <v>二级</v>
      </c>
      <c r="I64" s="1109">
        <f>SUMIF(修正!A45:A56,H64,修正!H45:H56)</f>
        <v>0.25</v>
      </c>
      <c r="J64" s="1113"/>
      <c r="K64" s="1146"/>
      <c r="L64" s="942"/>
      <c r="M64" s="942"/>
      <c r="N64" s="942"/>
      <c r="O64" s="942"/>
    </row>
    <row r="65" spans="1:17" s="692" customFormat="1" ht="14.4" thickBot="1">
      <c r="A65" s="693" t="s">
        <v>2778</v>
      </c>
      <c r="B65" s="262">
        <f t="shared" ca="1" si="16"/>
        <v>1443</v>
      </c>
      <c r="C65" s="200">
        <f t="shared" si="15"/>
        <v>0.25</v>
      </c>
      <c r="D65" s="1165">
        <v>0.25</v>
      </c>
      <c r="E65" s="261">
        <f>'数据-汇总表'!E15</f>
        <v>0</v>
      </c>
      <c r="F65" s="1104">
        <f t="shared" ca="1" si="14"/>
        <v>0</v>
      </c>
      <c r="G65" s="2710" t="s">
        <v>2772</v>
      </c>
      <c r="H65" s="1115" t="str">
        <f>项目基本情况!C37</f>
        <v>二级</v>
      </c>
      <c r="I65" s="1111">
        <f>SUMIF(修正!A45:A56,H65,修正!H45:H56)</f>
        <v>0.25</v>
      </c>
      <c r="J65" s="1114"/>
      <c r="K65" s="1145"/>
      <c r="L65" s="942"/>
      <c r="M65" s="942"/>
      <c r="N65" s="942"/>
      <c r="O65" s="942"/>
    </row>
    <row r="66" spans="1:17" s="692" customFormat="1" thickBot="1">
      <c r="A66" s="695" t="s">
        <v>2779</v>
      </c>
      <c r="B66" s="696" t="s">
        <v>28</v>
      </c>
      <c r="C66" s="696" t="s">
        <v>29</v>
      </c>
      <c r="D66" s="696" t="s">
        <v>1029</v>
      </c>
      <c r="E66" s="696">
        <f>IF(B46="楼面地价",SUM(E56:E65),'数据-汇总表'!D3)</f>
        <v>45332.909999999996</v>
      </c>
      <c r="F66" s="697">
        <f ca="1">IF(B46="楼面地价",SUM(F56:F65),ROUND(C48*E66/10000,0))</f>
        <v>90651</v>
      </c>
      <c r="G66" s="787"/>
      <c r="H66" s="787"/>
      <c r="I66" s="787"/>
      <c r="J66" s="787"/>
      <c r="K66" s="1159"/>
      <c r="L66" s="942"/>
      <c r="M66" s="942"/>
      <c r="N66" s="942"/>
      <c r="O66" s="942"/>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2018-12-1</v>
      </c>
      <c r="D68" s="761">
        <f>EDATE(C68,-3)</f>
        <v>43344</v>
      </c>
      <c r="E68" s="761">
        <f>EDATE(D68,-3)</f>
        <v>43252</v>
      </c>
      <c r="F68" s="761">
        <f t="shared" ref="F68:O68" si="17">EDATE(E68,-3)</f>
        <v>43160</v>
      </c>
      <c r="G68" s="761">
        <f t="shared" si="17"/>
        <v>43070</v>
      </c>
      <c r="H68" s="761">
        <f t="shared" si="17"/>
        <v>42979</v>
      </c>
      <c r="I68" s="761">
        <f t="shared" si="17"/>
        <v>42887</v>
      </c>
      <c r="J68" s="761">
        <f t="shared" si="17"/>
        <v>42795</v>
      </c>
      <c r="K68" s="761">
        <f t="shared" si="17"/>
        <v>42705</v>
      </c>
      <c r="L68" s="761">
        <f t="shared" si="17"/>
        <v>42614</v>
      </c>
      <c r="M68" s="761">
        <f t="shared" si="17"/>
        <v>42522</v>
      </c>
      <c r="N68" s="761">
        <f t="shared" si="17"/>
        <v>42430</v>
      </c>
      <c r="O68" s="761">
        <f t="shared" si="17"/>
        <v>42339</v>
      </c>
    </row>
    <row r="69" spans="1:17" ht="22.2" thickBot="1">
      <c r="A69" s="763" t="s">
        <v>2672</v>
      </c>
      <c r="B69" s="759"/>
      <c r="C69" s="764"/>
      <c r="D69" s="764"/>
      <c r="E69" s="764"/>
      <c r="F69" s="765"/>
      <c r="G69" s="765"/>
      <c r="H69" s="764"/>
      <c r="I69" s="764"/>
      <c r="J69" s="1160"/>
      <c r="K69" s="1161"/>
      <c r="L69" s="1162"/>
      <c r="M69" s="1160"/>
      <c r="N69" s="1160"/>
      <c r="O69" s="1160"/>
      <c r="P69" s="503"/>
      <c r="Q69" s="504"/>
    </row>
    <row r="70" spans="1:17" s="508" customFormat="1" ht="14.4">
      <c r="A70" s="2711" t="s">
        <v>2780</v>
      </c>
      <c r="B70" s="1360"/>
      <c r="C70" s="1573" t="str">
        <f>YEAR(C68)&amp;"-"&amp;ROUNDUP(MONTH(C68)/3,0)</f>
        <v>2018-4</v>
      </c>
      <c r="D70" s="1573" t="str">
        <f>YEAR(D68)&amp;"-"&amp;ROUNDUP(MONTH(D68)/3,0)</f>
        <v>2018-3</v>
      </c>
      <c r="E70" s="1573" t="str">
        <f t="shared" ref="E70:O70" si="18">YEAR(E68)&amp;"-"&amp;ROUNDUP(MONTH(E68)/3,0)</f>
        <v>2018-2</v>
      </c>
      <c r="F70" s="1573" t="str">
        <f t="shared" si="18"/>
        <v>2018-1</v>
      </c>
      <c r="G70" s="1573" t="str">
        <f t="shared" si="18"/>
        <v>2017-4</v>
      </c>
      <c r="H70" s="1573" t="str">
        <f t="shared" si="18"/>
        <v>2017-3</v>
      </c>
      <c r="I70" s="1573" t="str">
        <f t="shared" si="18"/>
        <v>2017-2</v>
      </c>
      <c r="J70" s="1573" t="str">
        <f t="shared" si="18"/>
        <v>2017-1</v>
      </c>
      <c r="K70" s="1573" t="str">
        <f t="shared" si="18"/>
        <v>2016-4</v>
      </c>
      <c r="L70" s="1573" t="str">
        <f t="shared" si="18"/>
        <v>2016-3</v>
      </c>
      <c r="M70" s="1573" t="str">
        <f t="shared" si="18"/>
        <v>2016-2</v>
      </c>
      <c r="N70" s="1573" t="str">
        <f t="shared" si="18"/>
        <v>2016-1</v>
      </c>
      <c r="O70" s="1573" t="str">
        <f t="shared" si="18"/>
        <v>2015-4</v>
      </c>
      <c r="P70" s="507"/>
    </row>
    <row r="71" spans="1:17" s="117" customFormat="1" ht="30" customHeight="1">
      <c r="A71" s="2712" t="s">
        <v>3331</v>
      </c>
      <c r="B71" s="332" t="str">
        <f>"北京市平均增长率"&amp;TEXT(SUMIF(基准地价修正商业!N21:N25,A71,基准地价修正商业!P21:P25),"0.00%")</f>
        <v>北京市平均增长率2.19%</v>
      </c>
      <c r="C71" s="603">
        <v>100</v>
      </c>
      <c r="D71" s="595">
        <v>100</v>
      </c>
      <c r="E71" s="595">
        <v>100</v>
      </c>
      <c r="F71" s="595">
        <v>99</v>
      </c>
      <c r="G71" s="595">
        <v>99</v>
      </c>
      <c r="H71" s="595">
        <v>99</v>
      </c>
      <c r="I71" s="595">
        <v>98</v>
      </c>
      <c r="J71" s="595">
        <v>98</v>
      </c>
      <c r="K71" s="595">
        <v>98</v>
      </c>
      <c r="L71" s="595"/>
      <c r="M71" s="1568"/>
      <c r="N71" s="595"/>
      <c r="O71" s="1569"/>
      <c r="P71" s="504"/>
    </row>
    <row r="72" spans="1:17" s="117" customFormat="1" ht="15" thickBot="1">
      <c r="A72" s="515" t="s">
        <v>2583</v>
      </c>
      <c r="B72" s="516"/>
      <c r="C72" s="517"/>
      <c r="D72" s="518"/>
      <c r="E72" s="518"/>
      <c r="F72" s="518"/>
      <c r="G72" s="518"/>
      <c r="H72" s="518"/>
      <c r="I72" s="518"/>
      <c r="J72" s="518"/>
      <c r="K72" s="518"/>
      <c r="L72" s="518"/>
      <c r="M72" s="519"/>
      <c r="N72" s="518"/>
      <c r="O72" s="1163"/>
      <c r="P72" s="504"/>
      <c r="Q72" s="504"/>
    </row>
    <row r="73" spans="1:17" s="117" customFormat="1" ht="14.4">
      <c r="A73" s="521" t="s">
        <v>2548</v>
      </c>
      <c r="B73" s="510"/>
      <c r="C73" s="522" t="s">
        <v>2650</v>
      </c>
      <c r="D73" s="523"/>
      <c r="E73" s="523"/>
      <c r="F73" s="523"/>
      <c r="G73" s="523"/>
      <c r="H73" s="523"/>
      <c r="I73" s="523"/>
      <c r="J73" s="523"/>
      <c r="K73" s="523"/>
      <c r="L73" s="524"/>
      <c r="M73" s="525"/>
      <c r="N73" s="1152"/>
      <c r="O73" s="1152"/>
      <c r="P73" s="526"/>
      <c r="Q73" s="504"/>
    </row>
    <row r="74" spans="1:17" s="117" customFormat="1" ht="14.4" thickBot="1">
      <c r="A74" s="521"/>
      <c r="B74" s="510"/>
      <c r="C74" s="639">
        <v>100</v>
      </c>
      <c r="D74" s="512"/>
      <c r="E74" s="512"/>
      <c r="F74" s="512"/>
      <c r="G74" s="512"/>
      <c r="H74" s="512"/>
      <c r="I74" s="512"/>
      <c r="J74" s="512"/>
      <c r="K74" s="512"/>
      <c r="L74" s="512"/>
      <c r="M74" s="514"/>
      <c r="N74" s="1152"/>
      <c r="O74" s="1152"/>
      <c r="P74" s="504"/>
      <c r="Q74" s="504"/>
    </row>
    <row r="75" spans="1:17" ht="14.4">
      <c r="A75" s="527" t="s">
        <v>2586</v>
      </c>
      <c r="B75" s="528" t="s">
        <v>2552</v>
      </c>
      <c r="C75" s="530"/>
      <c r="D75" s="530"/>
      <c r="E75" s="530"/>
      <c r="F75" s="530"/>
      <c r="G75" s="530"/>
      <c r="H75" s="530"/>
      <c r="I75" s="530"/>
      <c r="J75" s="530"/>
      <c r="K75" s="531"/>
      <c r="L75" s="532"/>
      <c r="M75" s="533"/>
      <c r="N75" s="1153"/>
      <c r="O75" s="1153"/>
      <c r="P75" s="45"/>
      <c r="Q75" s="504"/>
    </row>
    <row r="76" spans="1:17" ht="14.4" thickBot="1">
      <c r="A76" s="534"/>
      <c r="B76" s="535"/>
      <c r="C76" s="536"/>
      <c r="D76" s="536"/>
      <c r="E76" s="536"/>
      <c r="F76" s="536"/>
      <c r="G76" s="536"/>
      <c r="H76" s="536"/>
      <c r="I76" s="536"/>
      <c r="J76" s="536"/>
      <c r="K76" s="536"/>
      <c r="L76" s="536"/>
      <c r="M76" s="537"/>
      <c r="N76" s="1154"/>
      <c r="O76" s="1154"/>
      <c r="P76" s="45"/>
      <c r="Q76" s="504"/>
    </row>
    <row r="77" spans="1:17" ht="29.4" thickTop="1">
      <c r="A77" s="534"/>
      <c r="B77" s="538" t="s">
        <v>2555</v>
      </c>
      <c r="C77" s="539"/>
      <c r="D77" s="539"/>
      <c r="E77" s="539"/>
      <c r="F77" s="539"/>
      <c r="G77" s="539"/>
      <c r="H77" s="539"/>
      <c r="I77" s="539"/>
      <c r="J77" s="539"/>
      <c r="K77" s="540"/>
      <c r="L77" s="541"/>
      <c r="M77" s="542"/>
      <c r="N77" s="1153"/>
      <c r="O77" s="1153"/>
      <c r="P77" s="45"/>
      <c r="Q77" s="504"/>
    </row>
    <row r="78" spans="1:17" ht="14.4" thickBot="1">
      <c r="A78" s="534"/>
      <c r="B78" s="543"/>
      <c r="C78" s="544"/>
      <c r="D78" s="544"/>
      <c r="E78" s="544"/>
      <c r="F78" s="544"/>
      <c r="G78" s="544"/>
      <c r="H78" s="544"/>
      <c r="I78" s="544"/>
      <c r="J78" s="544"/>
      <c r="K78" s="544"/>
      <c r="L78" s="544"/>
      <c r="M78" s="545"/>
      <c r="N78" s="1154"/>
      <c r="O78" s="1154"/>
      <c r="P78" s="45"/>
      <c r="Q78" s="504"/>
    </row>
    <row r="79" spans="1:17" ht="15" thickTop="1">
      <c r="A79" s="534"/>
      <c r="B79" s="546" t="s">
        <v>2556</v>
      </c>
      <c r="C79" s="547" t="str">
        <f>C80&amp;"（含）"&amp;"-"&amp;D80</f>
        <v>0（含）-1</v>
      </c>
      <c r="D79" s="547" t="str">
        <f t="shared" ref="D79:L79" si="19">D80&amp;"（含）"&amp;"-"&amp;E80</f>
        <v>1（含）-2</v>
      </c>
      <c r="E79" s="547" t="str">
        <f t="shared" si="19"/>
        <v>2（含）-3</v>
      </c>
      <c r="F79" s="547" t="str">
        <f t="shared" si="19"/>
        <v>3（含）-4</v>
      </c>
      <c r="G79" s="547" t="str">
        <f t="shared" si="19"/>
        <v>4（含）-</v>
      </c>
      <c r="H79" s="547" t="str">
        <f t="shared" si="19"/>
        <v>（含）-</v>
      </c>
      <c r="I79" s="547" t="str">
        <f t="shared" si="19"/>
        <v>（含）-</v>
      </c>
      <c r="J79" s="547" t="str">
        <f t="shared" si="19"/>
        <v>（含）-</v>
      </c>
      <c r="K79" s="547" t="str">
        <f t="shared" si="19"/>
        <v>（含）-</v>
      </c>
      <c r="L79" s="547" t="str">
        <f t="shared" si="19"/>
        <v>（含）-</v>
      </c>
      <c r="M79" s="448" t="str">
        <f>M80&amp;"（含）"&amp;"-"&amp;P80</f>
        <v>（含）-</v>
      </c>
      <c r="N79" s="1154"/>
      <c r="O79" s="1154"/>
      <c r="P79" s="45"/>
      <c r="Q79" s="504"/>
    </row>
    <row r="80" spans="1:17">
      <c r="A80" s="534"/>
      <c r="B80" s="548"/>
      <c r="C80" s="549">
        <v>0</v>
      </c>
      <c r="D80" s="549">
        <v>1</v>
      </c>
      <c r="E80" s="549">
        <v>2</v>
      </c>
      <c r="F80" s="549">
        <v>3</v>
      </c>
      <c r="G80" s="549">
        <v>4</v>
      </c>
      <c r="H80" s="549"/>
      <c r="I80" s="549"/>
      <c r="J80" s="549"/>
      <c r="K80" s="550"/>
      <c r="L80" s="551"/>
      <c r="M80" s="552"/>
      <c r="N80" s="1153"/>
      <c r="O80" s="1153"/>
      <c r="P80" s="45"/>
      <c r="Q80" s="504"/>
    </row>
    <row r="81" spans="1:17" ht="14.4"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4"/>
      <c r="O81" s="1154"/>
      <c r="P81" s="45"/>
      <c r="Q81" s="504"/>
    </row>
    <row r="82" spans="1:17" s="471" customFormat="1" ht="14.4"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4.4" thickBot="1">
      <c r="A83" s="553"/>
      <c r="B83" s="543"/>
      <c r="C83" s="560"/>
      <c r="D83" s="536"/>
      <c r="E83" s="536"/>
      <c r="F83" s="536"/>
      <c r="G83" s="536"/>
      <c r="H83" s="536"/>
      <c r="I83" s="536"/>
      <c r="J83" s="536"/>
      <c r="K83" s="536"/>
      <c r="L83" s="536"/>
      <c r="M83" s="537"/>
      <c r="N83" s="1154"/>
      <c r="O83" s="1154"/>
      <c r="P83" s="558"/>
      <c r="Q83" s="559"/>
    </row>
    <row r="84" spans="1:17" s="471" customFormat="1" ht="14.4" thickTop="1">
      <c r="A84" s="553"/>
      <c r="B84" s="538">
        <f>B13</f>
        <v>111</v>
      </c>
      <c r="C84" s="554"/>
      <c r="D84" s="554"/>
      <c r="E84" s="554"/>
      <c r="F84" s="554"/>
      <c r="G84" s="554"/>
      <c r="H84" s="555"/>
      <c r="I84" s="555"/>
      <c r="J84" s="555"/>
      <c r="K84" s="555"/>
      <c r="L84" s="556"/>
      <c r="M84" s="557"/>
      <c r="N84" s="1155"/>
      <c r="O84" s="1155"/>
      <c r="P84" s="470"/>
      <c r="Q84" s="561"/>
    </row>
    <row r="85" spans="1:17" s="471" customFormat="1" ht="14.4" thickBot="1">
      <c r="A85" s="553"/>
      <c r="B85" s="543"/>
      <c r="C85" s="560"/>
      <c r="D85" s="560"/>
      <c r="E85" s="560"/>
      <c r="F85" s="560"/>
      <c r="G85" s="560"/>
      <c r="H85" s="562"/>
      <c r="I85" s="562"/>
      <c r="J85" s="562"/>
      <c r="K85" s="562"/>
      <c r="L85" s="562"/>
      <c r="M85" s="563"/>
      <c r="N85" s="1155"/>
      <c r="O85" s="1155"/>
      <c r="P85" s="558"/>
      <c r="Q85" s="559"/>
    </row>
    <row r="86" spans="1:17" s="471" customFormat="1" ht="14.4" thickTop="1">
      <c r="A86" s="553"/>
      <c r="B86" s="546">
        <f>B14</f>
        <v>111</v>
      </c>
      <c r="C86" s="523"/>
      <c r="D86" s="523"/>
      <c r="E86" s="523"/>
      <c r="F86" s="523"/>
      <c r="G86" s="523"/>
      <c r="H86" s="564"/>
      <c r="I86" s="564"/>
      <c r="J86" s="564"/>
      <c r="K86" s="564"/>
      <c r="L86" s="565"/>
      <c r="M86" s="566"/>
      <c r="N86" s="1155"/>
      <c r="O86" s="1155"/>
      <c r="P86" s="567"/>
      <c r="Q86" s="559"/>
    </row>
    <row r="87" spans="1:17" s="471" customFormat="1" ht="14.4" thickBot="1">
      <c r="A87" s="568"/>
      <c r="B87" s="569"/>
      <c r="C87" s="570"/>
      <c r="D87" s="570"/>
      <c r="E87" s="570"/>
      <c r="F87" s="570"/>
      <c r="G87" s="570"/>
      <c r="H87" s="571"/>
      <c r="I87" s="571"/>
      <c r="J87" s="571"/>
      <c r="K87" s="571"/>
      <c r="L87" s="571"/>
      <c r="M87" s="572"/>
      <c r="N87" s="1155"/>
      <c r="O87" s="1155"/>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 thickTop="1">
      <c r="A90" s="534"/>
      <c r="B90" s="538" t="s">
        <v>2781</v>
      </c>
      <c r="C90" s="578" t="s">
        <v>2595</v>
      </c>
      <c r="D90" s="578" t="s">
        <v>2596</v>
      </c>
      <c r="E90" s="578" t="s">
        <v>2597</v>
      </c>
      <c r="F90" s="578" t="s">
        <v>2598</v>
      </c>
      <c r="G90" s="578" t="s">
        <v>2599</v>
      </c>
      <c r="H90" s="539"/>
      <c r="I90" s="539"/>
      <c r="J90" s="539"/>
      <c r="K90" s="540"/>
      <c r="L90" s="541"/>
      <c r="M90" s="542"/>
      <c r="N90" s="1153"/>
      <c r="O90" s="1153"/>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29.4" thickTop="1">
      <c r="A96" s="579"/>
      <c r="B96" s="538" t="s">
        <v>2782</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9.4" thickTop="1">
      <c r="A98" s="579"/>
      <c r="B98" s="538" t="s">
        <v>2783</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6"/>
      <c r="N102" s="1155"/>
      <c r="O102" s="1155"/>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 thickTop="1">
      <c r="A104" s="534"/>
      <c r="B104" s="538" t="str">
        <f>B31</f>
        <v>临街状况</v>
      </c>
      <c r="C104" s="539" t="s">
        <v>2784</v>
      </c>
      <c r="D104" s="539" t="s">
        <v>2785</v>
      </c>
      <c r="E104" s="539" t="s">
        <v>2786</v>
      </c>
      <c r="F104" s="539" t="s">
        <v>2787</v>
      </c>
      <c r="G104" s="539"/>
      <c r="H104" s="539"/>
      <c r="I104" s="539"/>
      <c r="J104" s="539"/>
      <c r="K104" s="540"/>
      <c r="L104" s="541"/>
      <c r="M104" s="542"/>
      <c r="N104" s="1153"/>
      <c r="O104" s="1153"/>
      <c r="P104" s="45"/>
      <c r="Q104" s="504"/>
    </row>
    <row r="105" spans="1:17" ht="14.4"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4"/>
      <c r="O105" s="1154"/>
      <c r="P105" s="45"/>
      <c r="Q105" s="504"/>
    </row>
    <row r="106" spans="1:17" ht="29.4" thickTop="1">
      <c r="A106" s="534"/>
      <c r="B106" s="538" t="s">
        <v>2689</v>
      </c>
      <c r="C106" s="554"/>
      <c r="D106" s="554"/>
      <c r="E106" s="554"/>
      <c r="F106" s="554"/>
      <c r="G106" s="554"/>
      <c r="H106" s="583"/>
      <c r="I106" s="583"/>
      <c r="J106" s="583"/>
      <c r="K106" s="584"/>
      <c r="L106" s="585"/>
      <c r="M106" s="586"/>
      <c r="N106" s="1153"/>
      <c r="O106" s="1153"/>
      <c r="P106" s="45"/>
      <c r="Q106" s="504"/>
    </row>
    <row r="107" spans="1:17" ht="14.4"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4"/>
      <c r="O107" s="1154"/>
      <c r="P107" s="45"/>
      <c r="Q107" s="504"/>
    </row>
    <row r="108" spans="1:17" ht="15" thickTop="1">
      <c r="A108" s="534"/>
      <c r="B108" s="538" t="s">
        <v>2748</v>
      </c>
      <c r="C108" s="583"/>
      <c r="D108" s="583"/>
      <c r="E108" s="583"/>
      <c r="F108" s="583"/>
      <c r="G108" s="583"/>
      <c r="H108" s="583"/>
      <c r="I108" s="583"/>
      <c r="J108" s="583"/>
      <c r="K108" s="584"/>
      <c r="L108" s="585"/>
      <c r="M108" s="586"/>
      <c r="N108" s="1153"/>
      <c r="O108" s="1153"/>
      <c r="P108" s="45"/>
      <c r="Q108" s="504"/>
    </row>
    <row r="109" spans="1:17" ht="14.4"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4"/>
      <c r="O109" s="1154"/>
      <c r="P109" s="45"/>
      <c r="Q109" s="504"/>
    </row>
    <row r="110" spans="1:17" ht="14.4" thickTop="1">
      <c r="A110" s="534"/>
      <c r="B110" s="546">
        <f>B35</f>
        <v>111</v>
      </c>
      <c r="C110" s="554"/>
      <c r="D110" s="554"/>
      <c r="E110" s="554"/>
      <c r="F110" s="554"/>
      <c r="G110" s="587"/>
      <c r="H110" s="587"/>
      <c r="I110" s="587"/>
      <c r="J110" s="587"/>
      <c r="K110" s="588"/>
      <c r="L110" s="589"/>
      <c r="M110" s="590"/>
      <c r="N110" s="1153"/>
      <c r="O110" s="1153"/>
      <c r="P110" s="45"/>
      <c r="Q110" s="504"/>
    </row>
    <row r="111" spans="1:17" ht="14.4" thickBot="1">
      <c r="A111" s="534"/>
      <c r="B111" s="569"/>
      <c r="C111" s="560"/>
      <c r="D111" s="560"/>
      <c r="E111" s="560"/>
      <c r="F111" s="560"/>
      <c r="G111" s="591"/>
      <c r="H111" s="591"/>
      <c r="I111" s="591"/>
      <c r="J111" s="591"/>
      <c r="K111" s="591"/>
      <c r="L111" s="591"/>
      <c r="M111" s="592"/>
      <c r="N111" s="1154"/>
      <c r="O111" s="1154"/>
      <c r="P111" s="45"/>
      <c r="Q111" s="504"/>
    </row>
    <row r="112" spans="1:17" ht="14.4" thickTop="1">
      <c r="A112" s="675"/>
      <c r="B112" s="538">
        <f>B36</f>
        <v>111</v>
      </c>
      <c r="C112" s="523"/>
      <c r="D112" s="523"/>
      <c r="E112" s="523"/>
      <c r="F112" s="523"/>
      <c r="G112" s="583"/>
      <c r="H112" s="583"/>
      <c r="I112" s="583"/>
      <c r="J112" s="583"/>
      <c r="K112" s="584"/>
      <c r="L112" s="585"/>
      <c r="M112" s="586"/>
      <c r="N112" s="1153"/>
      <c r="O112" s="1153"/>
      <c r="P112" s="45"/>
      <c r="Q112" s="504"/>
    </row>
    <row r="113" spans="1:17" ht="14.4" thickBot="1">
      <c r="A113" s="534"/>
      <c r="B113" s="543"/>
      <c r="C113" s="570"/>
      <c r="D113" s="570"/>
      <c r="E113" s="570"/>
      <c r="F113" s="570"/>
      <c r="G113" s="536"/>
      <c r="H113" s="536"/>
      <c r="I113" s="536"/>
      <c r="J113" s="536"/>
      <c r="K113" s="536"/>
      <c r="L113" s="536"/>
      <c r="M113" s="537"/>
      <c r="N113" s="1154"/>
      <c r="O113" s="1154"/>
      <c r="P113" s="45"/>
      <c r="Q113" s="504"/>
    </row>
    <row r="114" spans="1:17" s="471" customFormat="1" ht="14.4"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4.4" thickBot="1">
      <c r="A115" s="553"/>
      <c r="B115" s="546"/>
      <c r="C115" s="512"/>
      <c r="D115" s="677"/>
      <c r="E115" s="677"/>
      <c r="F115" s="677"/>
      <c r="G115" s="677"/>
      <c r="H115" s="677"/>
      <c r="I115" s="677"/>
      <c r="J115" s="677"/>
      <c r="K115" s="677"/>
      <c r="L115" s="677"/>
      <c r="M115" s="699"/>
      <c r="N115" s="1154"/>
      <c r="O115" s="1154"/>
      <c r="P115" s="558"/>
      <c r="Q115" s="559"/>
    </row>
    <row r="116" spans="1:17" ht="27.6">
      <c r="A116" s="527" t="s">
        <v>2561</v>
      </c>
      <c r="B116" s="528" t="s">
        <v>2788</v>
      </c>
      <c r="C116" s="529" t="str">
        <f>C117&amp;"(含)"&amp;"-"&amp;D117</f>
        <v>0(含)-5000</v>
      </c>
      <c r="D116" s="529" t="str">
        <f t="shared" ref="D116:M116" si="24">D117&amp;"(含)"&amp;"-"&amp;E117</f>
        <v>5000(含)-10000</v>
      </c>
      <c r="E116" s="529" t="str">
        <f t="shared" si="24"/>
        <v>10000(含)-20000</v>
      </c>
      <c r="F116" s="529" t="str">
        <f t="shared" si="24"/>
        <v>20000(含)-30000</v>
      </c>
      <c r="G116" s="529" t="str">
        <f t="shared" si="24"/>
        <v>30000(含)-</v>
      </c>
      <c r="H116" s="529" t="str">
        <f t="shared" si="24"/>
        <v>(含)-</v>
      </c>
      <c r="I116" s="529" t="str">
        <f t="shared" si="24"/>
        <v>(含)-</v>
      </c>
      <c r="J116" s="529" t="str">
        <f t="shared" si="24"/>
        <v>(含)-</v>
      </c>
      <c r="K116" s="529" t="str">
        <f t="shared" si="24"/>
        <v>(含)-</v>
      </c>
      <c r="L116" s="529" t="str">
        <f t="shared" si="24"/>
        <v>(含)-</v>
      </c>
      <c r="M116" s="529" t="str">
        <f t="shared" si="24"/>
        <v>(含)-</v>
      </c>
      <c r="N116" s="1153"/>
      <c r="O116" s="1153"/>
      <c r="P116" s="45"/>
      <c r="Q116" s="504"/>
    </row>
    <row r="117" spans="1:17">
      <c r="A117" s="534"/>
      <c r="B117" s="546"/>
      <c r="C117" s="595">
        <v>0</v>
      </c>
      <c r="D117" s="595">
        <v>5000</v>
      </c>
      <c r="E117" s="595">
        <v>10000</v>
      </c>
      <c r="F117" s="595">
        <v>20000</v>
      </c>
      <c r="G117" s="595">
        <v>30000</v>
      </c>
      <c r="H117" s="595"/>
      <c r="I117" s="595"/>
      <c r="J117" s="596"/>
      <c r="K117" s="596"/>
      <c r="L117" s="597"/>
      <c r="M117" s="598"/>
      <c r="N117" s="1153"/>
      <c r="O117" s="1153"/>
      <c r="P117" s="45"/>
      <c r="Q117" s="504"/>
    </row>
    <row r="118" spans="1:17" ht="14.4" thickBot="1">
      <c r="A118" s="534"/>
      <c r="B118" s="543"/>
      <c r="C118" s="570">
        <v>96</v>
      </c>
      <c r="D118" s="591">
        <v>98</v>
      </c>
      <c r="E118" s="591">
        <v>100</v>
      </c>
      <c r="F118" s="591">
        <v>98</v>
      </c>
      <c r="G118" s="591">
        <v>96</v>
      </c>
      <c r="H118" s="591"/>
      <c r="I118" s="591"/>
      <c r="J118" s="591"/>
      <c r="K118" s="591"/>
      <c r="L118" s="591"/>
      <c r="M118" s="592"/>
      <c r="N118" s="1154"/>
      <c r="O118" s="1154"/>
      <c r="P118" s="45"/>
      <c r="Q118" s="504"/>
    </row>
    <row r="119" spans="1:17" ht="15" thickTop="1">
      <c r="A119" s="599"/>
      <c r="B119" s="538" t="s">
        <v>2789</v>
      </c>
      <c r="C119" s="583"/>
      <c r="D119" s="583"/>
      <c r="E119" s="583"/>
      <c r="F119" s="583"/>
      <c r="G119" s="583"/>
      <c r="H119" s="583"/>
      <c r="I119" s="583"/>
      <c r="J119" s="583"/>
      <c r="K119" s="584"/>
      <c r="L119" s="585"/>
      <c r="M119" s="586"/>
      <c r="N119" s="1153"/>
      <c r="O119" s="1153"/>
      <c r="P119" s="45"/>
      <c r="Q119" s="504"/>
    </row>
    <row r="120" spans="1:17" ht="14.4"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4"/>
      <c r="O120" s="1154"/>
      <c r="P120" s="45"/>
      <c r="Q120" s="504"/>
    </row>
    <row r="121" spans="1:17" ht="15" thickTop="1">
      <c r="A121" s="599"/>
      <c r="B121" s="538" t="s">
        <v>2790</v>
      </c>
      <c r="C121" s="554"/>
      <c r="D121" s="554"/>
      <c r="E121" s="554"/>
      <c r="F121" s="583"/>
      <c r="G121" s="583"/>
      <c r="H121" s="583"/>
      <c r="I121" s="583"/>
      <c r="J121" s="583"/>
      <c r="K121" s="584"/>
      <c r="L121" s="585"/>
      <c r="M121" s="586"/>
      <c r="N121" s="1153"/>
      <c r="O121" s="1153"/>
      <c r="P121" s="45"/>
      <c r="Q121" s="504"/>
    </row>
    <row r="122" spans="1:17" ht="14.4"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4"/>
      <c r="O122" s="1154"/>
      <c r="P122" s="45"/>
      <c r="Q122" s="504"/>
    </row>
    <row r="123" spans="1:17" s="471" customFormat="1" ht="15" thickTop="1">
      <c r="A123" s="593"/>
      <c r="B123" s="538" t="s">
        <v>2791</v>
      </c>
      <c r="C123" s="554"/>
      <c r="D123" s="554"/>
      <c r="E123" s="554"/>
      <c r="F123" s="554"/>
      <c r="G123" s="554"/>
      <c r="H123" s="583"/>
      <c r="I123" s="583"/>
      <c r="J123" s="583"/>
      <c r="K123" s="584"/>
      <c r="L123" s="585"/>
      <c r="M123" s="586"/>
      <c r="N123" s="1155"/>
      <c r="O123" s="1155"/>
      <c r="P123" s="558"/>
      <c r="Q123" s="559"/>
    </row>
    <row r="124" spans="1:17" s="471" customFormat="1" ht="14.4"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5"/>
      <c r="O124" s="1155"/>
      <c r="P124" s="558"/>
      <c r="Q124" s="559"/>
    </row>
    <row r="125" spans="1:17" ht="15" thickTop="1">
      <c r="A125" s="599"/>
      <c r="B125" s="538" t="s">
        <v>2792</v>
      </c>
      <c r="C125" s="554"/>
      <c r="D125" s="554"/>
      <c r="E125" s="583"/>
      <c r="F125" s="583"/>
      <c r="G125" s="583"/>
      <c r="H125" s="583"/>
      <c r="I125" s="583"/>
      <c r="J125" s="583"/>
      <c r="K125" s="584"/>
      <c r="L125" s="585"/>
      <c r="M125" s="586"/>
      <c r="N125" s="1153"/>
      <c r="O125" s="1153"/>
      <c r="P125" s="45"/>
      <c r="Q125" s="504"/>
    </row>
    <row r="126" spans="1:17" ht="14.4"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4"/>
      <c r="O126" s="1154"/>
      <c r="P126" s="45"/>
      <c r="Q126" s="504"/>
    </row>
    <row r="127" spans="1:17" ht="14.4" thickTop="1">
      <c r="A127" s="599"/>
      <c r="B127" s="538">
        <f>B43</f>
        <v>111</v>
      </c>
      <c r="C127" s="554"/>
      <c r="D127" s="554"/>
      <c r="E127" s="554"/>
      <c r="F127" s="554"/>
      <c r="G127" s="554"/>
      <c r="H127" s="583"/>
      <c r="I127" s="583"/>
      <c r="J127" s="583"/>
      <c r="K127" s="584"/>
      <c r="L127" s="585"/>
      <c r="M127" s="586"/>
      <c r="N127" s="1153"/>
      <c r="O127" s="1153"/>
      <c r="P127" s="45"/>
      <c r="Q127" s="504"/>
    </row>
    <row r="128" spans="1:17" ht="14.4" thickBot="1">
      <c r="A128" s="534"/>
      <c r="B128" s="543"/>
      <c r="C128" s="560"/>
      <c r="D128" s="560"/>
      <c r="E128" s="560"/>
      <c r="F128" s="560"/>
      <c r="G128" s="536"/>
      <c r="H128" s="536"/>
      <c r="I128" s="536"/>
      <c r="J128" s="536"/>
      <c r="K128" s="536"/>
      <c r="L128" s="536"/>
      <c r="M128" s="537"/>
      <c r="N128" s="1154"/>
      <c r="O128" s="1154"/>
      <c r="P128" s="45"/>
      <c r="Q128" s="504"/>
    </row>
    <row r="129" spans="1:17" ht="14.4" thickTop="1">
      <c r="A129" s="599"/>
      <c r="B129" s="538">
        <f>B44</f>
        <v>111</v>
      </c>
      <c r="C129" s="523"/>
      <c r="D129" s="523"/>
      <c r="E129" s="523"/>
      <c r="F129" s="523"/>
      <c r="G129" s="583"/>
      <c r="H129" s="583"/>
      <c r="I129" s="583"/>
      <c r="J129" s="583"/>
      <c r="K129" s="584"/>
      <c r="L129" s="585"/>
      <c r="M129" s="586"/>
      <c r="N129" s="1153"/>
      <c r="O129" s="1153"/>
      <c r="P129" s="45"/>
      <c r="Q129" s="504"/>
    </row>
    <row r="130" spans="1:17" ht="14.4" thickBot="1">
      <c r="A130" s="534"/>
      <c r="B130" s="543"/>
      <c r="C130" s="570"/>
      <c r="D130" s="570"/>
      <c r="E130" s="570"/>
      <c r="F130" s="570"/>
      <c r="G130" s="536"/>
      <c r="H130" s="536"/>
      <c r="I130" s="536"/>
      <c r="J130" s="536"/>
      <c r="K130" s="536"/>
      <c r="L130" s="536"/>
      <c r="M130" s="537"/>
      <c r="N130" s="1154"/>
      <c r="O130" s="1154"/>
      <c r="P130" s="45"/>
      <c r="Q130" s="504"/>
    </row>
    <row r="131" spans="1:17" s="471" customFormat="1" ht="14.4"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4.4"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4.4">
      <c r="A4" s="401" t="s">
        <v>2643</v>
      </c>
      <c r="B4" s="402"/>
      <c r="C4" s="3607" t="s">
        <v>2644</v>
      </c>
      <c r="D4" s="3608"/>
      <c r="E4" s="3609" t="s">
        <v>2645</v>
      </c>
      <c r="F4" s="3610"/>
      <c r="G4" s="3607" t="s">
        <v>2646</v>
      </c>
      <c r="H4" s="3608"/>
      <c r="I4" s="3607" t="s">
        <v>2647</v>
      </c>
      <c r="J4" s="3608"/>
      <c r="K4" s="610" t="s">
        <v>2648</v>
      </c>
      <c r="L4" s="1131"/>
      <c r="M4" s="1132"/>
      <c r="N4" s="1132"/>
      <c r="O4" s="1132"/>
      <c r="P4" s="3611" t="s">
        <v>2649</v>
      </c>
      <c r="Q4" s="3612"/>
      <c r="R4" s="3594" t="s">
        <v>2645</v>
      </c>
      <c r="S4" s="3595"/>
      <c r="T4" s="3594" t="s">
        <v>2646</v>
      </c>
      <c r="U4" s="3595"/>
      <c r="V4" s="3619" t="s">
        <v>2647</v>
      </c>
      <c r="W4" s="3619"/>
      <c r="X4" s="1814"/>
      <c r="Y4" s="3594" t="s">
        <v>2649</v>
      </c>
      <c r="Z4" s="3595"/>
      <c r="AA4" s="3589" t="s">
        <v>2645</v>
      </c>
      <c r="AB4" s="3590" t="s">
        <v>2646</v>
      </c>
      <c r="AC4" s="3589" t="s">
        <v>2647</v>
      </c>
    </row>
    <row r="5" spans="1:29">
      <c r="A5" s="404"/>
      <c r="B5" s="405"/>
      <c r="C5" s="3600" t="s">
        <v>2540</v>
      </c>
      <c r="D5" s="3601"/>
      <c r="E5" s="3598" t="s">
        <v>2541</v>
      </c>
      <c r="F5" s="3599"/>
      <c r="G5" s="3600" t="s">
        <v>2542</v>
      </c>
      <c r="H5" s="3601"/>
      <c r="I5" s="3600" t="s">
        <v>2543</v>
      </c>
      <c r="J5" s="3601"/>
      <c r="K5" s="610"/>
      <c r="L5" s="1131"/>
      <c r="M5" s="1132"/>
      <c r="N5" s="1132"/>
      <c r="O5" s="1132"/>
      <c r="P5" s="3613"/>
      <c r="Q5" s="3614"/>
      <c r="R5" s="3596"/>
      <c r="S5" s="3597"/>
      <c r="T5" s="3596"/>
      <c r="U5" s="3597"/>
      <c r="V5" s="3619"/>
      <c r="W5" s="3619"/>
      <c r="X5" s="1814"/>
      <c r="Y5" s="3596"/>
      <c r="Z5" s="3597"/>
      <c r="AA5" s="3590"/>
      <c r="AB5" s="3590"/>
      <c r="AC5" s="3590"/>
    </row>
    <row r="6" spans="1:29" ht="15" thickBot="1">
      <c r="A6" s="406"/>
      <c r="B6" s="407"/>
      <c r="C6" s="3655" t="s">
        <v>2794</v>
      </c>
      <c r="D6" s="3656"/>
      <c r="E6" s="3657" t="s">
        <v>2794</v>
      </c>
      <c r="F6" s="3658"/>
      <c r="G6" s="3655" t="s">
        <v>2794</v>
      </c>
      <c r="H6" s="3656"/>
      <c r="I6" s="3655" t="s">
        <v>2794</v>
      </c>
      <c r="J6" s="3656"/>
      <c r="K6" s="610" t="s">
        <v>2545</v>
      </c>
      <c r="L6" s="1131"/>
      <c r="M6" s="1132"/>
      <c r="N6" s="1132"/>
      <c r="O6" s="1132"/>
      <c r="P6" s="3615"/>
      <c r="Q6" s="3616"/>
      <c r="R6" s="3596"/>
      <c r="S6" s="3597"/>
      <c r="T6" s="3617"/>
      <c r="U6" s="3618"/>
      <c r="V6" s="3619"/>
      <c r="W6" s="3619"/>
      <c r="X6" s="1814"/>
      <c r="Y6" s="3617"/>
      <c r="Z6" s="3618"/>
      <c r="AA6" s="3591"/>
      <c r="AB6" s="3591"/>
      <c r="AC6" s="3591"/>
    </row>
    <row r="7" spans="1:29" s="117" customFormat="1" ht="15" thickBot="1">
      <c r="A7" s="408" t="s">
        <v>2546</v>
      </c>
      <c r="B7" s="409"/>
      <c r="C7" s="410">
        <f>'数据-取费表'!B2</f>
        <v>43458</v>
      </c>
      <c r="D7" s="411">
        <v>100</v>
      </c>
      <c r="E7" s="412"/>
      <c r="F7" s="413">
        <f>SUMIF(65:65,YEAR(E7)&amp;"-"&amp;INT((MONTH(E7)+2)/3),66:66)</f>
        <v>0</v>
      </c>
      <c r="G7" s="2696"/>
      <c r="H7" s="411">
        <f>SUMIF(65:65,YEAR(G7)&amp;"-"&amp;INT((MONTH(G7)+2)/3),66:66)</f>
        <v>0</v>
      </c>
      <c r="I7" s="2696"/>
      <c r="J7" s="411">
        <f>SUMIF(65:65,YEAR(I7)&amp;"-"&amp;INT((MONTH(I7)+2)/3),66:66)</f>
        <v>0</v>
      </c>
      <c r="K7" s="611"/>
      <c r="L7" s="1133"/>
      <c r="M7" s="1134"/>
      <c r="N7" s="1134"/>
      <c r="O7" s="1134"/>
      <c r="P7" s="3592" t="s">
        <v>2547</v>
      </c>
      <c r="Q7" s="3620"/>
      <c r="R7" s="770" t="s">
        <v>17</v>
      </c>
      <c r="S7" s="771">
        <f t="shared" ref="S7:S15" si="0">F7</f>
        <v>0</v>
      </c>
      <c r="T7" s="770" t="s">
        <v>17</v>
      </c>
      <c r="U7" s="771">
        <f t="shared" ref="U7:U15" si="1">H7</f>
        <v>0</v>
      </c>
      <c r="V7" s="770" t="s">
        <v>17</v>
      </c>
      <c r="W7" s="771">
        <f t="shared" ref="W7:W15" si="2">J7</f>
        <v>0</v>
      </c>
      <c r="X7" s="772"/>
      <c r="Y7" s="3592" t="s">
        <v>2547</v>
      </c>
      <c r="Z7" s="3593"/>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592" t="s">
        <v>2550</v>
      </c>
      <c r="Q8" s="3593"/>
      <c r="R8" s="770" t="s">
        <v>17</v>
      </c>
      <c r="S8" s="771">
        <f t="shared" si="0"/>
        <v>0</v>
      </c>
      <c r="T8" s="770" t="s">
        <v>17</v>
      </c>
      <c r="U8" s="771">
        <f t="shared" si="1"/>
        <v>0</v>
      </c>
      <c r="V8" s="770" t="s">
        <v>17</v>
      </c>
      <c r="W8" s="771">
        <f t="shared" si="2"/>
        <v>0</v>
      </c>
      <c r="X8" s="772"/>
      <c r="Y8" s="3592" t="s">
        <v>2550</v>
      </c>
      <c r="Z8" s="3593"/>
      <c r="AA8" s="773" t="e">
        <f t="shared" ref="AA8:AA40" si="3">D8/F8</f>
        <v>#DIV/0!</v>
      </c>
      <c r="AB8" s="773" t="e">
        <f t="shared" ref="AB8:AB40" si="4">D8/H8</f>
        <v>#DIV/0!</v>
      </c>
      <c r="AC8" s="773" t="e">
        <f t="shared" ref="AC8:AC40" si="5">D8/J8</f>
        <v>#DIV/0!</v>
      </c>
    </row>
    <row r="9" spans="1:29" s="117" customFormat="1" ht="14.4">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3"/>
      <c r="M9" s="1134"/>
      <c r="N9" s="1134"/>
      <c r="O9" s="1135"/>
      <c r="P9" s="3624" t="s">
        <v>2553</v>
      </c>
      <c r="Q9" s="1796" t="str">
        <f t="shared" ref="Q9:Q15" si="6">B9</f>
        <v>用途</v>
      </c>
      <c r="R9" s="770" t="s">
        <v>17</v>
      </c>
      <c r="S9" s="771">
        <f t="shared" si="0"/>
        <v>100</v>
      </c>
      <c r="T9" s="770" t="s">
        <v>17</v>
      </c>
      <c r="U9" s="771">
        <f t="shared" si="1"/>
        <v>100</v>
      </c>
      <c r="V9" s="770" t="s">
        <v>17</v>
      </c>
      <c r="W9" s="771">
        <f t="shared" si="2"/>
        <v>100</v>
      </c>
      <c r="X9" s="772"/>
      <c r="Y9" s="3439"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 ca="1">ROUND(100/'数据-取费表'!G16,0)</f>
        <v>110</v>
      </c>
      <c r="G10" s="432"/>
      <c r="H10" s="136">
        <f ca="1">ROUND(100/'数据-取费表'!G16,0)</f>
        <v>110</v>
      </c>
      <c r="I10" s="432"/>
      <c r="J10" s="136">
        <f ca="1">ROUND(100/'数据-取费表'!G16,0)</f>
        <v>110</v>
      </c>
      <c r="K10" s="672"/>
      <c r="L10" s="1136"/>
      <c r="M10" s="1137"/>
      <c r="N10" s="1137"/>
      <c r="O10" s="1138"/>
      <c r="P10" s="3624"/>
      <c r="Q10" s="1796" t="str">
        <f t="shared" si="6"/>
        <v>土地使用年限（年）</v>
      </c>
      <c r="R10" s="770" t="s">
        <v>17</v>
      </c>
      <c r="S10" s="771">
        <f t="shared" ca="1" si="0"/>
        <v>110</v>
      </c>
      <c r="T10" s="770" t="s">
        <v>17</v>
      </c>
      <c r="U10" s="771">
        <f t="shared" ca="1" si="1"/>
        <v>110</v>
      </c>
      <c r="V10" s="770" t="s">
        <v>17</v>
      </c>
      <c r="W10" s="771">
        <f t="shared" ca="1" si="2"/>
        <v>110</v>
      </c>
      <c r="X10" s="772"/>
      <c r="Y10" s="3439"/>
      <c r="Z10" s="55" t="str">
        <f t="shared" si="7"/>
        <v>土地使用年限（年）</v>
      </c>
      <c r="AA10" s="773">
        <f t="shared" ca="1" si="3"/>
        <v>0.90909090909090906</v>
      </c>
      <c r="AB10" s="773">
        <f t="shared" ca="1" si="4"/>
        <v>0.90909090909090906</v>
      </c>
      <c r="AC10" s="773">
        <f t="shared" ca="1"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624"/>
      <c r="Q11" s="1796" t="str">
        <f t="shared" si="6"/>
        <v>容积率</v>
      </c>
      <c r="R11" s="770" t="s">
        <v>17</v>
      </c>
      <c r="S11" s="771" t="e">
        <f t="shared" si="0"/>
        <v>#N/A</v>
      </c>
      <c r="T11" s="770" t="s">
        <v>17</v>
      </c>
      <c r="U11" s="771" t="e">
        <f t="shared" si="1"/>
        <v>#N/A</v>
      </c>
      <c r="V11" s="770" t="s">
        <v>17</v>
      </c>
      <c r="W11" s="771" t="e">
        <f t="shared" si="2"/>
        <v>#N/A</v>
      </c>
      <c r="X11" s="772"/>
      <c r="Y11" s="343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624"/>
      <c r="Q12" s="1796">
        <f t="shared" si="6"/>
        <v>111</v>
      </c>
      <c r="R12" s="770" t="s">
        <v>17</v>
      </c>
      <c r="S12" s="771">
        <f t="shared" si="0"/>
        <v>100</v>
      </c>
      <c r="T12" s="770" t="s">
        <v>17</v>
      </c>
      <c r="U12" s="771">
        <f t="shared" si="1"/>
        <v>100</v>
      </c>
      <c r="V12" s="770" t="s">
        <v>17</v>
      </c>
      <c r="W12" s="771">
        <f t="shared" si="2"/>
        <v>100</v>
      </c>
      <c r="X12" s="772"/>
      <c r="Y12" s="343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624"/>
      <c r="Q13" s="1796">
        <f t="shared" si="6"/>
        <v>111</v>
      </c>
      <c r="R13" s="770" t="s">
        <v>17</v>
      </c>
      <c r="S13" s="771">
        <f t="shared" si="0"/>
        <v>100</v>
      </c>
      <c r="T13" s="770" t="s">
        <v>17</v>
      </c>
      <c r="U13" s="771">
        <f t="shared" si="1"/>
        <v>100</v>
      </c>
      <c r="V13" s="770" t="s">
        <v>17</v>
      </c>
      <c r="W13" s="771">
        <f t="shared" si="2"/>
        <v>100</v>
      </c>
      <c r="X13" s="772"/>
      <c r="Y13" s="3439"/>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624"/>
      <c r="Q14" s="1796">
        <f t="shared" si="6"/>
        <v>111</v>
      </c>
      <c r="R14" s="770" t="s">
        <v>17</v>
      </c>
      <c r="S14" s="771">
        <f t="shared" si="0"/>
        <v>100</v>
      </c>
      <c r="T14" s="770" t="s">
        <v>17</v>
      </c>
      <c r="U14" s="771">
        <f t="shared" si="1"/>
        <v>100</v>
      </c>
      <c r="V14" s="770" t="s">
        <v>17</v>
      </c>
      <c r="W14" s="771">
        <f t="shared" si="2"/>
        <v>100</v>
      </c>
      <c r="X14" s="772"/>
      <c r="Y14" s="3439"/>
      <c r="Z14" s="55">
        <f t="shared" si="7"/>
        <v>111</v>
      </c>
      <c r="AA14" s="773">
        <f t="shared" si="3"/>
        <v>1</v>
      </c>
      <c r="AB14" s="773">
        <f t="shared" si="4"/>
        <v>1</v>
      </c>
      <c r="AC14" s="773">
        <f t="shared" si="5"/>
        <v>1</v>
      </c>
    </row>
    <row r="15" spans="1:29" ht="69">
      <c r="A15" s="440" t="s">
        <v>2557</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626" t="s">
        <v>2558</v>
      </c>
      <c r="Q15" s="1811" t="str">
        <f t="shared" si="6"/>
        <v>产业集聚程度</v>
      </c>
      <c r="R15" s="774" t="s">
        <v>17</v>
      </c>
      <c r="S15" s="775">
        <f t="shared" si="0"/>
        <v>100</v>
      </c>
      <c r="T15" s="774" t="s">
        <v>17</v>
      </c>
      <c r="U15" s="775">
        <f t="shared" si="1"/>
        <v>100</v>
      </c>
      <c r="V15" s="774" t="s">
        <v>17</v>
      </c>
      <c r="W15" s="775">
        <f t="shared" si="2"/>
        <v>100</v>
      </c>
      <c r="X15" s="1814"/>
      <c r="Y15" s="3626" t="s">
        <v>2558</v>
      </c>
      <c r="Z15" s="1815" t="str">
        <f t="shared" si="7"/>
        <v>产业集聚程度</v>
      </c>
      <c r="AA15" s="1812">
        <f t="shared" si="3"/>
        <v>1</v>
      </c>
      <c r="AB15" s="1812">
        <f t="shared" si="4"/>
        <v>1</v>
      </c>
      <c r="AC15" s="1812">
        <f t="shared" si="5"/>
        <v>1</v>
      </c>
    </row>
    <row r="16" spans="1:29" ht="15">
      <c r="A16" s="428"/>
      <c r="B16" s="630"/>
      <c r="C16" s="447"/>
      <c r="D16" s="448"/>
      <c r="E16" s="2611"/>
      <c r="F16" s="448"/>
      <c r="G16" s="2611"/>
      <c r="H16" s="450"/>
      <c r="I16" s="2611"/>
      <c r="J16" s="448"/>
      <c r="K16" s="672"/>
      <c r="L16" s="1141"/>
      <c r="M16" s="1132"/>
      <c r="N16" s="1132"/>
      <c r="O16" s="1140"/>
      <c r="P16" s="3627"/>
      <c r="Q16" s="1811"/>
      <c r="R16" s="774"/>
      <c r="S16" s="775"/>
      <c r="T16" s="774"/>
      <c r="U16" s="775"/>
      <c r="V16" s="774"/>
      <c r="W16" s="775"/>
      <c r="X16" s="1814"/>
      <c r="Y16" s="3627"/>
      <c r="Z16" s="1815"/>
      <c r="AA16" s="1812">
        <v>1</v>
      </c>
      <c r="AB16" s="1812">
        <v>1</v>
      </c>
      <c r="AC16" s="1812">
        <v>1</v>
      </c>
    </row>
    <row r="17" spans="1:29" ht="96.6">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627"/>
      <c r="Q17" s="1811" t="str">
        <f>B17</f>
        <v>交通便捷度</v>
      </c>
      <c r="R17" s="774" t="s">
        <v>17</v>
      </c>
      <c r="S17" s="775">
        <f>F17</f>
        <v>100</v>
      </c>
      <c r="T17" s="774" t="s">
        <v>17</v>
      </c>
      <c r="U17" s="775">
        <f>H17</f>
        <v>100</v>
      </c>
      <c r="V17" s="774" t="s">
        <v>17</v>
      </c>
      <c r="W17" s="775">
        <f>J17</f>
        <v>100</v>
      </c>
      <c r="X17" s="1814"/>
      <c r="Y17" s="3627"/>
      <c r="Z17" s="1815" t="str">
        <f>Q17</f>
        <v>交通便捷度</v>
      </c>
      <c r="AA17" s="1812">
        <f t="shared" si="3"/>
        <v>1</v>
      </c>
      <c r="AB17" s="1812">
        <f t="shared" si="4"/>
        <v>1</v>
      </c>
      <c r="AC17" s="1812">
        <f t="shared" si="5"/>
        <v>1</v>
      </c>
    </row>
    <row r="18" spans="1:29" ht="15">
      <c r="A18" s="428"/>
      <c r="B18" s="632"/>
      <c r="C18" s="447"/>
      <c r="D18" s="448"/>
      <c r="E18" s="2605"/>
      <c r="F18" s="448"/>
      <c r="G18" s="2605"/>
      <c r="H18" s="448"/>
      <c r="I18" s="2604"/>
      <c r="J18" s="448"/>
      <c r="K18" s="672"/>
      <c r="L18" s="1141"/>
      <c r="M18" s="1132"/>
      <c r="N18" s="1132"/>
      <c r="O18" s="1140"/>
      <c r="P18" s="3627"/>
      <c r="Q18" s="1811"/>
      <c r="R18" s="774"/>
      <c r="S18" s="775"/>
      <c r="T18" s="774"/>
      <c r="U18" s="775"/>
      <c r="V18" s="774"/>
      <c r="W18" s="775"/>
      <c r="X18" s="1814"/>
      <c r="Y18" s="3627"/>
      <c r="Z18" s="1815"/>
      <c r="AA18" s="1812">
        <v>1</v>
      </c>
      <c r="AB18" s="1812">
        <v>1</v>
      </c>
      <c r="AC18" s="1812">
        <v>1</v>
      </c>
    </row>
    <row r="19" spans="1:29" ht="28.8">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627"/>
      <c r="Q19" s="1811" t="str">
        <f t="shared" ref="Q19:Q33" si="8">B19</f>
        <v>区域土地利用方向</v>
      </c>
      <c r="R19" s="774" t="s">
        <v>17</v>
      </c>
      <c r="S19" s="775">
        <f>F19</f>
        <v>100</v>
      </c>
      <c r="T19" s="774" t="s">
        <v>17</v>
      </c>
      <c r="U19" s="775">
        <f>H19</f>
        <v>100</v>
      </c>
      <c r="V19" s="774" t="s">
        <v>17</v>
      </c>
      <c r="W19" s="775">
        <f>J19</f>
        <v>100</v>
      </c>
      <c r="X19" s="1814"/>
      <c r="Y19" s="3627"/>
      <c r="Z19" s="1815" t="str">
        <f>Q19</f>
        <v>区域土地利用方向</v>
      </c>
      <c r="AA19" s="1812">
        <f t="shared" si="3"/>
        <v>1</v>
      </c>
      <c r="AB19" s="1812">
        <f t="shared" si="4"/>
        <v>1</v>
      </c>
      <c r="AC19" s="1812">
        <f t="shared" si="5"/>
        <v>1</v>
      </c>
    </row>
    <row r="20" spans="1:29" ht="15">
      <c r="A20" s="404"/>
      <c r="B20" s="632"/>
      <c r="C20" s="447"/>
      <c r="D20" s="448"/>
      <c r="E20" s="2605"/>
      <c r="F20" s="448"/>
      <c r="G20" s="2605"/>
      <c r="H20" s="448"/>
      <c r="I20" s="2605"/>
      <c r="J20" s="448"/>
      <c r="K20" s="810"/>
      <c r="L20" s="1141"/>
      <c r="M20" s="1132"/>
      <c r="N20" s="1132"/>
      <c r="O20" s="1140"/>
      <c r="P20" s="3627"/>
      <c r="Q20" s="1811"/>
      <c r="R20" s="774"/>
      <c r="S20" s="775"/>
      <c r="T20" s="774"/>
      <c r="U20" s="775"/>
      <c r="V20" s="774"/>
      <c r="W20" s="775"/>
      <c r="X20" s="1814"/>
      <c r="Y20" s="3627"/>
      <c r="Z20" s="1815"/>
      <c r="AA20" s="1812"/>
      <c r="AB20" s="1812"/>
      <c r="AC20" s="1812"/>
    </row>
    <row r="21" spans="1:29" ht="82.8">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627"/>
      <c r="Q21" s="1811" t="str">
        <f t="shared" si="8"/>
        <v>环境状况</v>
      </c>
      <c r="R21" s="774" t="s">
        <v>17</v>
      </c>
      <c r="S21" s="775">
        <f>F21</f>
        <v>100</v>
      </c>
      <c r="T21" s="774" t="s">
        <v>17</v>
      </c>
      <c r="U21" s="775">
        <f>H21</f>
        <v>100</v>
      </c>
      <c r="V21" s="774" t="s">
        <v>17</v>
      </c>
      <c r="W21" s="775">
        <f>J21</f>
        <v>100</v>
      </c>
      <c r="X21" s="1814"/>
      <c r="Y21" s="3627"/>
      <c r="Z21" s="1815" t="str">
        <f>Q21</f>
        <v>环境状况</v>
      </c>
      <c r="AA21" s="1812">
        <f t="shared" si="3"/>
        <v>1</v>
      </c>
      <c r="AB21" s="1812">
        <f t="shared" si="4"/>
        <v>1</v>
      </c>
      <c r="AC21" s="1812">
        <f t="shared" si="5"/>
        <v>1</v>
      </c>
    </row>
    <row r="22" spans="1:29" ht="15">
      <c r="A22" s="404"/>
      <c r="B22" s="632"/>
      <c r="C22" s="447"/>
      <c r="D22" s="448"/>
      <c r="E22" s="2611"/>
      <c r="F22" s="448"/>
      <c r="G22" s="2611"/>
      <c r="H22" s="448"/>
      <c r="I22" s="447"/>
      <c r="J22" s="448"/>
      <c r="K22" s="672"/>
      <c r="L22" s="1141"/>
      <c r="M22" s="1132"/>
      <c r="N22" s="1132"/>
      <c r="O22" s="1140"/>
      <c r="P22" s="3627"/>
      <c r="Q22" s="1811"/>
      <c r="R22" s="774"/>
      <c r="S22" s="775"/>
      <c r="T22" s="774"/>
      <c r="U22" s="775"/>
      <c r="V22" s="774"/>
      <c r="W22" s="775"/>
      <c r="X22" s="1814"/>
      <c r="Y22" s="3627"/>
      <c r="Z22" s="1815"/>
      <c r="AA22" s="1812">
        <v>1</v>
      </c>
      <c r="AB22" s="1812">
        <v>1</v>
      </c>
      <c r="AC22" s="1812">
        <v>1</v>
      </c>
    </row>
    <row r="23" spans="1:29" s="117" customFormat="1" ht="41.4">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627"/>
      <c r="Q23" s="1796" t="str">
        <f t="shared" si="8"/>
        <v>公共配套设施</v>
      </c>
      <c r="R23" s="770" t="s">
        <v>17</v>
      </c>
      <c r="S23" s="771">
        <f>F23</f>
        <v>100</v>
      </c>
      <c r="T23" s="770" t="s">
        <v>17</v>
      </c>
      <c r="U23" s="771">
        <f>H23</f>
        <v>100</v>
      </c>
      <c r="V23" s="770" t="s">
        <v>17</v>
      </c>
      <c r="W23" s="771">
        <f>J23</f>
        <v>100</v>
      </c>
      <c r="X23" s="772"/>
      <c r="Y23" s="3627"/>
      <c r="Z23" s="55" t="str">
        <f>Q23</f>
        <v>公共配套设施</v>
      </c>
      <c r="AA23" s="1812">
        <f>D23/F23</f>
        <v>1</v>
      </c>
      <c r="AB23" s="1812">
        <f>D23/H23</f>
        <v>1</v>
      </c>
      <c r="AC23" s="1812">
        <f>D23/J23</f>
        <v>1</v>
      </c>
    </row>
    <row r="24" spans="1:29" s="117" customFormat="1" ht="15">
      <c r="A24" s="649"/>
      <c r="B24" s="632"/>
      <c r="C24" s="2700"/>
      <c r="D24" s="448"/>
      <c r="E24" s="2611"/>
      <c r="F24" s="448"/>
      <c r="G24" s="2611"/>
      <c r="H24" s="448"/>
      <c r="I24" s="447"/>
      <c r="J24" s="448"/>
      <c r="K24" s="672"/>
      <c r="L24" s="1133"/>
      <c r="M24" s="1134"/>
      <c r="N24" s="1134"/>
      <c r="O24" s="1135"/>
      <c r="P24" s="3627"/>
      <c r="Q24" s="1796"/>
      <c r="R24" s="770"/>
      <c r="S24" s="771"/>
      <c r="T24" s="770"/>
      <c r="U24" s="771"/>
      <c r="V24" s="770"/>
      <c r="W24" s="771"/>
      <c r="X24" s="772"/>
      <c r="Y24" s="3627"/>
      <c r="Z24" s="55"/>
      <c r="AA24" s="773">
        <v>1</v>
      </c>
      <c r="AB24" s="773">
        <v>1</v>
      </c>
      <c r="AC24" s="773">
        <v>1</v>
      </c>
    </row>
    <row r="25" spans="1:29" s="117" customFormat="1" ht="41.4">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627"/>
      <c r="Q25" s="1796" t="str">
        <f>B25</f>
        <v>基础设施水平</v>
      </c>
      <c r="R25" s="770" t="s">
        <v>17</v>
      </c>
      <c r="S25" s="771">
        <f>F25</f>
        <v>100</v>
      </c>
      <c r="T25" s="770" t="s">
        <v>17</v>
      </c>
      <c r="U25" s="771">
        <f>H25</f>
        <v>100</v>
      </c>
      <c r="V25" s="770" t="s">
        <v>17</v>
      </c>
      <c r="W25" s="771">
        <f>J25</f>
        <v>100</v>
      </c>
      <c r="X25" s="772"/>
      <c r="Y25" s="3627"/>
      <c r="Z25" s="55" t="str">
        <f>Q25</f>
        <v>基础设施水平</v>
      </c>
      <c r="AA25" s="1812">
        <f>D25/F25</f>
        <v>1</v>
      </c>
      <c r="AB25" s="1812">
        <f>D25/H25</f>
        <v>1</v>
      </c>
      <c r="AC25" s="1812">
        <f>D25/J25</f>
        <v>1</v>
      </c>
    </row>
    <row r="26" spans="1:29" s="117" customFormat="1" ht="15">
      <c r="A26" s="649"/>
      <c r="B26" s="632"/>
      <c r="C26" s="2700"/>
      <c r="D26" s="448"/>
      <c r="E26" s="2701"/>
      <c r="F26" s="448"/>
      <c r="G26" s="2701"/>
      <c r="H26" s="448"/>
      <c r="I26" s="2701"/>
      <c r="J26" s="448"/>
      <c r="K26" s="672"/>
      <c r="L26" s="1133"/>
      <c r="M26" s="1134"/>
      <c r="N26" s="1134"/>
      <c r="O26" s="1135"/>
      <c r="P26" s="3627"/>
      <c r="Q26" s="1796"/>
      <c r="R26" s="770"/>
      <c r="S26" s="771"/>
      <c r="T26" s="770"/>
      <c r="U26" s="771"/>
      <c r="V26" s="770"/>
      <c r="W26" s="771"/>
      <c r="X26" s="772"/>
      <c r="Y26" s="3627"/>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627"/>
      <c r="Q27" s="1811" t="str">
        <f t="shared" si="8"/>
        <v>临街状况</v>
      </c>
      <c r="R27" s="774" t="s">
        <v>17</v>
      </c>
      <c r="S27" s="775">
        <f t="shared" ref="S27:S40" si="9">F27</f>
        <v>100</v>
      </c>
      <c r="T27" s="774" t="s">
        <v>17</v>
      </c>
      <c r="U27" s="775">
        <f t="shared" ref="U27:U40" si="10">H27</f>
        <v>100</v>
      </c>
      <c r="V27" s="774" t="s">
        <v>17</v>
      </c>
      <c r="W27" s="775">
        <f t="shared" ref="W27:W40" si="11">J27</f>
        <v>100</v>
      </c>
      <c r="X27" s="1814"/>
      <c r="Y27" s="3627"/>
      <c r="Z27" s="1815" t="str">
        <f t="shared" ref="Z27:Z40" si="12">Q27</f>
        <v>临街状况</v>
      </c>
      <c r="AA27" s="1812">
        <f t="shared" si="3"/>
        <v>1</v>
      </c>
      <c r="AB27" s="1812">
        <f t="shared" si="4"/>
        <v>1</v>
      </c>
      <c r="AC27" s="1812">
        <f t="shared" si="5"/>
        <v>1</v>
      </c>
    </row>
    <row r="28" spans="1:29" ht="28.8">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627"/>
      <c r="Q28" s="1811" t="str">
        <f t="shared" si="8"/>
        <v>毗邻道路的类型与等级</v>
      </c>
      <c r="R28" s="774" t="s">
        <v>17</v>
      </c>
      <c r="S28" s="775">
        <f t="shared" si="9"/>
        <v>100</v>
      </c>
      <c r="T28" s="774" t="s">
        <v>17</v>
      </c>
      <c r="U28" s="775">
        <f t="shared" si="10"/>
        <v>100</v>
      </c>
      <c r="V28" s="774" t="s">
        <v>17</v>
      </c>
      <c r="W28" s="775">
        <f t="shared" si="11"/>
        <v>100</v>
      </c>
      <c r="X28" s="1814"/>
      <c r="Y28" s="3627"/>
      <c r="Z28" s="1815" t="str">
        <f t="shared" si="12"/>
        <v>毗邻道路的类型与等级</v>
      </c>
      <c r="AA28" s="1812">
        <f t="shared" si="3"/>
        <v>1</v>
      </c>
      <c r="AB28" s="1812">
        <f t="shared" si="4"/>
        <v>1</v>
      </c>
      <c r="AC28" s="1812">
        <f t="shared" si="5"/>
        <v>1</v>
      </c>
    </row>
    <row r="29" spans="1:29" ht="15">
      <c r="A29" s="428"/>
      <c r="B29" s="632"/>
      <c r="C29" s="447"/>
      <c r="D29" s="448"/>
      <c r="E29" s="2611"/>
      <c r="F29" s="448"/>
      <c r="G29" s="2611"/>
      <c r="H29" s="448"/>
      <c r="I29" s="2611"/>
      <c r="J29" s="448"/>
      <c r="K29" s="613"/>
      <c r="L29" s="1141"/>
      <c r="M29" s="1132"/>
      <c r="N29" s="1132"/>
      <c r="O29" s="1140"/>
      <c r="P29" s="3627"/>
      <c r="Q29" s="1811"/>
      <c r="R29" s="774"/>
      <c r="S29" s="775"/>
      <c r="T29" s="774"/>
      <c r="U29" s="775"/>
      <c r="V29" s="774"/>
      <c r="W29" s="775"/>
      <c r="X29" s="1814"/>
      <c r="Y29" s="3627"/>
      <c r="Z29" s="1815"/>
      <c r="AA29" s="1812">
        <v>1</v>
      </c>
      <c r="AB29" s="1812">
        <v>1</v>
      </c>
      <c r="AC29" s="1812">
        <v>1</v>
      </c>
    </row>
    <row r="30" spans="1:29" ht="15">
      <c r="A30" s="428"/>
      <c r="B30" s="654" t="s">
        <v>2748</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627"/>
      <c r="Q30" s="1811" t="str">
        <f t="shared" si="8"/>
        <v>土地级别</v>
      </c>
      <c r="R30" s="774" t="s">
        <v>17</v>
      </c>
      <c r="S30" s="775">
        <f t="shared" si="9"/>
        <v>100</v>
      </c>
      <c r="T30" s="774" t="s">
        <v>17</v>
      </c>
      <c r="U30" s="775">
        <f t="shared" si="10"/>
        <v>100</v>
      </c>
      <c r="V30" s="774" t="s">
        <v>17</v>
      </c>
      <c r="W30" s="775">
        <f t="shared" si="11"/>
        <v>100</v>
      </c>
      <c r="X30" s="1814"/>
      <c r="Y30" s="3627"/>
      <c r="Z30" s="1815" t="str">
        <f t="shared" si="12"/>
        <v>土地级别</v>
      </c>
      <c r="AA30" s="1812">
        <f t="shared" si="3"/>
        <v>1</v>
      </c>
      <c r="AB30" s="1812">
        <f t="shared" si="4"/>
        <v>1</v>
      </c>
      <c r="AC30" s="1812">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627"/>
      <c r="Q31" s="1811">
        <f t="shared" si="8"/>
        <v>111</v>
      </c>
      <c r="R31" s="774" t="s">
        <v>17</v>
      </c>
      <c r="S31" s="775">
        <f t="shared" si="9"/>
        <v>100</v>
      </c>
      <c r="T31" s="774" t="s">
        <v>17</v>
      </c>
      <c r="U31" s="775">
        <f t="shared" si="10"/>
        <v>100</v>
      </c>
      <c r="V31" s="774" t="s">
        <v>17</v>
      </c>
      <c r="W31" s="775">
        <f t="shared" si="11"/>
        <v>100</v>
      </c>
      <c r="X31" s="1814"/>
      <c r="Y31" s="3627"/>
      <c r="Z31" s="1815">
        <f t="shared" si="12"/>
        <v>111</v>
      </c>
      <c r="AA31" s="1812">
        <f t="shared" si="3"/>
        <v>1</v>
      </c>
      <c r="AB31" s="1812">
        <f t="shared" si="4"/>
        <v>1</v>
      </c>
      <c r="AC31" s="1812">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650" t="s">
        <v>2563</v>
      </c>
      <c r="Q32" s="1811">
        <f t="shared" si="8"/>
        <v>111</v>
      </c>
      <c r="R32" s="774" t="s">
        <v>17</v>
      </c>
      <c r="S32" s="775">
        <f t="shared" si="9"/>
        <v>100</v>
      </c>
      <c r="T32" s="774" t="s">
        <v>17</v>
      </c>
      <c r="U32" s="775">
        <f t="shared" si="10"/>
        <v>100</v>
      </c>
      <c r="V32" s="774" t="s">
        <v>17</v>
      </c>
      <c r="W32" s="775">
        <f t="shared" si="11"/>
        <v>100</v>
      </c>
      <c r="X32" s="1814"/>
      <c r="Y32" s="3631" t="s">
        <v>2563</v>
      </c>
      <c r="Z32" s="1815">
        <f t="shared" si="12"/>
        <v>111</v>
      </c>
      <c r="AA32" s="1812">
        <f t="shared" si="3"/>
        <v>1</v>
      </c>
      <c r="AB32" s="1812">
        <f t="shared" si="4"/>
        <v>1</v>
      </c>
      <c r="AC32" s="1812">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631"/>
      <c r="Q33" s="1811">
        <f t="shared" si="8"/>
        <v>111</v>
      </c>
      <c r="R33" s="777" t="s">
        <v>17</v>
      </c>
      <c r="S33" s="778">
        <f t="shared" si="9"/>
        <v>100</v>
      </c>
      <c r="T33" s="777" t="s">
        <v>17</v>
      </c>
      <c r="U33" s="778">
        <f t="shared" si="10"/>
        <v>100</v>
      </c>
      <c r="V33" s="777" t="s">
        <v>17</v>
      </c>
      <c r="W33" s="778">
        <f t="shared" si="11"/>
        <v>100</v>
      </c>
      <c r="X33" s="779"/>
      <c r="Y33" s="3631"/>
      <c r="Z33" s="780">
        <f t="shared" si="12"/>
        <v>111</v>
      </c>
      <c r="AA33" s="1812">
        <f t="shared" si="3"/>
        <v>1</v>
      </c>
      <c r="AB33" s="1812">
        <f t="shared" si="4"/>
        <v>1</v>
      </c>
      <c r="AC33" s="1812">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631"/>
      <c r="Q34" s="1811" t="str">
        <f>B34</f>
        <v>宗地面积</v>
      </c>
      <c r="R34" s="774" t="s">
        <v>17</v>
      </c>
      <c r="S34" s="775" t="e">
        <f t="shared" si="9"/>
        <v>#N/A</v>
      </c>
      <c r="T34" s="774" t="s">
        <v>17</v>
      </c>
      <c r="U34" s="775" t="e">
        <f t="shared" si="10"/>
        <v>#N/A</v>
      </c>
      <c r="V34" s="774" t="s">
        <v>17</v>
      </c>
      <c r="W34" s="775" t="e">
        <f t="shared" si="11"/>
        <v>#N/A</v>
      </c>
      <c r="X34" s="1814"/>
      <c r="Y34" s="3631"/>
      <c r="Z34" s="1815" t="str">
        <f t="shared" si="12"/>
        <v>宗地面积</v>
      </c>
      <c r="AA34" s="1812" t="e">
        <f t="shared" si="3"/>
        <v>#N/A</v>
      </c>
      <c r="AB34" s="1812" t="e">
        <f t="shared" si="4"/>
        <v>#N/A</v>
      </c>
      <c r="AC34" s="1812"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1"/>
      <c r="M35" s="1132"/>
      <c r="N35" s="1132"/>
      <c r="O35" s="1140"/>
      <c r="P35" s="3631"/>
      <c r="Q35" s="1811" t="str">
        <f t="shared" ref="Q35:Q40" si="13">B35</f>
        <v>宗地形状</v>
      </c>
      <c r="R35" s="774" t="s">
        <v>17</v>
      </c>
      <c r="S35" s="775">
        <f t="shared" si="9"/>
        <v>100</v>
      </c>
      <c r="T35" s="774" t="s">
        <v>17</v>
      </c>
      <c r="U35" s="775">
        <f t="shared" si="10"/>
        <v>100</v>
      </c>
      <c r="V35" s="774" t="s">
        <v>17</v>
      </c>
      <c r="W35" s="775">
        <f t="shared" si="11"/>
        <v>100</v>
      </c>
      <c r="X35" s="1814"/>
      <c r="Y35" s="3631"/>
      <c r="Z35" s="1815" t="str">
        <f t="shared" si="12"/>
        <v>宗地形状</v>
      </c>
      <c r="AA35" s="1812">
        <f t="shared" si="3"/>
        <v>1</v>
      </c>
      <c r="AB35" s="1812">
        <f t="shared" si="4"/>
        <v>1</v>
      </c>
      <c r="AC35" s="1812">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3"/>
      <c r="M36" s="1134"/>
      <c r="N36" s="1134"/>
      <c r="O36" s="1135"/>
      <c r="P36" s="3631"/>
      <c r="Q36" s="1811" t="str">
        <f t="shared" si="13"/>
        <v>宗地开发程度</v>
      </c>
      <c r="R36" s="770" t="s">
        <v>17</v>
      </c>
      <c r="S36" s="771">
        <f t="shared" si="9"/>
        <v>100</v>
      </c>
      <c r="T36" s="770" t="s">
        <v>17</v>
      </c>
      <c r="U36" s="771">
        <f t="shared" si="10"/>
        <v>100</v>
      </c>
      <c r="V36" s="770" t="s">
        <v>17</v>
      </c>
      <c r="W36" s="771">
        <f t="shared" si="11"/>
        <v>100</v>
      </c>
      <c r="X36" s="772"/>
      <c r="Y36" s="3631"/>
      <c r="Z36" s="55" t="str">
        <f t="shared" si="12"/>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1"/>
      <c r="M37" s="1132"/>
      <c r="N37" s="1132"/>
      <c r="O37" s="1140"/>
      <c r="P37" s="3631" t="s">
        <v>2563</v>
      </c>
      <c r="Q37" s="1811" t="str">
        <f t="shared" si="13"/>
        <v>工程地质条件</v>
      </c>
      <c r="R37" s="774" t="s">
        <v>17</v>
      </c>
      <c r="S37" s="775">
        <f t="shared" si="9"/>
        <v>100</v>
      </c>
      <c r="T37" s="774" t="s">
        <v>17</v>
      </c>
      <c r="U37" s="775">
        <f t="shared" si="10"/>
        <v>100</v>
      </c>
      <c r="V37" s="774" t="s">
        <v>17</v>
      </c>
      <c r="W37" s="775">
        <f t="shared" si="11"/>
        <v>100</v>
      </c>
      <c r="X37" s="1814"/>
      <c r="Y37" s="3631" t="s">
        <v>2563</v>
      </c>
      <c r="Z37" s="1815" t="str">
        <f t="shared" si="12"/>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631"/>
      <c r="Q38" s="1811">
        <f t="shared" si="13"/>
        <v>111</v>
      </c>
      <c r="R38" s="774" t="s">
        <v>17</v>
      </c>
      <c r="S38" s="775">
        <f t="shared" si="9"/>
        <v>100</v>
      </c>
      <c r="T38" s="774" t="s">
        <v>17</v>
      </c>
      <c r="U38" s="775">
        <f t="shared" si="10"/>
        <v>100</v>
      </c>
      <c r="V38" s="774" t="s">
        <v>17</v>
      </c>
      <c r="W38" s="775">
        <f t="shared" si="11"/>
        <v>100</v>
      </c>
      <c r="X38" s="1814"/>
      <c r="Y38" s="3631"/>
      <c r="Z38" s="1815">
        <f t="shared" si="12"/>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631"/>
      <c r="Q39" s="1811">
        <f t="shared" si="13"/>
        <v>111</v>
      </c>
      <c r="R39" s="774" t="s">
        <v>17</v>
      </c>
      <c r="S39" s="775">
        <f t="shared" si="9"/>
        <v>100</v>
      </c>
      <c r="T39" s="774" t="s">
        <v>17</v>
      </c>
      <c r="U39" s="775">
        <f t="shared" si="10"/>
        <v>100</v>
      </c>
      <c r="V39" s="774" t="s">
        <v>17</v>
      </c>
      <c r="W39" s="775">
        <f t="shared" si="11"/>
        <v>100</v>
      </c>
      <c r="X39" s="1814"/>
      <c r="Y39" s="3631"/>
      <c r="Z39" s="1815">
        <f t="shared" si="12"/>
        <v>111</v>
      </c>
      <c r="AA39" s="1812">
        <f t="shared" si="3"/>
        <v>1</v>
      </c>
      <c r="AB39" s="1812">
        <f t="shared" si="4"/>
        <v>1</v>
      </c>
      <c r="AC39" s="1812">
        <f t="shared" si="5"/>
        <v>1</v>
      </c>
    </row>
    <row r="40" spans="1:29" s="471" customFormat="1" ht="15.6"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631"/>
      <c r="Q40" s="1811">
        <f t="shared" si="13"/>
        <v>111</v>
      </c>
      <c r="R40" s="777" t="s">
        <v>17</v>
      </c>
      <c r="S40" s="778">
        <f t="shared" si="9"/>
        <v>100</v>
      </c>
      <c r="T40" s="777" t="s">
        <v>17</v>
      </c>
      <c r="U40" s="778">
        <f t="shared" si="10"/>
        <v>100</v>
      </c>
      <c r="V40" s="777" t="s">
        <v>17</v>
      </c>
      <c r="W40" s="778">
        <f t="shared" si="11"/>
        <v>100</v>
      </c>
      <c r="X40" s="779"/>
      <c r="Y40" s="3631"/>
      <c r="Z40" s="780">
        <f t="shared" si="12"/>
        <v>111</v>
      </c>
      <c r="AA40" s="1812">
        <f t="shared" si="3"/>
        <v>1</v>
      </c>
      <c r="AB40" s="1812">
        <f t="shared" si="4"/>
        <v>1</v>
      </c>
      <c r="AC40" s="1812">
        <f t="shared" si="5"/>
        <v>1</v>
      </c>
    </row>
    <row r="41" spans="1:29" ht="14.4">
      <c r="A41" s="479" t="s">
        <v>2718</v>
      </c>
      <c r="B41" s="2704" t="s">
        <v>2797</v>
      </c>
      <c r="C41" s="682" t="s">
        <v>1</v>
      </c>
      <c r="D41" s="481"/>
      <c r="E41" s="482"/>
      <c r="F41" s="483"/>
      <c r="G41" s="484"/>
      <c r="H41" s="485"/>
      <c r="I41" s="482"/>
      <c r="J41" s="485"/>
      <c r="K41" s="783"/>
      <c r="L41" s="1144"/>
      <c r="M41" s="1132"/>
      <c r="N41" s="1132"/>
      <c r="O41" s="1145"/>
      <c r="P41" s="3624" t="str">
        <f>A41</f>
        <v>成交单价</v>
      </c>
      <c r="Q41" s="3624"/>
      <c r="R41" s="3619">
        <f>E41</f>
        <v>0</v>
      </c>
      <c r="S41" s="3619"/>
      <c r="T41" s="3619">
        <f>G41</f>
        <v>0</v>
      </c>
      <c r="U41" s="3619"/>
      <c r="V41" s="3619">
        <f>I41</f>
        <v>0</v>
      </c>
      <c r="W41" s="3619"/>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4"/>
      <c r="M42" s="1132"/>
      <c r="N42" s="1132"/>
      <c r="O42" s="1145"/>
      <c r="P42" s="3624" t="str">
        <f>A42</f>
        <v>比较价值（元/平方米）</v>
      </c>
      <c r="Q42" s="3624"/>
      <c r="R42" s="3651" t="e">
        <f>ROUND(PRODUCT(R41,AA7:AA40),0)</f>
        <v>#DIV/0!</v>
      </c>
      <c r="S42" s="3651"/>
      <c r="T42" s="3651" t="e">
        <f>ROUND(PRODUCT(T41,AB7:AB40),0)</f>
        <v>#DIV/0!</v>
      </c>
      <c r="U42" s="3651"/>
      <c r="V42" s="3651" t="e">
        <f>ROUND(PRODUCT(V41,AC7:AC40),0)</f>
        <v>#DIV/0!</v>
      </c>
      <c r="W42" s="3651"/>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4"/>
      <c r="M43" s="1132"/>
      <c r="N43" s="1132"/>
      <c r="O43" s="1145"/>
      <c r="P43" s="3621" t="str">
        <f>A43</f>
        <v>估价对象XX用房的比较价值（楼面单价，元/平方米）</v>
      </c>
      <c r="Q43" s="3622"/>
      <c r="R43" s="3652" t="e">
        <f>ROUND(AVERAGE(R42:V42),0)</f>
        <v>#DIV/0!</v>
      </c>
      <c r="S43" s="3652"/>
      <c r="T43" s="3652"/>
      <c r="U43" s="3652"/>
      <c r="V43" s="3652"/>
      <c r="W43" s="3652"/>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4.4" thickBot="1">
      <c r="A49" s="1146"/>
      <c r="B49" s="1147"/>
      <c r="C49" s="762"/>
      <c r="D49" s="760"/>
      <c r="E49" s="760"/>
      <c r="F49" s="760"/>
      <c r="G49" s="760"/>
      <c r="H49" s="760"/>
      <c r="I49" s="760"/>
      <c r="J49" s="760"/>
      <c r="K49" s="1149"/>
      <c r="L49" s="1150"/>
      <c r="M49" s="1146"/>
      <c r="N49" s="1146"/>
      <c r="O49" s="1146"/>
    </row>
    <row r="50" spans="1:17" ht="28.8">
      <c r="A50" s="684" t="s">
        <v>2756</v>
      </c>
      <c r="B50" s="685" t="s">
        <v>2757</v>
      </c>
      <c r="C50" s="2705" t="s">
        <v>2758</v>
      </c>
      <c r="D50" s="2706" t="s">
        <v>2759</v>
      </c>
      <c r="E50" s="686" t="s">
        <v>2760</v>
      </c>
      <c r="F50" s="687" t="s">
        <v>2761</v>
      </c>
      <c r="G50" s="3607" t="s">
        <v>2762</v>
      </c>
      <c r="H50" s="3653"/>
      <c r="I50" s="1815" t="s">
        <v>2798</v>
      </c>
      <c r="J50" s="1815">
        <f>项目基本情况!F35</f>
        <v>0</v>
      </c>
      <c r="K50" s="2708" t="s">
        <v>2764</v>
      </c>
      <c r="L50" s="1107"/>
      <c r="M50" s="1145"/>
      <c r="N50" s="1145"/>
      <c r="O50" s="1145"/>
    </row>
    <row r="51" spans="1:17" s="692" customFormat="1">
      <c r="A51" s="688" t="s">
        <v>2765</v>
      </c>
      <c r="B51" s="689" t="e">
        <f>C43</f>
        <v>#DIV/0!</v>
      </c>
      <c r="C51" s="690">
        <v>1</v>
      </c>
      <c r="D51" s="1164">
        <v>1</v>
      </c>
      <c r="E51" s="690">
        <f>'数据-汇总表'!E8+'数据-汇总表'!E9</f>
        <v>39258.17</v>
      </c>
      <c r="F51" s="691" t="e">
        <f t="shared" ref="F51:F60" si="14">ROUND(B51*E51/10000,0)</f>
        <v>#DIV/0!</v>
      </c>
      <c r="G51" s="3606"/>
      <c r="H51" s="3624"/>
      <c r="I51" s="943">
        <v>1</v>
      </c>
      <c r="J51" s="943">
        <v>1</v>
      </c>
      <c r="K51" s="1146"/>
      <c r="L51" s="942"/>
      <c r="M51" s="942"/>
      <c r="N51" s="942"/>
      <c r="O51" s="942"/>
    </row>
    <row r="52" spans="1:17" s="692" customFormat="1">
      <c r="A52" s="693" t="s">
        <v>2766</v>
      </c>
      <c r="B52" s="262" t="e">
        <f>ROUND($C$43*C52*D52,0)</f>
        <v>#DIV/0!</v>
      </c>
      <c r="C52" s="200">
        <f t="shared" ref="C52:C60" si="15">IF($C$50="北京市系数",I52,J52)</f>
        <v>0.8</v>
      </c>
      <c r="D52" s="1165">
        <v>0.25</v>
      </c>
      <c r="E52" s="694"/>
      <c r="F52" s="691" t="e">
        <f t="shared" si="14"/>
        <v>#DIV/0!</v>
      </c>
      <c r="G52" s="3654" t="s">
        <v>2767</v>
      </c>
      <c r="H52" s="1105" t="str">
        <f>项目基本情况!B37</f>
        <v>二级</v>
      </c>
      <c r="I52" s="943">
        <f>SUMIF(修正!A45:A56,H52,修正!B45:B56)</f>
        <v>0.8</v>
      </c>
      <c r="J52" s="944"/>
      <c r="K52" s="1145"/>
      <c r="L52" s="942"/>
      <c r="M52" s="942"/>
      <c r="N52" s="942"/>
      <c r="O52" s="942"/>
    </row>
    <row r="53" spans="1:17" s="692" customFormat="1">
      <c r="A53" s="693" t="s">
        <v>2768</v>
      </c>
      <c r="B53" s="262" t="e">
        <f t="shared" ref="B53:B60" si="16">ROUND($C$43*C53*D53,0)</f>
        <v>#DIV/0!</v>
      </c>
      <c r="C53" s="200">
        <f t="shared" si="15"/>
        <v>0.5</v>
      </c>
      <c r="D53" s="1165">
        <v>0.25</v>
      </c>
      <c r="E53" s="694"/>
      <c r="F53" s="691" t="e">
        <f t="shared" si="14"/>
        <v>#DIV/0!</v>
      </c>
      <c r="G53" s="3654"/>
      <c r="H53" s="1105" t="str">
        <f>项目基本情况!B37</f>
        <v>二级</v>
      </c>
      <c r="I53" s="943">
        <f>SUMIF(修正!A45:A56,H53,修正!C45:C56)</f>
        <v>0.5</v>
      </c>
      <c r="J53" s="944"/>
      <c r="K53" s="1146"/>
      <c r="L53" s="942"/>
      <c r="M53" s="942"/>
      <c r="N53" s="942"/>
      <c r="O53" s="942"/>
    </row>
    <row r="54" spans="1:17" s="692" customFormat="1">
      <c r="A54" s="693" t="s">
        <v>2769</v>
      </c>
      <c r="B54" s="262" t="e">
        <f t="shared" si="16"/>
        <v>#DIV/0!</v>
      </c>
      <c r="C54" s="200">
        <f t="shared" si="15"/>
        <v>0.36</v>
      </c>
      <c r="D54" s="1165">
        <v>0.25</v>
      </c>
      <c r="E54" s="694"/>
      <c r="F54" s="691" t="e">
        <f t="shared" si="14"/>
        <v>#DIV/0!</v>
      </c>
      <c r="G54" s="3654"/>
      <c r="H54" s="1105" t="str">
        <f>项目基本情况!B37</f>
        <v>二级</v>
      </c>
      <c r="I54" s="943">
        <f>SUMIF(修正!A45:A56,H54,修正!D45:D56)</f>
        <v>0.36</v>
      </c>
      <c r="J54" s="944"/>
      <c r="K54" s="1145"/>
      <c r="L54" s="942"/>
      <c r="M54" s="942"/>
      <c r="N54" s="942"/>
      <c r="O54" s="942"/>
    </row>
    <row r="55" spans="1:17" s="692" customFormat="1">
      <c r="A55" s="693" t="s">
        <v>2770</v>
      </c>
      <c r="B55" s="262" t="e">
        <f t="shared" si="16"/>
        <v>#DIV/0!</v>
      </c>
      <c r="C55" s="200">
        <f t="shared" si="15"/>
        <v>0.3</v>
      </c>
      <c r="D55" s="1165">
        <v>0.25</v>
      </c>
      <c r="E55" s="694"/>
      <c r="F55" s="691" t="e">
        <f t="shared" si="14"/>
        <v>#DIV/0!</v>
      </c>
      <c r="G55" s="3654"/>
      <c r="H55" s="1105" t="str">
        <f>项目基本情况!B37</f>
        <v>二级</v>
      </c>
      <c r="I55" s="943">
        <f>SUMIF(修正!A45:A56,H55,修正!E45:E56)</f>
        <v>0.3</v>
      </c>
      <c r="J55" s="944"/>
      <c r="K55" s="1146"/>
      <c r="L55" s="942"/>
      <c r="M55" s="942"/>
      <c r="N55" s="942"/>
      <c r="O55" s="942"/>
    </row>
    <row r="56" spans="1:17" s="692" customFormat="1">
      <c r="A56" s="693" t="s">
        <v>2771</v>
      </c>
      <c r="B56" s="262" t="e">
        <f t="shared" si="16"/>
        <v>#DIV/0!</v>
      </c>
      <c r="C56" s="200">
        <f t="shared" si="15"/>
        <v>0.3</v>
      </c>
      <c r="D56" s="1165">
        <v>0.25</v>
      </c>
      <c r="E56" s="261">
        <f>'数据-汇总表'!E11</f>
        <v>0</v>
      </c>
      <c r="F56" s="691" t="e">
        <f t="shared" si="14"/>
        <v>#DIV/0!</v>
      </c>
      <c r="G56" s="2709" t="s">
        <v>2772</v>
      </c>
      <c r="H56" s="1105" t="str">
        <f>项目基本情况!C37</f>
        <v>二级</v>
      </c>
      <c r="I56" s="943">
        <f>SUMIF(修正!A45:A56,H56,修正!F45:F56)</f>
        <v>0.3</v>
      </c>
      <c r="J56" s="944"/>
      <c r="K56" s="1145"/>
      <c r="L56" s="942"/>
      <c r="M56" s="942"/>
      <c r="N56" s="942"/>
      <c r="O56" s="942"/>
    </row>
    <row r="57" spans="1:17" s="692" customFormat="1">
      <c r="A57" s="693" t="s">
        <v>2773</v>
      </c>
      <c r="B57" s="262" t="e">
        <f t="shared" si="16"/>
        <v>#DIV/0!</v>
      </c>
      <c r="C57" s="200">
        <f t="shared" si="15"/>
        <v>0.3</v>
      </c>
      <c r="D57" s="1165">
        <v>0.25</v>
      </c>
      <c r="E57" s="261">
        <f>'数据-汇总表'!E12</f>
        <v>0</v>
      </c>
      <c r="F57" s="691" t="e">
        <f t="shared" si="14"/>
        <v>#DIV/0!</v>
      </c>
      <c r="G57" s="1110" t="s">
        <v>2774</v>
      </c>
      <c r="H57" s="1105" t="str">
        <f>IF(G57="商业",项目基本情况!B37,IF(G57="办公",项目基本情况!C37,IF(G57="住宅",项目基本情况!D37,项目基本情况!E37)))</f>
        <v>二级</v>
      </c>
      <c r="I57" s="943">
        <f>SUMIF(修正!A45:A56,H57,修正!G45:G56)</f>
        <v>0.3</v>
      </c>
      <c r="J57" s="944"/>
      <c r="K57" s="1146"/>
      <c r="L57" s="942"/>
      <c r="M57" s="942"/>
      <c r="N57" s="942"/>
      <c r="O57" s="942"/>
    </row>
    <row r="58" spans="1:17" s="692" customFormat="1">
      <c r="A58" s="693" t="s">
        <v>2775</v>
      </c>
      <c r="B58" s="262" t="e">
        <f t="shared" si="16"/>
        <v>#DIV/0!</v>
      </c>
      <c r="C58" s="200">
        <f t="shared" si="15"/>
        <v>0</v>
      </c>
      <c r="D58" s="1165">
        <v>0.25</v>
      </c>
      <c r="E58" s="261">
        <f>'数据-汇总表'!E13</f>
        <v>6074.74</v>
      </c>
      <c r="F58" s="691" t="e">
        <f t="shared" si="14"/>
        <v>#DIV/0!</v>
      </c>
      <c r="G58" s="1110" t="s">
        <v>2776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2777</v>
      </c>
      <c r="B59" s="262" t="e">
        <f t="shared" si="16"/>
        <v>#DIV/0!</v>
      </c>
      <c r="C59" s="200">
        <f t="shared" si="15"/>
        <v>0.25</v>
      </c>
      <c r="D59" s="1165">
        <v>0.25</v>
      </c>
      <c r="E59" s="261">
        <f>'数据-汇总表'!E14</f>
        <v>0</v>
      </c>
      <c r="F59" s="691" t="e">
        <f t="shared" si="14"/>
        <v>#DIV/0!</v>
      </c>
      <c r="G59" s="2709" t="s">
        <v>2767</v>
      </c>
      <c r="H59" s="1105" t="str">
        <f>项目基本情况!B37</f>
        <v>二级</v>
      </c>
      <c r="I59" s="943">
        <f>SUMIF(修正!A45:A56,H59,修正!H45:H56)</f>
        <v>0.25</v>
      </c>
      <c r="J59" s="944"/>
      <c r="K59" s="1146"/>
      <c r="L59" s="942"/>
      <c r="M59" s="942"/>
      <c r="N59" s="942"/>
      <c r="O59" s="942"/>
    </row>
    <row r="60" spans="1:17" s="692" customFormat="1" ht="14.4" thickBot="1">
      <c r="A60" s="693" t="s">
        <v>2778</v>
      </c>
      <c r="B60" s="262" t="e">
        <f t="shared" si="16"/>
        <v>#DIV/0!</v>
      </c>
      <c r="C60" s="200">
        <f t="shared" si="15"/>
        <v>0.25</v>
      </c>
      <c r="D60" s="1165">
        <v>0.25</v>
      </c>
      <c r="E60" s="261">
        <f>'数据-汇总表'!E15</f>
        <v>0</v>
      </c>
      <c r="F60" s="691" t="e">
        <f t="shared" si="14"/>
        <v>#DIV/0!</v>
      </c>
      <c r="G60" s="2710" t="s">
        <v>2772</v>
      </c>
      <c r="H60" s="1115" t="str">
        <f>项目基本情况!C37</f>
        <v>二级</v>
      </c>
      <c r="I60" s="943">
        <f>SUMIF(修正!A45:A56,H60,修正!H45:H56)</f>
        <v>0.25</v>
      </c>
      <c r="J60" s="944"/>
      <c r="K60" s="1145"/>
      <c r="L60" s="942"/>
      <c r="M60" s="942"/>
      <c r="N60" s="942"/>
      <c r="O60" s="942"/>
    </row>
    <row r="61" spans="1:17" s="692" customFormat="1" ht="14.4" thickBot="1">
      <c r="A61" s="695" t="s">
        <v>2779</v>
      </c>
      <c r="B61" s="696" t="s">
        <v>28</v>
      </c>
      <c r="C61" s="696" t="s">
        <v>29</v>
      </c>
      <c r="D61" s="696" t="s">
        <v>1029</v>
      </c>
      <c r="E61" s="696">
        <f>IF(B41="楼面地价",SUM(E51:E60),'数据-汇总表'!D3)</f>
        <v>5235.2</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2018-12-1</v>
      </c>
      <c r="D63" s="761">
        <f>EDATE(C63,-3)</f>
        <v>43344</v>
      </c>
      <c r="E63" s="761">
        <f>EDATE(D63,-3)</f>
        <v>43252</v>
      </c>
      <c r="F63" s="761">
        <f t="shared" ref="F63:O63" si="17">EDATE(E63,-3)</f>
        <v>43160</v>
      </c>
      <c r="G63" s="761">
        <f t="shared" si="17"/>
        <v>43070</v>
      </c>
      <c r="H63" s="761">
        <f t="shared" si="17"/>
        <v>42979</v>
      </c>
      <c r="I63" s="761">
        <f t="shared" si="17"/>
        <v>42887</v>
      </c>
      <c r="J63" s="761">
        <f t="shared" si="17"/>
        <v>42795</v>
      </c>
      <c r="K63" s="761">
        <f t="shared" si="17"/>
        <v>42705</v>
      </c>
      <c r="L63" s="761">
        <f t="shared" si="17"/>
        <v>42614</v>
      </c>
      <c r="M63" s="761">
        <f t="shared" si="17"/>
        <v>42522</v>
      </c>
      <c r="N63" s="761">
        <f t="shared" si="17"/>
        <v>42430</v>
      </c>
      <c r="O63" s="761">
        <f t="shared" si="17"/>
        <v>42339</v>
      </c>
    </row>
    <row r="64" spans="1:17" ht="22.2" thickBot="1">
      <c r="A64" s="763" t="s">
        <v>2672</v>
      </c>
      <c r="B64" s="759"/>
      <c r="C64" s="764"/>
      <c r="D64" s="764"/>
      <c r="E64" s="764"/>
      <c r="F64" s="765"/>
      <c r="G64" s="765"/>
      <c r="H64" s="764"/>
      <c r="I64" s="764"/>
      <c r="J64" s="764"/>
      <c r="K64" s="766"/>
      <c r="L64" s="767"/>
      <c r="M64" s="764"/>
      <c r="N64" s="764"/>
      <c r="O64" s="1160"/>
      <c r="P64" s="503"/>
      <c r="Q64" s="504"/>
    </row>
    <row r="65" spans="1:17" s="508" customFormat="1" ht="14.4">
      <c r="A65" s="2711" t="s">
        <v>2780</v>
      </c>
      <c r="B65" s="1360"/>
      <c r="C65" s="1573" t="str">
        <f>YEAR(C63)&amp;"-"&amp;ROUNDUP(MONTH(C63)/3,0)</f>
        <v>2018-4</v>
      </c>
      <c r="D65" s="1573" t="str">
        <f t="shared" ref="D65:O65" si="18">YEAR(D63)&amp;"-"&amp;ROUNDUP(MONTH(D63)/3,0)</f>
        <v>2018-3</v>
      </c>
      <c r="E65" s="1573" t="str">
        <f t="shared" si="18"/>
        <v>2018-2</v>
      </c>
      <c r="F65" s="1573" t="str">
        <f t="shared" si="18"/>
        <v>2018-1</v>
      </c>
      <c r="G65" s="1573" t="str">
        <f t="shared" si="18"/>
        <v>2017-4</v>
      </c>
      <c r="H65" s="1573" t="str">
        <f t="shared" si="18"/>
        <v>2017-3</v>
      </c>
      <c r="I65" s="1573" t="str">
        <f t="shared" si="18"/>
        <v>2017-2</v>
      </c>
      <c r="J65" s="1573" t="str">
        <f t="shared" si="18"/>
        <v>2017-1</v>
      </c>
      <c r="K65" s="1573" t="str">
        <f t="shared" si="18"/>
        <v>2016-4</v>
      </c>
      <c r="L65" s="1573" t="str">
        <f t="shared" si="18"/>
        <v>2016-3</v>
      </c>
      <c r="M65" s="1573" t="str">
        <f t="shared" si="18"/>
        <v>2016-2</v>
      </c>
      <c r="N65" s="1573" t="str">
        <f t="shared" si="18"/>
        <v>2016-1</v>
      </c>
      <c r="O65" s="1573" t="str">
        <f t="shared" si="18"/>
        <v>2015-4</v>
      </c>
      <c r="P65" s="507"/>
    </row>
    <row r="66" spans="1:17" s="117" customFormat="1" ht="30.75" customHeight="1">
      <c r="A66" s="2716" t="s">
        <v>2799</v>
      </c>
      <c r="B66" s="332" t="str">
        <f>"北京市平均增长率"&amp;TEXT(基准地价修正商业!P24,"0.00%")</f>
        <v>北京市平均增长率1.42%</v>
      </c>
      <c r="C66" s="603">
        <v>100</v>
      </c>
      <c r="D66" s="595"/>
      <c r="E66" s="595"/>
      <c r="F66" s="595"/>
      <c r="G66" s="595"/>
      <c r="H66" s="595"/>
      <c r="I66" s="595"/>
      <c r="J66" s="595"/>
      <c r="K66" s="595"/>
      <c r="L66" s="595"/>
      <c r="M66" s="1568"/>
      <c r="N66" s="1568"/>
      <c r="O66" s="1570"/>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2"/>
      <c r="O68" s="1152"/>
      <c r="P68" s="526"/>
      <c r="Q68" s="504"/>
    </row>
    <row r="69" spans="1:17" s="117" customFormat="1" ht="14.4" thickBot="1">
      <c r="A69" s="521"/>
      <c r="B69" s="510"/>
      <c r="C69" s="639">
        <v>100</v>
      </c>
      <c r="D69" s="512"/>
      <c r="E69" s="512"/>
      <c r="F69" s="512"/>
      <c r="G69" s="512"/>
      <c r="H69" s="512"/>
      <c r="I69" s="512"/>
      <c r="J69" s="512"/>
      <c r="K69" s="512"/>
      <c r="L69" s="512"/>
      <c r="M69" s="514"/>
      <c r="N69" s="1152"/>
      <c r="O69" s="1152"/>
      <c r="P69" s="504"/>
      <c r="Q69" s="504"/>
    </row>
    <row r="70" spans="1:17" ht="14.4">
      <c r="A70" s="527" t="s">
        <v>2586</v>
      </c>
      <c r="B70" s="528" t="s">
        <v>2552</v>
      </c>
      <c r="C70" s="530"/>
      <c r="D70" s="530"/>
      <c r="E70" s="530"/>
      <c r="F70" s="530"/>
      <c r="G70" s="530"/>
      <c r="H70" s="530"/>
      <c r="I70" s="530"/>
      <c r="J70" s="530"/>
      <c r="K70" s="531"/>
      <c r="L70" s="532"/>
      <c r="M70" s="533"/>
      <c r="N70" s="1153"/>
      <c r="O70" s="1153"/>
      <c r="P70" s="45"/>
      <c r="Q70" s="504"/>
    </row>
    <row r="71" spans="1:17" ht="14.4" thickBot="1">
      <c r="A71" s="534"/>
      <c r="B71" s="535"/>
      <c r="C71" s="536"/>
      <c r="D71" s="536"/>
      <c r="E71" s="536"/>
      <c r="F71" s="536"/>
      <c r="G71" s="536"/>
      <c r="H71" s="536"/>
      <c r="I71" s="536"/>
      <c r="J71" s="536"/>
      <c r="K71" s="536"/>
      <c r="L71" s="536"/>
      <c r="M71" s="537"/>
      <c r="N71" s="1154"/>
      <c r="O71" s="1154"/>
      <c r="P71" s="45"/>
      <c r="Q71" s="504"/>
    </row>
    <row r="72" spans="1:17" ht="29.4" thickTop="1">
      <c r="A72" s="534"/>
      <c r="B72" s="538" t="s">
        <v>2555</v>
      </c>
      <c r="C72" s="539"/>
      <c r="D72" s="539"/>
      <c r="E72" s="539"/>
      <c r="F72" s="539"/>
      <c r="G72" s="539"/>
      <c r="H72" s="539"/>
      <c r="I72" s="539"/>
      <c r="J72" s="539"/>
      <c r="K72" s="540"/>
      <c r="L72" s="541"/>
      <c r="M72" s="542"/>
      <c r="N72" s="1153"/>
      <c r="O72" s="1153"/>
      <c r="P72" s="45"/>
      <c r="Q72" s="504"/>
    </row>
    <row r="73" spans="1:17" ht="14.4" thickBot="1">
      <c r="A73" s="534"/>
      <c r="B73" s="543"/>
      <c r="C73" s="544"/>
      <c r="D73" s="544"/>
      <c r="E73" s="544"/>
      <c r="F73" s="544"/>
      <c r="G73" s="544"/>
      <c r="H73" s="544"/>
      <c r="I73" s="544"/>
      <c r="J73" s="544"/>
      <c r="K73" s="544"/>
      <c r="L73" s="544"/>
      <c r="M73" s="545"/>
      <c r="N73" s="1154"/>
      <c r="O73" s="1154"/>
      <c r="P73" s="45"/>
      <c r="Q73" s="504"/>
    </row>
    <row r="74" spans="1:17" ht="15" thickTop="1">
      <c r="A74" s="534"/>
      <c r="B74" s="546" t="s">
        <v>2556</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4"/>
      <c r="O74" s="1154"/>
      <c r="P74" s="45"/>
      <c r="Q74" s="504"/>
    </row>
    <row r="75" spans="1:17">
      <c r="A75" s="534"/>
      <c r="B75" s="548"/>
      <c r="C75" s="549"/>
      <c r="D75" s="549"/>
      <c r="E75" s="549"/>
      <c r="F75" s="549"/>
      <c r="G75" s="549"/>
      <c r="H75" s="549"/>
      <c r="I75" s="549"/>
      <c r="J75" s="549"/>
      <c r="K75" s="550"/>
      <c r="L75" s="551"/>
      <c r="M75" s="552"/>
      <c r="N75" s="1153"/>
      <c r="O75" s="1153"/>
      <c r="P75" s="45"/>
      <c r="Q75" s="504"/>
    </row>
    <row r="76" spans="1:17" ht="14.4"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4"/>
      <c r="O76" s="1154"/>
      <c r="P76" s="45"/>
      <c r="Q76" s="504"/>
    </row>
    <row r="77" spans="1:17" s="471" customFormat="1" ht="14.4" thickTop="1">
      <c r="A77" s="553"/>
      <c r="B77" s="538">
        <f>B12</f>
        <v>111</v>
      </c>
      <c r="C77" s="554"/>
      <c r="D77" s="554"/>
      <c r="E77" s="554"/>
      <c r="F77" s="554"/>
      <c r="G77" s="554"/>
      <c r="H77" s="555"/>
      <c r="I77" s="555"/>
      <c r="J77" s="555"/>
      <c r="K77" s="555"/>
      <c r="L77" s="556"/>
      <c r="M77" s="557"/>
      <c r="N77" s="1155"/>
      <c r="O77" s="1155"/>
      <c r="P77" s="558"/>
      <c r="Q77" s="559"/>
    </row>
    <row r="78" spans="1:17" s="471" customFormat="1" ht="14.4" thickBot="1">
      <c r="A78" s="553"/>
      <c r="B78" s="543"/>
      <c r="C78" s="560"/>
      <c r="D78" s="536"/>
      <c r="E78" s="536"/>
      <c r="F78" s="536"/>
      <c r="G78" s="536"/>
      <c r="H78" s="536"/>
      <c r="I78" s="536"/>
      <c r="J78" s="536"/>
      <c r="K78" s="536"/>
      <c r="L78" s="536"/>
      <c r="M78" s="537"/>
      <c r="N78" s="1154"/>
      <c r="O78" s="1154"/>
      <c r="P78" s="558"/>
      <c r="Q78" s="559"/>
    </row>
    <row r="79" spans="1:17" s="471" customFormat="1" ht="14.4" thickTop="1">
      <c r="A79" s="553"/>
      <c r="B79" s="538">
        <f>B13</f>
        <v>111</v>
      </c>
      <c r="C79" s="554"/>
      <c r="D79" s="554"/>
      <c r="E79" s="554"/>
      <c r="F79" s="554"/>
      <c r="G79" s="554"/>
      <c r="H79" s="555"/>
      <c r="I79" s="555"/>
      <c r="J79" s="555"/>
      <c r="K79" s="555"/>
      <c r="L79" s="556"/>
      <c r="M79" s="557"/>
      <c r="N79" s="1155"/>
      <c r="O79" s="1155"/>
      <c r="P79" s="470"/>
      <c r="Q79" s="561"/>
    </row>
    <row r="80" spans="1:17" s="471" customFormat="1" ht="14.4" thickBot="1">
      <c r="A80" s="553"/>
      <c r="B80" s="543"/>
      <c r="C80" s="560"/>
      <c r="D80" s="560"/>
      <c r="E80" s="560"/>
      <c r="F80" s="560"/>
      <c r="G80" s="560"/>
      <c r="H80" s="562"/>
      <c r="I80" s="562"/>
      <c r="J80" s="562"/>
      <c r="K80" s="562"/>
      <c r="L80" s="562"/>
      <c r="M80" s="563"/>
      <c r="N80" s="1155"/>
      <c r="O80" s="1155"/>
      <c r="P80" s="558"/>
      <c r="Q80" s="559"/>
    </row>
    <row r="81" spans="1:17" s="471" customFormat="1" ht="14.4" thickTop="1">
      <c r="A81" s="553"/>
      <c r="B81" s="546">
        <f>B14</f>
        <v>111</v>
      </c>
      <c r="C81" s="523"/>
      <c r="D81" s="523"/>
      <c r="E81" s="523"/>
      <c r="F81" s="523"/>
      <c r="G81" s="523"/>
      <c r="H81" s="564"/>
      <c r="I81" s="564"/>
      <c r="J81" s="564"/>
      <c r="K81" s="564"/>
      <c r="L81" s="565"/>
      <c r="M81" s="566"/>
      <c r="N81" s="1155"/>
      <c r="O81" s="1155"/>
      <c r="P81" s="567"/>
      <c r="Q81" s="559"/>
    </row>
    <row r="82" spans="1:17" s="471" customFormat="1" ht="14.4" thickBot="1">
      <c r="A82" s="568"/>
      <c r="B82" s="569"/>
      <c r="C82" s="570"/>
      <c r="D82" s="570"/>
      <c r="E82" s="570"/>
      <c r="F82" s="570"/>
      <c r="G82" s="570"/>
      <c r="H82" s="571"/>
      <c r="I82" s="571"/>
      <c r="J82" s="571"/>
      <c r="K82" s="571"/>
      <c r="L82" s="571"/>
      <c r="M82" s="572"/>
      <c r="N82" s="1155"/>
      <c r="O82" s="1155"/>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29.4" thickTop="1">
      <c r="A87" s="579"/>
      <c r="B87" s="538" t="s">
        <v>2782</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9.4" thickTop="1">
      <c r="A89" s="579"/>
      <c r="B89" s="538" t="s">
        <v>2783</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 thickTop="1">
      <c r="A93" s="553"/>
      <c r="B93" s="546" t="s">
        <v>2800</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 thickTop="1">
      <c r="A95" s="534"/>
      <c r="B95" s="538" t="str">
        <f>B27</f>
        <v>临街状况</v>
      </c>
      <c r="C95" s="539" t="s">
        <v>2784</v>
      </c>
      <c r="D95" s="539" t="s">
        <v>2785</v>
      </c>
      <c r="E95" s="539" t="s">
        <v>2786</v>
      </c>
      <c r="F95" s="539" t="s">
        <v>2787</v>
      </c>
      <c r="G95" s="539"/>
      <c r="H95" s="539"/>
      <c r="I95" s="539"/>
      <c r="J95" s="539"/>
      <c r="K95" s="540"/>
      <c r="L95" s="541"/>
      <c r="M95" s="542"/>
      <c r="N95" s="1153"/>
      <c r="O95" s="1153"/>
      <c r="P95" s="45"/>
      <c r="Q95" s="504"/>
    </row>
    <row r="96" spans="1:17" ht="14.4"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4"/>
      <c r="O96" s="1154"/>
      <c r="P96" s="45"/>
      <c r="Q96" s="504"/>
    </row>
    <row r="97" spans="1:17" ht="29.4" thickTop="1">
      <c r="A97" s="534"/>
      <c r="B97" s="538" t="s">
        <v>2689</v>
      </c>
      <c r="C97" s="554"/>
      <c r="D97" s="554"/>
      <c r="E97" s="554"/>
      <c r="F97" s="554"/>
      <c r="G97" s="554"/>
      <c r="H97" s="583"/>
      <c r="I97" s="583"/>
      <c r="J97" s="583"/>
      <c r="K97" s="584"/>
      <c r="L97" s="585"/>
      <c r="M97" s="586"/>
      <c r="N97" s="1153"/>
      <c r="O97" s="1153"/>
      <c r="P97" s="45"/>
      <c r="Q97" s="504"/>
    </row>
    <row r="98" spans="1:17" ht="14.4"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4"/>
      <c r="O98" s="1154"/>
      <c r="P98" s="45"/>
      <c r="Q98" s="504"/>
    </row>
    <row r="99" spans="1:17" ht="15" thickTop="1">
      <c r="A99" s="534"/>
      <c r="B99" s="538" t="s">
        <v>2748</v>
      </c>
      <c r="C99" s="583"/>
      <c r="D99" s="583"/>
      <c r="E99" s="583"/>
      <c r="F99" s="583"/>
      <c r="G99" s="583"/>
      <c r="H99" s="583"/>
      <c r="I99" s="583"/>
      <c r="J99" s="583"/>
      <c r="K99" s="584"/>
      <c r="L99" s="585"/>
      <c r="M99" s="586"/>
      <c r="N99" s="1153"/>
      <c r="O99" s="1153"/>
      <c r="P99" s="45"/>
      <c r="Q99" s="504"/>
    </row>
    <row r="100" spans="1:17" ht="14.4"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4"/>
      <c r="O100" s="1154"/>
      <c r="P100" s="45"/>
      <c r="Q100" s="504"/>
    </row>
    <row r="101" spans="1:17" ht="14.4" thickTop="1">
      <c r="A101" s="534"/>
      <c r="B101" s="546">
        <f>B31</f>
        <v>111</v>
      </c>
      <c r="C101" s="554"/>
      <c r="D101" s="554"/>
      <c r="E101" s="554"/>
      <c r="F101" s="554"/>
      <c r="G101" s="587"/>
      <c r="H101" s="587"/>
      <c r="I101" s="587"/>
      <c r="J101" s="587"/>
      <c r="K101" s="588"/>
      <c r="L101" s="589"/>
      <c r="M101" s="590"/>
      <c r="N101" s="1153"/>
      <c r="O101" s="1153"/>
      <c r="P101" s="45"/>
      <c r="Q101" s="504"/>
    </row>
    <row r="102" spans="1:17" ht="14.4" thickBot="1">
      <c r="A102" s="534"/>
      <c r="B102" s="569"/>
      <c r="C102" s="560"/>
      <c r="D102" s="536"/>
      <c r="E102" s="536"/>
      <c r="F102" s="536"/>
      <c r="G102" s="591"/>
      <c r="H102" s="591"/>
      <c r="I102" s="591"/>
      <c r="J102" s="591"/>
      <c r="K102" s="591"/>
      <c r="L102" s="591"/>
      <c r="M102" s="592"/>
      <c r="N102" s="1154"/>
      <c r="O102" s="1154"/>
      <c r="P102" s="45"/>
      <c r="Q102" s="504"/>
    </row>
    <row r="103" spans="1:17" ht="14.4" thickTop="1">
      <c r="A103" s="675"/>
      <c r="B103" s="538">
        <f>B32</f>
        <v>111</v>
      </c>
      <c r="C103" s="554"/>
      <c r="D103" s="554"/>
      <c r="E103" s="554"/>
      <c r="F103" s="554"/>
      <c r="G103" s="583"/>
      <c r="H103" s="583"/>
      <c r="I103" s="583"/>
      <c r="J103" s="583"/>
      <c r="K103" s="584"/>
      <c r="L103" s="585"/>
      <c r="M103" s="586"/>
      <c r="N103" s="1153"/>
      <c r="O103" s="1153"/>
      <c r="P103" s="45"/>
      <c r="Q103" s="504"/>
    </row>
    <row r="104" spans="1:17" ht="14.4" thickBot="1">
      <c r="A104" s="534"/>
      <c r="B104" s="543"/>
      <c r="C104" s="560"/>
      <c r="D104" s="560"/>
      <c r="E104" s="560"/>
      <c r="F104" s="560"/>
      <c r="G104" s="536"/>
      <c r="H104" s="536"/>
      <c r="I104" s="536"/>
      <c r="J104" s="536"/>
      <c r="K104" s="536"/>
      <c r="L104" s="536"/>
      <c r="M104" s="537"/>
      <c r="N104" s="1154"/>
      <c r="O104" s="1154"/>
      <c r="P104" s="45"/>
      <c r="Q104" s="504"/>
    </row>
    <row r="105" spans="1:17" s="471" customFormat="1" ht="14.4"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4.4" thickBot="1">
      <c r="A106" s="553"/>
      <c r="B106" s="546"/>
      <c r="C106" s="570"/>
      <c r="D106" s="570"/>
      <c r="E106" s="570"/>
      <c r="F106" s="570"/>
      <c r="G106" s="677"/>
      <c r="H106" s="677"/>
      <c r="I106" s="677"/>
      <c r="J106" s="677"/>
      <c r="K106" s="677"/>
      <c r="L106" s="677"/>
      <c r="M106" s="699"/>
      <c r="N106" s="1154"/>
      <c r="O106" s="1154"/>
      <c r="P106" s="558"/>
      <c r="Q106" s="559"/>
    </row>
    <row r="107" spans="1:17" ht="14.4">
      <c r="A107" s="527" t="s">
        <v>2561</v>
      </c>
      <c r="B107" s="528" t="s">
        <v>2788</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7" t="str">
        <f t="shared" si="24"/>
        <v>(含)-</v>
      </c>
      <c r="L107" s="1767" t="str">
        <f t="shared" si="24"/>
        <v>(含)-</v>
      </c>
      <c r="M107" s="1768" t="str">
        <f>M108&amp;"(含)"&amp;"-"&amp;P108</f>
        <v>(含)-</v>
      </c>
      <c r="N107" s="1153"/>
      <c r="O107" s="1153"/>
      <c r="P107" s="45"/>
      <c r="Q107" s="504"/>
    </row>
    <row r="108" spans="1:17">
      <c r="A108" s="534"/>
      <c r="B108" s="546"/>
      <c r="C108" s="595"/>
      <c r="D108" s="595"/>
      <c r="E108" s="595"/>
      <c r="F108" s="595"/>
      <c r="G108" s="595"/>
      <c r="H108" s="595"/>
      <c r="I108" s="595"/>
      <c r="J108" s="596"/>
      <c r="K108" s="596"/>
      <c r="L108" s="597"/>
      <c r="M108" s="598"/>
      <c r="N108" s="1153"/>
      <c r="O108" s="1153"/>
      <c r="P108" s="45"/>
      <c r="Q108" s="504"/>
    </row>
    <row r="109" spans="1:17" ht="14.4"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2789</v>
      </c>
      <c r="C110" s="583"/>
      <c r="D110" s="583"/>
      <c r="E110" s="583"/>
      <c r="F110" s="583"/>
      <c r="G110" s="583"/>
      <c r="H110" s="583"/>
      <c r="I110" s="583"/>
      <c r="J110" s="583"/>
      <c r="K110" s="584"/>
      <c r="L110" s="585"/>
      <c r="M110" s="586"/>
      <c r="N110" s="1153"/>
      <c r="O110" s="1153"/>
      <c r="P110" s="45"/>
      <c r="Q110" s="504"/>
    </row>
    <row r="111" spans="1:17" ht="14.4"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4"/>
      <c r="O111" s="1154"/>
      <c r="P111" s="45"/>
      <c r="Q111" s="504"/>
    </row>
    <row r="112" spans="1:17" s="471" customFormat="1" ht="15" thickTop="1">
      <c r="A112" s="593"/>
      <c r="B112" s="538" t="s">
        <v>2791</v>
      </c>
      <c r="C112" s="554"/>
      <c r="D112" s="554"/>
      <c r="E112" s="554"/>
      <c r="F112" s="554"/>
      <c r="G112" s="554"/>
      <c r="H112" s="583"/>
      <c r="I112" s="583"/>
      <c r="J112" s="583"/>
      <c r="K112" s="584"/>
      <c r="L112" s="585"/>
      <c r="M112" s="586"/>
      <c r="N112" s="1155"/>
      <c r="O112" s="1155"/>
      <c r="P112" s="558"/>
      <c r="Q112" s="559"/>
    </row>
    <row r="113" spans="1:17" s="471" customFormat="1" ht="14.4"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5"/>
      <c r="O113" s="1155"/>
      <c r="P113" s="558"/>
      <c r="Q113" s="559"/>
    </row>
    <row r="114" spans="1:17" ht="15" thickTop="1">
      <c r="A114" s="599"/>
      <c r="B114" s="538" t="s">
        <v>2792</v>
      </c>
      <c r="C114" s="554"/>
      <c r="D114" s="554"/>
      <c r="E114" s="583"/>
      <c r="F114" s="583"/>
      <c r="G114" s="583"/>
      <c r="H114" s="583"/>
      <c r="I114" s="583"/>
      <c r="J114" s="583"/>
      <c r="K114" s="584"/>
      <c r="L114" s="585"/>
      <c r="M114" s="586"/>
      <c r="N114" s="1153"/>
      <c r="O114" s="1153"/>
      <c r="P114" s="45"/>
      <c r="Q114" s="504"/>
    </row>
    <row r="115" spans="1:17" ht="14.4"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4"/>
      <c r="O115" s="1154"/>
      <c r="P115" s="45"/>
      <c r="Q115" s="504"/>
    </row>
    <row r="116" spans="1:17" ht="14.4" thickTop="1">
      <c r="A116" s="599"/>
      <c r="B116" s="538">
        <f>B38</f>
        <v>111</v>
      </c>
      <c r="C116" s="554"/>
      <c r="D116" s="554"/>
      <c r="E116" s="554"/>
      <c r="F116" s="554"/>
      <c r="G116" s="554"/>
      <c r="H116" s="583"/>
      <c r="I116" s="583"/>
      <c r="J116" s="583"/>
      <c r="K116" s="584"/>
      <c r="L116" s="585"/>
      <c r="M116" s="586"/>
      <c r="N116" s="1153"/>
      <c r="O116" s="1153"/>
      <c r="P116" s="45"/>
      <c r="Q116" s="504"/>
    </row>
    <row r="117" spans="1:17" ht="14.4" thickBot="1">
      <c r="A117" s="534"/>
      <c r="B117" s="543"/>
      <c r="C117" s="560"/>
      <c r="D117" s="536"/>
      <c r="E117" s="536"/>
      <c r="F117" s="536"/>
      <c r="G117" s="536"/>
      <c r="H117" s="536"/>
      <c r="I117" s="536"/>
      <c r="J117" s="536"/>
      <c r="K117" s="536"/>
      <c r="L117" s="536"/>
      <c r="M117" s="537"/>
      <c r="N117" s="1154"/>
      <c r="O117" s="1154"/>
      <c r="P117" s="45"/>
      <c r="Q117" s="504"/>
    </row>
    <row r="118" spans="1:17" ht="14.4" thickTop="1">
      <c r="A118" s="599"/>
      <c r="B118" s="538">
        <f>B39</f>
        <v>111</v>
      </c>
      <c r="C118" s="554"/>
      <c r="D118" s="554"/>
      <c r="E118" s="554"/>
      <c r="F118" s="554"/>
      <c r="G118" s="583"/>
      <c r="H118" s="583"/>
      <c r="I118" s="583"/>
      <c r="J118" s="583"/>
      <c r="K118" s="584"/>
      <c r="L118" s="585"/>
      <c r="M118" s="586"/>
      <c r="N118" s="1153"/>
      <c r="O118" s="1153"/>
      <c r="P118" s="45"/>
      <c r="Q118" s="504"/>
    </row>
    <row r="119" spans="1:17" ht="14.4" thickBot="1">
      <c r="A119" s="534"/>
      <c r="B119" s="543"/>
      <c r="C119" s="560"/>
      <c r="D119" s="560"/>
      <c r="E119" s="560"/>
      <c r="F119" s="560"/>
      <c r="G119" s="536"/>
      <c r="H119" s="536"/>
      <c r="I119" s="536"/>
      <c r="J119" s="536"/>
      <c r="K119" s="536"/>
      <c r="L119" s="536"/>
      <c r="M119" s="537"/>
      <c r="N119" s="1154"/>
      <c r="O119" s="1154"/>
      <c r="P119" s="45"/>
      <c r="Q119" s="504"/>
    </row>
    <row r="120" spans="1:17" s="471" customFormat="1" ht="14.4"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4.4"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38"/>
      <c r="C1" s="242"/>
      <c r="D1" s="242"/>
      <c r="E1" s="242"/>
      <c r="F1" s="242"/>
      <c r="G1" s="1380">
        <f>MATCH(B1,'数据-取费表'!A6:A16,0)+5</f>
        <v>10</v>
      </c>
    </row>
    <row r="2" spans="1:9" s="244" customFormat="1" ht="18" customHeight="1">
      <c r="A2" s="245" t="s">
        <v>2325</v>
      </c>
      <c r="B2" s="246">
        <f ca="1">IF(D2="——",C52,C52-E2)</f>
        <v>202151</v>
      </c>
      <c r="C2" s="243" t="s">
        <v>2326</v>
      </c>
      <c r="D2" s="2547" t="s">
        <v>3334</v>
      </c>
      <c r="E2" s="1441">
        <f ca="1">SUMIF(INDIRECT("'"&amp;G2&amp;"'"&amp;"!A:A"),"承租人权益价值",INDIRECT("'"&amp;G2&amp;"'"&amp;"!c:c"))</f>
        <v>2425</v>
      </c>
      <c r="F2" s="2548" t="s">
        <v>2326</v>
      </c>
      <c r="G2" s="2549" t="s">
        <v>3300</v>
      </c>
    </row>
    <row r="3" spans="1:9" s="244" customFormat="1" ht="18" customHeight="1" thickBot="1">
      <c r="A3" s="247" t="s">
        <v>2327</v>
      </c>
      <c r="B3" s="248">
        <f ca="1">ROUND(B2*10000/(IF(B1="",'数据-汇总表'!E3,INDIRECT("'数据-取费表'!k"&amp;$G$1))),0)</f>
        <v>40333</v>
      </c>
      <c r="C3" s="243" t="s">
        <v>2328</v>
      </c>
      <c r="D3" s="243"/>
      <c r="E3" s="243"/>
      <c r="F3" s="243"/>
      <c r="G3" s="243"/>
    </row>
    <row r="4" spans="1:9" s="252" customFormat="1" ht="16.2">
      <c r="A4" s="249" t="s">
        <v>2329</v>
      </c>
      <c r="B4" s="250"/>
      <c r="C4" s="250"/>
      <c r="D4" s="250"/>
      <c r="E4" s="250"/>
      <c r="F4" s="250"/>
      <c r="G4" s="251"/>
    </row>
    <row r="5" spans="1:9" s="258" customFormat="1" ht="13.5" customHeight="1">
      <c r="A5" s="299" t="s">
        <v>2330</v>
      </c>
      <c r="B5" s="254" t="s">
        <v>2331</v>
      </c>
      <c r="C5" s="255">
        <f ca="1">C6+C7+C8</f>
        <v>118065</v>
      </c>
      <c r="D5" s="255" t="s">
        <v>2332</v>
      </c>
      <c r="E5" s="256" t="s">
        <v>2333</v>
      </c>
      <c r="F5" s="256" t="s">
        <v>2334</v>
      </c>
      <c r="G5" s="257"/>
    </row>
    <row r="6" spans="1:9" s="258" customFormat="1" ht="13.5" customHeight="1">
      <c r="A6" s="950" t="s">
        <v>2335</v>
      </c>
      <c r="B6" s="259" t="s">
        <v>2336</v>
      </c>
      <c r="C6" s="260">
        <f ca="1">'基准地价（汇总）'!B2</f>
        <v>113598</v>
      </c>
      <c r="D6" s="261"/>
      <c r="E6" s="262"/>
      <c r="F6" s="262"/>
      <c r="G6" s="263"/>
    </row>
    <row r="7" spans="1:9" s="258" customFormat="1" ht="13.5" customHeight="1">
      <c r="A7" s="950" t="s">
        <v>2337</v>
      </c>
      <c r="B7" s="259" t="s">
        <v>2338</v>
      </c>
      <c r="C7" s="264">
        <f ca="1">ROUND(C6*F7,0)</f>
        <v>3465</v>
      </c>
      <c r="D7" s="264"/>
      <c r="E7" s="262"/>
      <c r="F7" s="265">
        <f>'数据-取费表'!B48+'数据-取费表'!B49</f>
        <v>3.0499999999999999E-2</v>
      </c>
      <c r="G7" s="263"/>
    </row>
    <row r="8" spans="1:9" s="267" customFormat="1">
      <c r="A8" s="950" t="s">
        <v>2339</v>
      </c>
      <c r="B8" s="259" t="s">
        <v>2340</v>
      </c>
      <c r="C8" s="264">
        <f>IF(G8="已包含在土地购买价格中","0",IF(B1="",'数据-取费表'!B29,IF(G9="全部缴纳",C9+C10,H9)))</f>
        <v>1002</v>
      </c>
      <c r="D8" s="266"/>
      <c r="E8" s="264"/>
      <c r="F8" s="265"/>
      <c r="G8" s="2550" t="s">
        <v>3349</v>
      </c>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160</v>
      </c>
      <c r="F9" s="265"/>
      <c r="G9" s="2551" t="s">
        <v>3072</v>
      </c>
      <c r="H9" s="1391"/>
      <c r="I9" s="2552" t="s">
        <v>2342</v>
      </c>
    </row>
    <row r="10" spans="1:9" s="258" customFormat="1" ht="13.5" customHeight="1">
      <c r="A10" s="951" t="s">
        <v>801</v>
      </c>
      <c r="B10" s="268" t="s">
        <v>2343</v>
      </c>
      <c r="C10" s="269">
        <f ca="1">ROUND(D10*E10/10000,0)</f>
        <v>1002</v>
      </c>
      <c r="D10" s="1033">
        <f ca="1">IF(B1="",'数据-汇总表'!E6,IF(INDIRECT("'数据-取费表'!c"&amp;$G$1)="住宅",INDIRECT("'数据-取费表'!s"&amp;$G$1),INDIRECT("'数据-取费表'!k"&amp;$G$1)+INDIRECT("'数据-取费表'!s"&amp;$G$1)))</f>
        <v>50120.32</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2347</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2347</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t="str">
        <f>IF(G19="已包含在土地取得成本中","0",ROUND(D19*E19/10000,0))</f>
        <v>0</v>
      </c>
      <c r="D19" s="1037">
        <f ca="1">D9+D10</f>
        <v>50120.32</v>
      </c>
      <c r="E19" s="255">
        <f>'数据-取费表'!B31</f>
        <v>200</v>
      </c>
      <c r="F19" s="275"/>
      <c r="G19" s="2550" t="s">
        <v>3073</v>
      </c>
    </row>
    <row r="20" spans="1:7" s="258" customFormat="1" ht="13.5" customHeight="1">
      <c r="A20" s="299" t="s">
        <v>2356</v>
      </c>
      <c r="B20" s="254" t="s">
        <v>2357</v>
      </c>
      <c r="C20" s="276">
        <f ca="1">ROUND((C5+C19)*F20,0)</f>
        <v>2361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5">
        <f ca="1">ROUND(SUM(C23:C25),0)</f>
        <v>11595</v>
      </c>
      <c r="D22" s="279">
        <f ca="1">C26</f>
        <v>1E-3</v>
      </c>
      <c r="E22" s="280" t="s">
        <v>2361</v>
      </c>
      <c r="F22" s="281">
        <f ca="1">'数据-取费表'!B40</f>
        <v>4.7500000000000001E-2</v>
      </c>
      <c r="G22" s="278" t="str">
        <f>IF('数据-取费表'!B22&lt;=1,"单利计息","复利计息")</f>
        <v>复利计息</v>
      </c>
    </row>
    <row r="23" spans="1:7" s="258" customFormat="1" ht="13.5" customHeight="1">
      <c r="A23" s="952" t="s">
        <v>2365</v>
      </c>
      <c r="B23" s="259" t="s">
        <v>2366</v>
      </c>
      <c r="C23" s="1356">
        <f ca="1">ROUND(IF('数据-取费表'!B22&lt;=1,C5*F22*'数据-取费表'!B23,C5*(POWER((1+F22),'数据-取费表'!B23)-1)),0)</f>
        <v>11483</v>
      </c>
      <c r="D23" s="282"/>
      <c r="E23" s="282"/>
      <c r="F23" s="283"/>
      <c r="G23" s="284" t="s">
        <v>2367</v>
      </c>
    </row>
    <row r="24" spans="1:7" s="258" customFormat="1" ht="13.5" customHeight="1">
      <c r="A24" s="952" t="s">
        <v>2368</v>
      </c>
      <c r="B24" s="259" t="s">
        <v>2369</v>
      </c>
      <c r="C24" s="1356">
        <f ca="1">ROUND(IF('数据-取费表'!B22&lt;=1,C19*F22*('数据-取费表'!B19/2+'数据-取费表'!B21),C19*(POWER((1+F22),('数据-取费表'!B19/2+'数据-取费表'!B21))-1)),0)</f>
        <v>0</v>
      </c>
      <c r="D24" s="282"/>
      <c r="E24" s="282"/>
      <c r="F24" s="283"/>
      <c r="G24" s="284" t="s">
        <v>2370</v>
      </c>
    </row>
    <row r="25" spans="1:7" s="258" customFormat="1" ht="24">
      <c r="A25" s="952" t="s">
        <v>2371</v>
      </c>
      <c r="B25" s="259" t="s">
        <v>2372</v>
      </c>
      <c r="C25" s="1356">
        <f ca="1">ROUND(IF('数据-取费表'!B22&lt;=1,C20*F22*'数据-取费表'!B23/2,C20*(POWER((1+F22),'数据-取费表'!B23/2)-1)),0)</f>
        <v>112</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6.4">
      <c r="A27" s="299" t="s">
        <v>2375</v>
      </c>
      <c r="B27" s="288" t="s">
        <v>2376</v>
      </c>
      <c r="C27" s="289">
        <f ca="1">C28</f>
        <v>24085</v>
      </c>
      <c r="D27" s="279">
        <f ca="1">C29</f>
        <v>4.0000000000000001E-3</v>
      </c>
      <c r="E27" s="280" t="s">
        <v>2377</v>
      </c>
      <c r="F27" s="290">
        <f ca="1">IF(B1="",'数据-取费表'!Q16,INDIRECT("'数据-取费表'!q"&amp;$G$1))</f>
        <v>0.2</v>
      </c>
      <c r="G27" s="291" t="s">
        <v>2378</v>
      </c>
    </row>
    <row r="28" spans="1:7" s="258" customFormat="1" ht="13.5" customHeight="1">
      <c r="A28" s="952" t="s">
        <v>791</v>
      </c>
      <c r="B28" s="292" t="s">
        <v>2379</v>
      </c>
      <c r="C28" s="293">
        <f ca="1">ROUND((C5+C19+C20)*F27*'数据-取费表'!B21/'数据-取费表'!B20,0)</f>
        <v>24085</v>
      </c>
      <c r="D28" s="279"/>
      <c r="E28" s="280"/>
      <c r="F28" s="290"/>
      <c r="G28" s="291"/>
    </row>
    <row r="29" spans="1:7" s="258" customFormat="1" ht="13.5" customHeight="1">
      <c r="A29" s="952"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169367</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27424</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25044</v>
      </c>
      <c r="D34" s="261"/>
      <c r="E34" s="264"/>
      <c r="F34" s="301">
        <f ca="1">IF('数据-取费表'!B24=0,1,IF(B1="",'数据-取费表'!N16,INDIRECT("'数据-取费表'!n"&amp;$G$1)))</f>
        <v>1</v>
      </c>
      <c r="G34" s="263" t="s">
        <v>2389</v>
      </c>
    </row>
    <row r="35" spans="1:7" ht="13.5" customHeight="1">
      <c r="A35" s="952" t="s">
        <v>796</v>
      </c>
      <c r="B35" s="259" t="s">
        <v>2390</v>
      </c>
      <c r="C35" s="264">
        <f ca="1">ROUND(C34*F35,0)</f>
        <v>1002</v>
      </c>
      <c r="D35" s="264"/>
      <c r="E35" s="264"/>
      <c r="F35" s="303">
        <f>'数据-取费表'!B33</f>
        <v>0.04</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2" t="s">
        <v>798</v>
      </c>
      <c r="B37" s="259" t="s">
        <v>2394</v>
      </c>
      <c r="C37" s="293">
        <f ca="1">ROUND(E37*D37*F34/10000,0)</f>
        <v>1002</v>
      </c>
      <c r="D37" s="261">
        <f ca="1">D19</f>
        <v>50120.32</v>
      </c>
      <c r="E37" s="293">
        <f>'数据-取费表'!B35</f>
        <v>200</v>
      </c>
      <c r="F37" s="303"/>
      <c r="G37" s="305" t="s">
        <v>2395</v>
      </c>
    </row>
    <row r="38" spans="1:7" ht="13.5" customHeight="1">
      <c r="A38" s="952" t="s">
        <v>799</v>
      </c>
      <c r="B38" s="259" t="s">
        <v>2396</v>
      </c>
      <c r="C38" s="264">
        <f ca="1">ROUND(C34*F38,0)</f>
        <v>376</v>
      </c>
      <c r="D38" s="264"/>
      <c r="E38" s="264"/>
      <c r="F38" s="303">
        <f>'数据-取费表'!B36</f>
        <v>1.4999999999999999E-2</v>
      </c>
      <c r="G38" s="263" t="s">
        <v>2391</v>
      </c>
    </row>
    <row r="39" spans="1:7" s="258" customFormat="1" ht="13.5" customHeight="1">
      <c r="A39" s="299" t="s">
        <v>2397</v>
      </c>
      <c r="B39" s="254" t="s">
        <v>2398</v>
      </c>
      <c r="C39" s="276">
        <f ca="1">ROUND(C33*F20,0)</f>
        <v>548</v>
      </c>
      <c r="D39" s="276"/>
      <c r="E39" s="276"/>
      <c r="F39" s="277"/>
      <c r="G39" s="278" t="s">
        <v>2399</v>
      </c>
    </row>
    <row r="40" spans="1:7" s="258" customFormat="1" ht="13.5" customHeight="1">
      <c r="A40" s="299" t="s">
        <v>2400</v>
      </c>
      <c r="B40" s="254" t="s">
        <v>2401</v>
      </c>
      <c r="C40" s="1729">
        <f>F21</f>
        <v>0.02</v>
      </c>
      <c r="D40" s="280" t="s">
        <v>2402</v>
      </c>
      <c r="E40" s="276"/>
      <c r="F40" s="277"/>
      <c r="G40" s="278" t="s">
        <v>2403</v>
      </c>
    </row>
    <row r="41" spans="1:7" s="258" customFormat="1" ht="13.5" customHeight="1">
      <c r="A41" s="299" t="s">
        <v>2404</v>
      </c>
      <c r="B41" s="254" t="s">
        <v>2405</v>
      </c>
      <c r="C41" s="276">
        <f ca="1">ROUND(SUM(C42:C43),0)</f>
        <v>1329</v>
      </c>
      <c r="D41" s="279">
        <f ca="1">C44</f>
        <v>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ROUND(IF('数据-取费表'!B22&lt;=1,C33*F22*'数据-取费表'!B21/2,C33*(POWER((1+F22),'数据-取费表'!B21/2)-1)),0)</f>
        <v>1303</v>
      </c>
      <c r="D42" s="282"/>
      <c r="E42" s="282"/>
      <c r="F42" s="283"/>
      <c r="G42" s="3559" t="s">
        <v>2407</v>
      </c>
    </row>
    <row r="43" spans="1:7" ht="13.5" customHeight="1">
      <c r="A43" s="952" t="s">
        <v>792</v>
      </c>
      <c r="B43" s="259" t="s">
        <v>2408</v>
      </c>
      <c r="C43" s="282">
        <f ca="1">ROUND(IF('数据-取费表'!B22&lt;=1,C39*F22*'数据-取费表'!B21/2,C39*(POWER((1+F22),'数据-取费表'!B21/2)-1)),0)</f>
        <v>26</v>
      </c>
      <c r="D43" s="282"/>
      <c r="E43" s="282"/>
      <c r="F43" s="283"/>
      <c r="G43" s="3560"/>
    </row>
    <row r="44" spans="1:7" ht="13.5" customHeight="1">
      <c r="A44" s="952" t="s">
        <v>793</v>
      </c>
      <c r="B44" s="259" t="s">
        <v>2409</v>
      </c>
      <c r="C44" s="282">
        <f ca="1">ROUND(IF('数据-取费表'!B22&lt;=1,C40*F22*'数据-取费表'!B21/2,C40*(POWER((1+F22),'数据-取费表'!B21/2)-1)),4)</f>
        <v>1E-3</v>
      </c>
      <c r="D44" s="282"/>
      <c r="E44" s="282"/>
      <c r="F44" s="283"/>
      <c r="G44" s="3561"/>
    </row>
    <row r="45" spans="1:7" s="258" customFormat="1" ht="13.5" customHeight="1">
      <c r="A45" s="299" t="s">
        <v>2410</v>
      </c>
      <c r="B45" s="288" t="s">
        <v>2376</v>
      </c>
      <c r="C45" s="289">
        <f ca="1">C46</f>
        <v>5594</v>
      </c>
      <c r="D45" s="279">
        <f ca="1">C47</f>
        <v>4.0000000000000001E-3</v>
      </c>
      <c r="E45" s="280" t="s">
        <v>2402</v>
      </c>
      <c r="F45" s="290"/>
      <c r="G45" s="291" t="s">
        <v>2411</v>
      </c>
    </row>
    <row r="46" spans="1:7" s="258" customFormat="1" ht="13.5" customHeight="1">
      <c r="A46" s="952" t="s">
        <v>791</v>
      </c>
      <c r="B46" s="292" t="s">
        <v>2412</v>
      </c>
      <c r="C46" s="293">
        <f ca="1">ROUND((C33+C39)*F27,0)</f>
        <v>5594</v>
      </c>
      <c r="D46" s="307"/>
      <c r="E46" s="280"/>
      <c r="F46" s="290"/>
      <c r="G46" s="291"/>
    </row>
    <row r="47" spans="1:7" s="258" customFormat="1" ht="13.5" customHeight="1">
      <c r="A47" s="952" t="s">
        <v>792</v>
      </c>
      <c r="B47" s="292" t="s">
        <v>2413</v>
      </c>
      <c r="C47" s="282">
        <f ca="1">ROUND(C40*F27,4)</f>
        <v>4.0000000000000001E-3</v>
      </c>
      <c r="D47" s="307"/>
      <c r="E47" s="280"/>
      <c r="F47" s="290"/>
      <c r="G47" s="291"/>
    </row>
    <row r="48" spans="1:7" s="258" customFormat="1" ht="13.5" customHeight="1">
      <c r="A48" s="299" t="s">
        <v>2375</v>
      </c>
      <c r="B48" s="254" t="s">
        <v>2414</v>
      </c>
      <c r="C48" s="1729">
        <f>ROUND(F30/(1+'数据-取费表'!C42),4)</f>
        <v>5.33E-2</v>
      </c>
      <c r="D48" s="280" t="s">
        <v>2402</v>
      </c>
      <c r="E48" s="276"/>
      <c r="F48" s="281"/>
      <c r="G48" s="278" t="s">
        <v>2415</v>
      </c>
    </row>
    <row r="49" spans="1:7" ht="16.5" customHeight="1">
      <c r="A49" s="299" t="s">
        <v>2381</v>
      </c>
      <c r="B49" s="254" t="s">
        <v>2416</v>
      </c>
      <c r="C49" s="276">
        <f ca="1">ROUND((C33+C39+C41+C45)/(1-C40-D41-D45-C48),0)</f>
        <v>37859</v>
      </c>
      <c r="D49" s="276"/>
      <c r="E49" s="276"/>
      <c r="F49" s="308"/>
      <c r="G49" s="278" t="s">
        <v>2417</v>
      </c>
    </row>
    <row r="50" spans="1:7" s="302" customFormat="1" ht="24">
      <c r="A50" s="299" t="s">
        <v>2418</v>
      </c>
      <c r="B50" s="254" t="s">
        <v>2419</v>
      </c>
      <c r="C50" s="276"/>
      <c r="D50" s="276"/>
      <c r="E50" s="276"/>
      <c r="F50" s="308">
        <f>IF('数据-取费表'!B24=0,'数据-取费表'!N16,1)</f>
        <v>0.93</v>
      </c>
      <c r="G50" s="291" t="s">
        <v>2420</v>
      </c>
    </row>
    <row r="51" spans="1:7" ht="16.5" customHeight="1">
      <c r="A51" s="299" t="s">
        <v>2421</v>
      </c>
      <c r="B51" s="254" t="s">
        <v>2422</v>
      </c>
      <c r="C51" s="276">
        <f ca="1">ROUND(C49*F50,0)</f>
        <v>35209</v>
      </c>
      <c r="D51" s="276"/>
      <c r="E51" s="276"/>
      <c r="F51" s="308"/>
      <c r="G51" s="278" t="s">
        <v>2423</v>
      </c>
    </row>
    <row r="52" spans="1:7" s="252" customFormat="1" ht="16.8" thickBot="1">
      <c r="A52" s="309" t="s">
        <v>2424</v>
      </c>
      <c r="B52" s="310"/>
      <c r="C52" s="311">
        <f ca="1">C31+C51</f>
        <v>204576</v>
      </c>
      <c r="D52" s="310"/>
      <c r="E52" s="310"/>
      <c r="F52" s="310"/>
      <c r="G52" s="312"/>
    </row>
    <row r="55" spans="1:7" ht="15">
      <c r="B55" s="314" t="s">
        <v>2425</v>
      </c>
      <c r="C55" s="315"/>
    </row>
    <row r="56" spans="1:7">
      <c r="B56" s="317" t="s">
        <v>1513</v>
      </c>
      <c r="C56" s="319">
        <f ca="1">1-C57</f>
        <v>0.82800000000000007</v>
      </c>
    </row>
    <row r="57" spans="1:7">
      <c r="B57" s="317" t="s">
        <v>1514</v>
      </c>
      <c r="C57" s="318">
        <f ca="1">ROUND(C51/C52,3)</f>
        <v>0.17199999999999999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F31" sqref="F31"/>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38" t="s">
        <v>3050</v>
      </c>
      <c r="C1" s="242"/>
      <c r="D1" s="242"/>
      <c r="E1" s="242"/>
      <c r="F1" s="242"/>
      <c r="G1" s="1380">
        <f>MATCH(B1,'数据-取费表'!A6:A16,0)+5</f>
        <v>7</v>
      </c>
    </row>
    <row r="2" spans="1:9" s="244" customFormat="1" ht="18" customHeight="1">
      <c r="A2" s="245" t="s">
        <v>1394</v>
      </c>
      <c r="B2" s="246">
        <f ca="1">IF(D2="——",C52,C52-E2)</f>
        <v>92552</v>
      </c>
      <c r="C2" s="243" t="s">
        <v>2326</v>
      </c>
      <c r="D2" s="2547" t="s">
        <v>70</v>
      </c>
      <c r="E2" s="1441">
        <f ca="1">SUMIF(INDIRECT("'"&amp;G2&amp;"'"&amp;"!A:A"),"承租人权益价值",INDIRECT("'"&amp;G2&amp;"'"&amp;"!c:c"))</f>
        <v>2425</v>
      </c>
      <c r="F2" s="2548" t="s">
        <v>2326</v>
      </c>
      <c r="G2" s="2549" t="s">
        <v>3300</v>
      </c>
    </row>
    <row r="3" spans="1:9" s="244" customFormat="1" ht="18" customHeight="1" thickBot="1">
      <c r="A3" s="247" t="s">
        <v>2327</v>
      </c>
      <c r="B3" s="248">
        <f ca="1">ROUND(B2*10000/(IF(B1="",'数据-汇总表'!E3,INDIRECT("'数据-取费表'!k"&amp;$G$1))),0)</f>
        <v>43864</v>
      </c>
      <c r="C3" s="243" t="s">
        <v>2328</v>
      </c>
      <c r="D3" s="243"/>
      <c r="E3" s="243"/>
      <c r="F3" s="243"/>
      <c r="G3" s="243"/>
    </row>
    <row r="4" spans="1:9" s="252" customFormat="1" ht="16.2">
      <c r="A4" s="249" t="s">
        <v>2329</v>
      </c>
      <c r="B4" s="250"/>
      <c r="C4" s="250"/>
      <c r="D4" s="250"/>
      <c r="E4" s="250"/>
      <c r="F4" s="250"/>
      <c r="G4" s="251"/>
    </row>
    <row r="5" spans="1:9" s="258" customFormat="1" ht="13.5" customHeight="1">
      <c r="A5" s="299" t="s">
        <v>782</v>
      </c>
      <c r="B5" s="254" t="s">
        <v>2331</v>
      </c>
      <c r="C5" s="255">
        <f ca="1">C6+C7+C8</f>
        <v>52086</v>
      </c>
      <c r="D5" s="255" t="s">
        <v>2332</v>
      </c>
      <c r="E5" s="256" t="s">
        <v>2333</v>
      </c>
      <c r="F5" s="256" t="s">
        <v>2334</v>
      </c>
      <c r="G5" s="257"/>
    </row>
    <row r="6" spans="1:9" s="258" customFormat="1" ht="13.5" customHeight="1">
      <c r="A6" s="950" t="s">
        <v>794</v>
      </c>
      <c r="B6" s="259" t="s">
        <v>2336</v>
      </c>
      <c r="C6" s="260">
        <f ca="1">基准地价修正商业!E29+基准地价修正商业!E33</f>
        <v>50129</v>
      </c>
      <c r="D6" s="261"/>
      <c r="E6" s="262"/>
      <c r="F6" s="262"/>
      <c r="G6" s="263"/>
    </row>
    <row r="7" spans="1:9" s="258" customFormat="1" ht="13.5" customHeight="1">
      <c r="A7" s="950" t="s">
        <v>792</v>
      </c>
      <c r="B7" s="259" t="s">
        <v>2338</v>
      </c>
      <c r="C7" s="264">
        <f ca="1">ROUND(C6*F7,0)</f>
        <v>1529</v>
      </c>
      <c r="D7" s="264"/>
      <c r="E7" s="262"/>
      <c r="F7" s="265">
        <f>'数据-取费表'!B48+'数据-取费表'!B49</f>
        <v>3.0499999999999999E-2</v>
      </c>
      <c r="G7" s="263"/>
    </row>
    <row r="8" spans="1:9" s="267" customFormat="1">
      <c r="A8" s="950" t="s">
        <v>2339</v>
      </c>
      <c r="B8" s="259" t="s">
        <v>2340</v>
      </c>
      <c r="C8" s="264">
        <f ca="1">IF(G8="已包含在土地购买价格中","0",IF(B1="",'数据-取费表'!B29,IF(G9="全部缴纳",C9+C10,H9)))</f>
        <v>428</v>
      </c>
      <c r="D8" s="266"/>
      <c r="E8" s="264"/>
      <c r="F8" s="265"/>
      <c r="G8" s="2550" t="s">
        <v>3349</v>
      </c>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160</v>
      </c>
      <c r="F9" s="265"/>
      <c r="G9" s="2551" t="s">
        <v>3072</v>
      </c>
      <c r="H9" s="1391"/>
      <c r="I9" s="2552" t="s">
        <v>2342</v>
      </c>
    </row>
    <row r="10" spans="1:9" s="258" customFormat="1" ht="13.5" customHeight="1">
      <c r="A10" s="951" t="s">
        <v>801</v>
      </c>
      <c r="B10" s="268" t="s">
        <v>2343</v>
      </c>
      <c r="C10" s="269">
        <f ca="1">ROUND(D10*E10/10000,0)</f>
        <v>428</v>
      </c>
      <c r="D10" s="1033">
        <f ca="1">IF(B1="",'数据-汇总表'!E6,IF(INDIRECT("'数据-取费表'!c"&amp;$G$1)="住宅",INDIRECT("'数据-取费表'!s"&amp;$G$1),INDIRECT("'数据-取费表'!k"&amp;$G$1)+INDIRECT("'数据-取费表'!s"&amp;$G$1)))</f>
        <v>21386.67</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2340</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2340</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t="str">
        <f>IF(G19="已包含在土地取得成本中","0",ROUND(D19*E19/10000,0))</f>
        <v>0</v>
      </c>
      <c r="D19" s="1037">
        <f ca="1">D9+D10</f>
        <v>21386.67</v>
      </c>
      <c r="E19" s="255">
        <f>'数据-取费表'!B31</f>
        <v>200</v>
      </c>
      <c r="F19" s="275"/>
      <c r="G19" s="2550" t="s">
        <v>3073</v>
      </c>
    </row>
    <row r="20" spans="1:7" s="258" customFormat="1" ht="13.5" customHeight="1">
      <c r="A20" s="299" t="s">
        <v>2356</v>
      </c>
      <c r="B20" s="254" t="s">
        <v>2357</v>
      </c>
      <c r="C20" s="276">
        <f ca="1">ROUND((C5+C19)*F20,0)</f>
        <v>1042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5">
        <f ca="1">ROUND(SUM(C23:C25),0)</f>
        <v>5115</v>
      </c>
      <c r="D22" s="279">
        <f ca="1">C26</f>
        <v>1E-3</v>
      </c>
      <c r="E22" s="280" t="s">
        <v>2361</v>
      </c>
      <c r="F22" s="281">
        <f ca="1">'数据-取费表'!B40</f>
        <v>4.7500000000000001E-2</v>
      </c>
      <c r="G22" s="278" t="str">
        <f>IF('数据-取费表'!B22&lt;=1,"单利计息","复利计息")</f>
        <v>复利计息</v>
      </c>
    </row>
    <row r="23" spans="1:7" s="258" customFormat="1" ht="13.5" customHeight="1">
      <c r="A23" s="952" t="s">
        <v>794</v>
      </c>
      <c r="B23" s="259" t="s">
        <v>2366</v>
      </c>
      <c r="C23" s="1356">
        <f ca="1">ROUND(IF('数据-取费表'!B22&lt;=1,C5*F22*'数据-取费表'!B23,C5*(POWER((1+F22),'数据-取费表'!B23)-1)),0)</f>
        <v>5066</v>
      </c>
      <c r="D23" s="282"/>
      <c r="E23" s="282"/>
      <c r="F23" s="283"/>
      <c r="G23" s="284" t="s">
        <v>2367</v>
      </c>
    </row>
    <row r="24" spans="1:7" s="258" customFormat="1" ht="13.5" customHeight="1">
      <c r="A24" s="952" t="s">
        <v>792</v>
      </c>
      <c r="B24" s="259" t="s">
        <v>2369</v>
      </c>
      <c r="C24" s="1356">
        <f ca="1">ROUND(IF('数据-取费表'!B22&lt;=1,C19*F22*('数据-取费表'!B19/2+'数据-取费表'!B21),C19*(POWER((1+F22),('数据-取费表'!B19/2+'数据-取费表'!B21))-1)),0)</f>
        <v>0</v>
      </c>
      <c r="D24" s="282"/>
      <c r="E24" s="282"/>
      <c r="F24" s="283"/>
      <c r="G24" s="284" t="s">
        <v>2370</v>
      </c>
    </row>
    <row r="25" spans="1:7" s="258" customFormat="1" ht="24">
      <c r="A25" s="952" t="s">
        <v>2339</v>
      </c>
      <c r="B25" s="259" t="s">
        <v>2372</v>
      </c>
      <c r="C25" s="1356">
        <f ca="1">ROUND(IF('数据-取费表'!B22&lt;=1,C20*F22*'数据-取费表'!B23/2,C20*(POWER((1+F22),'数据-取费表'!B23/2)-1)),0)</f>
        <v>49</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6.4">
      <c r="A27" s="299" t="s">
        <v>2375</v>
      </c>
      <c r="B27" s="288" t="s">
        <v>2376</v>
      </c>
      <c r="C27" s="289">
        <f ca="1">C28</f>
        <v>10626</v>
      </c>
      <c r="D27" s="279">
        <f ca="1">C29</f>
        <v>4.0000000000000001E-3</v>
      </c>
      <c r="E27" s="280" t="s">
        <v>2361</v>
      </c>
      <c r="F27" s="290">
        <f ca="1">IF(B1="",'数据-取费表'!Q16,INDIRECT("'数据-取费表'!q"&amp;$G$1))</f>
        <v>0.2</v>
      </c>
      <c r="G27" s="291" t="s">
        <v>2378</v>
      </c>
    </row>
    <row r="28" spans="1:7" s="258" customFormat="1" ht="13.5" customHeight="1">
      <c r="A28" s="952" t="s">
        <v>791</v>
      </c>
      <c r="B28" s="292" t="s">
        <v>2379</v>
      </c>
      <c r="C28" s="293">
        <f ca="1">ROUND((C5+C19+C20)*F27*'数据-取费表'!B21/'数据-取费表'!B20,0)</f>
        <v>10626</v>
      </c>
      <c r="D28" s="279"/>
      <c r="E28" s="280"/>
      <c r="F28" s="290"/>
      <c r="G28" s="291"/>
    </row>
    <row r="29" spans="1:7" s="258" customFormat="1" ht="13.5" customHeight="1">
      <c r="A29" s="952"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2361</v>
      </c>
      <c r="E30" s="285"/>
      <c r="F30" s="281">
        <f>'数据-取费表'!B41</f>
        <v>5.6000000000000001E-2</v>
      </c>
      <c r="G30" s="278" t="s">
        <v>2383</v>
      </c>
    </row>
    <row r="31" spans="1:7" ht="16.5" customHeight="1">
      <c r="A31" s="253">
        <v>1</v>
      </c>
      <c r="B31" s="254" t="s">
        <v>2384</v>
      </c>
      <c r="C31" s="255">
        <f ca="1">ROUND((C5+C19+C20+C22+C27)/(1-C21-D22-D27-C30),0)</f>
        <v>74720</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13889</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12760</v>
      </c>
      <c r="D34" s="261"/>
      <c r="E34" s="264"/>
      <c r="F34" s="301">
        <f ca="1">IF('数据-取费表'!B24=0,1,IF(B1="",'数据-取费表'!N16,INDIRECT("'数据-取费表'!n"&amp;$G$1)))</f>
        <v>1</v>
      </c>
      <c r="G34" s="263" t="s">
        <v>2389</v>
      </c>
    </row>
    <row r="35" spans="1:7" ht="13.5" customHeight="1">
      <c r="A35" s="952" t="s">
        <v>796</v>
      </c>
      <c r="B35" s="259" t="s">
        <v>2390</v>
      </c>
      <c r="C35" s="264">
        <f ca="1">ROUND(C34*F35,0)</f>
        <v>510</v>
      </c>
      <c r="D35" s="264"/>
      <c r="E35" s="264"/>
      <c r="F35" s="3246">
        <f>'数据-取费表'!B33</f>
        <v>0.04</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2" t="s">
        <v>798</v>
      </c>
      <c r="B37" s="259" t="s">
        <v>2394</v>
      </c>
      <c r="C37" s="293">
        <f ca="1">ROUND(E37*D37*F34/10000,0)</f>
        <v>428</v>
      </c>
      <c r="D37" s="261">
        <f ca="1">D19</f>
        <v>21386.67</v>
      </c>
      <c r="E37" s="293">
        <f>'数据-取费表'!B35</f>
        <v>200</v>
      </c>
      <c r="F37" s="303"/>
      <c r="G37" s="305" t="s">
        <v>2395</v>
      </c>
    </row>
    <row r="38" spans="1:7" ht="13.5" customHeight="1">
      <c r="A38" s="952" t="s">
        <v>799</v>
      </c>
      <c r="B38" s="259" t="s">
        <v>2396</v>
      </c>
      <c r="C38" s="264">
        <f ca="1">ROUND(C34*F38,0)</f>
        <v>191</v>
      </c>
      <c r="D38" s="264"/>
      <c r="E38" s="264"/>
      <c r="F38" s="303">
        <f>'数据-取费表'!B36</f>
        <v>1.4999999999999999E-2</v>
      </c>
      <c r="G38" s="263" t="s">
        <v>2391</v>
      </c>
    </row>
    <row r="39" spans="1:7" s="258" customFormat="1" ht="13.5" customHeight="1">
      <c r="A39" s="299" t="s">
        <v>2354</v>
      </c>
      <c r="B39" s="254" t="s">
        <v>2357</v>
      </c>
      <c r="C39" s="276">
        <f ca="1">ROUND(C33*F20,0)</f>
        <v>278</v>
      </c>
      <c r="D39" s="276"/>
      <c r="E39" s="276"/>
      <c r="F39" s="277"/>
      <c r="G39" s="278" t="s">
        <v>2399</v>
      </c>
    </row>
    <row r="40" spans="1:7" s="258" customFormat="1" ht="13.5" customHeight="1">
      <c r="A40" s="299" t="s">
        <v>2356</v>
      </c>
      <c r="B40" s="254" t="s">
        <v>2360</v>
      </c>
      <c r="C40" s="1729">
        <f>F21</f>
        <v>0.02</v>
      </c>
      <c r="D40" s="280" t="s">
        <v>2402</v>
      </c>
      <c r="E40" s="276"/>
      <c r="F40" s="277"/>
      <c r="G40" s="278" t="s">
        <v>2403</v>
      </c>
    </row>
    <row r="41" spans="1:7" s="258" customFormat="1" ht="13.5" customHeight="1">
      <c r="A41" s="299" t="s">
        <v>2359</v>
      </c>
      <c r="B41" s="254" t="s">
        <v>2364</v>
      </c>
      <c r="C41" s="276">
        <f ca="1">ROUND(SUM(C42:C43),0)</f>
        <v>673</v>
      </c>
      <c r="D41" s="279">
        <f ca="1">C44</f>
        <v>1E-3</v>
      </c>
      <c r="E41" s="280" t="s">
        <v>2402</v>
      </c>
      <c r="F41" s="281"/>
      <c r="G41" s="278" t="str">
        <f>IF('数据-取费表'!B22&lt;=1,"单利计息","复利计息")</f>
        <v>复利计息</v>
      </c>
    </row>
    <row r="42" spans="1:7" ht="13.5" customHeight="1">
      <c r="A42" s="952" t="s">
        <v>791</v>
      </c>
      <c r="B42" s="259" t="s">
        <v>2366</v>
      </c>
      <c r="C42" s="282">
        <f ca="1">ROUND(IF('数据-取费表'!B22&lt;=1,C33*F22*'数据-取费表'!B21/2,C33*(POWER((1+F22),'数据-取费表'!B21/2)-1)),0)</f>
        <v>660</v>
      </c>
      <c r="D42" s="282"/>
      <c r="E42" s="282"/>
      <c r="F42" s="283"/>
      <c r="G42" s="3559" t="s">
        <v>2407</v>
      </c>
    </row>
    <row r="43" spans="1:7" ht="13.5" customHeight="1">
      <c r="A43" s="952" t="s">
        <v>792</v>
      </c>
      <c r="B43" s="259" t="s">
        <v>2369</v>
      </c>
      <c r="C43" s="282">
        <f ca="1">ROUND(IF('数据-取费表'!B22&lt;=1,C39*F22*'数据-取费表'!B21/2,C39*(POWER((1+F22),'数据-取费表'!B21/2)-1)),0)</f>
        <v>13</v>
      </c>
      <c r="D43" s="282"/>
      <c r="E43" s="282"/>
      <c r="F43" s="283"/>
      <c r="G43" s="3560"/>
    </row>
    <row r="44" spans="1:7" ht="13.5" customHeight="1">
      <c r="A44" s="952" t="s">
        <v>793</v>
      </c>
      <c r="B44" s="259" t="s">
        <v>2372</v>
      </c>
      <c r="C44" s="282">
        <f ca="1">ROUND(IF('数据-取费表'!B22&lt;=1,C40*F22*'数据-取费表'!B21/2,C40*(POWER((1+F22),'数据-取费表'!B21/2)-1)),4)</f>
        <v>1E-3</v>
      </c>
      <c r="D44" s="282"/>
      <c r="E44" s="282"/>
      <c r="F44" s="283"/>
      <c r="G44" s="3561"/>
    </row>
    <row r="45" spans="1:7" s="258" customFormat="1" ht="13.5" customHeight="1">
      <c r="A45" s="299" t="s">
        <v>2363</v>
      </c>
      <c r="B45" s="288" t="s">
        <v>2376</v>
      </c>
      <c r="C45" s="289">
        <f ca="1">C46</f>
        <v>2833</v>
      </c>
      <c r="D45" s="279">
        <f ca="1">C47</f>
        <v>4.0000000000000001E-3</v>
      </c>
      <c r="E45" s="280" t="s">
        <v>2402</v>
      </c>
      <c r="F45" s="290"/>
      <c r="G45" s="291" t="s">
        <v>2411</v>
      </c>
    </row>
    <row r="46" spans="1:7" s="258" customFormat="1" ht="13.5" customHeight="1">
      <c r="A46" s="952" t="s">
        <v>791</v>
      </c>
      <c r="B46" s="292" t="s">
        <v>2412</v>
      </c>
      <c r="C46" s="293">
        <f ca="1">ROUND((C33+C39)*F27,0)</f>
        <v>2833</v>
      </c>
      <c r="D46" s="307"/>
      <c r="E46" s="280"/>
      <c r="F46" s="290"/>
      <c r="G46" s="291"/>
    </row>
    <row r="47" spans="1:7" s="258" customFormat="1" ht="13.5" customHeight="1">
      <c r="A47" s="952" t="s">
        <v>792</v>
      </c>
      <c r="B47" s="292" t="s">
        <v>2413</v>
      </c>
      <c r="C47" s="282">
        <f ca="1">ROUND(C40*F27,4)</f>
        <v>4.0000000000000001E-3</v>
      </c>
      <c r="D47" s="307"/>
      <c r="E47" s="280"/>
      <c r="F47" s="290"/>
      <c r="G47" s="291"/>
    </row>
    <row r="48" spans="1:7" s="258" customFormat="1" ht="13.5" customHeight="1">
      <c r="A48" s="299" t="s">
        <v>2375</v>
      </c>
      <c r="B48" s="254" t="s">
        <v>2414</v>
      </c>
      <c r="C48" s="1729">
        <f>ROUND(F30/(1+'数据-取费表'!C42),4)</f>
        <v>5.33E-2</v>
      </c>
      <c r="D48" s="280" t="s">
        <v>2402</v>
      </c>
      <c r="E48" s="276"/>
      <c r="F48" s="281"/>
      <c r="G48" s="278" t="s">
        <v>2415</v>
      </c>
    </row>
    <row r="49" spans="1:7" ht="16.5" customHeight="1">
      <c r="A49" s="299" t="s">
        <v>2381</v>
      </c>
      <c r="B49" s="254" t="s">
        <v>2416</v>
      </c>
      <c r="C49" s="276">
        <f ca="1">ROUND((C33+C39+C41+C45)/(1-C40-D41-D45-C48),0)</f>
        <v>19174</v>
      </c>
      <c r="D49" s="276"/>
      <c r="E49" s="276"/>
      <c r="F49" s="308"/>
      <c r="G49" s="278" t="s">
        <v>2417</v>
      </c>
    </row>
    <row r="50" spans="1:7" s="302" customFormat="1" ht="24">
      <c r="A50" s="299" t="s">
        <v>2418</v>
      </c>
      <c r="B50" s="254" t="s">
        <v>2419</v>
      </c>
      <c r="C50" s="276"/>
      <c r="D50" s="276"/>
      <c r="E50" s="276"/>
      <c r="F50" s="308">
        <f>IF('数据-取费表'!B24=0,'数据-取费表'!N16,1)</f>
        <v>0.93</v>
      </c>
      <c r="G50" s="291" t="s">
        <v>2420</v>
      </c>
    </row>
    <row r="51" spans="1:7" ht="16.5" customHeight="1">
      <c r="A51" s="299" t="s">
        <v>2421</v>
      </c>
      <c r="B51" s="254" t="s">
        <v>2422</v>
      </c>
      <c r="C51" s="276">
        <f ca="1">ROUND(C49*F50,0)</f>
        <v>17832</v>
      </c>
      <c r="D51" s="276"/>
      <c r="E51" s="276"/>
      <c r="F51" s="308"/>
      <c r="G51" s="278" t="s">
        <v>2423</v>
      </c>
    </row>
    <row r="52" spans="1:7" s="252" customFormat="1" ht="16.8" thickBot="1">
      <c r="A52" s="309" t="s">
        <v>2424</v>
      </c>
      <c r="B52" s="310"/>
      <c r="C52" s="311">
        <f ca="1">C31+C51</f>
        <v>92552</v>
      </c>
      <c r="D52" s="310"/>
      <c r="E52" s="310"/>
      <c r="F52" s="310"/>
      <c r="G52" s="312"/>
    </row>
    <row r="55" spans="1:7" ht="15">
      <c r="B55" s="314" t="s">
        <v>2425</v>
      </c>
      <c r="C55" s="315"/>
    </row>
    <row r="56" spans="1:7">
      <c r="B56" s="317" t="s">
        <v>1513</v>
      </c>
      <c r="C56" s="319">
        <f ca="1">1-C57</f>
        <v>0.80699999999999994</v>
      </c>
    </row>
    <row r="57" spans="1:7">
      <c r="B57" s="317" t="s">
        <v>1514</v>
      </c>
      <c r="C57" s="318">
        <f ca="1">ROUND(C51/C52,3)</f>
        <v>0.193</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1" customWidth="1"/>
    <col min="2" max="2" width="37.21875" style="1961" customWidth="1"/>
    <col min="3" max="3" width="11.33203125" style="1961" customWidth="1"/>
    <col min="4" max="4" width="31.77734375" style="1961" customWidth="1"/>
    <col min="5" max="5" width="0.44140625" style="1961" customWidth="1"/>
    <col min="6" max="7" width="13" style="1961" customWidth="1"/>
    <col min="8" max="16384" width="9" style="1961"/>
  </cols>
  <sheetData>
    <row r="1" spans="1:5" ht="17.399999999999999">
      <c r="A1" s="1959" t="s">
        <v>1621</v>
      </c>
      <c r="B1" s="1960"/>
      <c r="C1" s="1960"/>
      <c r="D1" s="1960"/>
      <c r="E1" s="1960"/>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2"/>
      <c r="C2" s="3252"/>
      <c r="D2" s="3252"/>
      <c r="E2" s="3252"/>
    </row>
    <row r="3" spans="1:5" ht="17.399999999999999">
      <c r="A3" s="3253" t="str">
        <f>IF(项目基本情况!B9="房地产市场价值","估价结果一览表（市场价值不需“结果表-1”）","估价结果一览表")</f>
        <v>估价结果一览表</v>
      </c>
      <c r="B3" s="3253"/>
      <c r="C3" s="3253"/>
      <c r="D3" s="3253"/>
      <c r="E3" s="3253"/>
    </row>
    <row r="4" spans="1:5" ht="18" thickBot="1">
      <c r="A4" s="1962"/>
      <c r="B4" s="3251" t="s">
        <v>1630</v>
      </c>
      <c r="C4" s="3251"/>
      <c r="D4" s="3251"/>
      <c r="E4" s="1962"/>
    </row>
    <row r="5" spans="1:5" ht="16.2" thickTop="1">
      <c r="A5" s="1960"/>
      <c r="B5" s="3249" t="s">
        <v>1622</v>
      </c>
      <c r="C5" s="1963" t="s">
        <v>1623</v>
      </c>
      <c r="D5" s="1041">
        <f ca="1">结果表!H101</f>
        <v>188648</v>
      </c>
      <c r="E5" s="1960"/>
    </row>
    <row r="6" spans="1:5" ht="31.2">
      <c r="A6" s="1960"/>
      <c r="B6" s="3249"/>
      <c r="C6" s="1963" t="s">
        <v>1624</v>
      </c>
      <c r="D6" s="1041" t="str">
        <f ca="1">NUMBERSTRING(INT(D5*10000),2)&amp;"元整"</f>
        <v>壹拾捌亿捌仟陆佰肆拾捌万元整</v>
      </c>
      <c r="E6" s="1960"/>
    </row>
    <row r="7" spans="1:5" ht="15.6">
      <c r="A7" s="1960"/>
      <c r="B7" s="3254"/>
      <c r="C7" s="1964" t="s">
        <v>1625</v>
      </c>
      <c r="D7" s="1042">
        <f ca="1">结果表!H102</f>
        <v>37639</v>
      </c>
      <c r="E7" s="1960"/>
    </row>
    <row r="8" spans="1:5" ht="15.6">
      <c r="A8" s="1960"/>
      <c r="B8" s="3255" t="str">
        <f>结果表!E103</f>
        <v>2.估价师知悉的法定优先受偿款</v>
      </c>
      <c r="C8" s="1965" t="s">
        <v>1626</v>
      </c>
      <c r="D8" s="1042">
        <f>结果表!H103</f>
        <v>0</v>
      </c>
      <c r="E8" s="1960"/>
    </row>
    <row r="9" spans="1:5" ht="15.6">
      <c r="A9" s="1960"/>
      <c r="B9" s="3257"/>
      <c r="C9" s="1963" t="s">
        <v>1624</v>
      </c>
      <c r="D9" s="1041" t="str">
        <f>NUMBERSTRING(INT(D8*10000),2)&amp;"元整"</f>
        <v>零元整</v>
      </c>
      <c r="E9" s="1960"/>
    </row>
    <row r="10" spans="1:5" ht="15.6">
      <c r="A10" s="1960"/>
      <c r="B10" s="1966" t="s">
        <v>1629</v>
      </c>
      <c r="C10" s="1967" t="s">
        <v>1627</v>
      </c>
      <c r="D10" s="1043">
        <f>结果表!H104</f>
        <v>0</v>
      </c>
      <c r="E10" s="1960"/>
    </row>
    <row r="11" spans="1:5" ht="15.6">
      <c r="A11" s="1960"/>
      <c r="B11" s="1966" t="s">
        <v>1631</v>
      </c>
      <c r="C11" s="1967" t="s">
        <v>1632</v>
      </c>
      <c r="D11" s="1043">
        <f>结果表!H105</f>
        <v>0</v>
      </c>
      <c r="E11" s="1960"/>
    </row>
    <row r="12" spans="1:5" ht="15.6">
      <c r="A12" s="1960"/>
      <c r="B12" s="1966" t="s">
        <v>1633</v>
      </c>
      <c r="C12" s="1967" t="s">
        <v>1632</v>
      </c>
      <c r="D12" s="1043">
        <f>结果表!H106</f>
        <v>0</v>
      </c>
      <c r="E12" s="1960"/>
    </row>
    <row r="13" spans="1:5" ht="15.6">
      <c r="A13" s="1960"/>
      <c r="B13" s="3248" t="str">
        <f>结果表!E107</f>
        <v>3.房地产抵押价值</v>
      </c>
      <c r="C13" s="1968" t="s">
        <v>1623</v>
      </c>
      <c r="D13" s="1044">
        <f ca="1">结果表!H107</f>
        <v>188648</v>
      </c>
      <c r="E13" s="1960"/>
    </row>
    <row r="14" spans="1:5" ht="31.2">
      <c r="A14" s="1960"/>
      <c r="B14" s="3249"/>
      <c r="C14" s="1963" t="s">
        <v>1624</v>
      </c>
      <c r="D14" s="1041" t="str">
        <f ca="1">NUMBERSTRING(INT(D13*10000),2)&amp;"元整"</f>
        <v>壹拾捌亿捌仟陆佰肆拾捌万元整</v>
      </c>
      <c r="E14" s="1960"/>
    </row>
    <row r="15" spans="1:5" ht="15.6">
      <c r="A15" s="1960"/>
      <c r="B15" s="3254"/>
      <c r="C15" s="1964" t="s">
        <v>1634</v>
      </c>
      <c r="D15" s="1053">
        <f ca="1">结果表!H108</f>
        <v>37639</v>
      </c>
      <c r="E15" s="1960"/>
    </row>
    <row r="16" spans="1:5" ht="15.6">
      <c r="A16" s="1960"/>
      <c r="B16" s="3255" t="str">
        <f>结果表!E109</f>
        <v>——</v>
      </c>
      <c r="C16" s="1968" t="s">
        <v>1635</v>
      </c>
      <c r="D16" s="1969" t="str">
        <f>结果表!H109</f>
        <v>——</v>
      </c>
      <c r="E16" s="1960"/>
    </row>
    <row r="17" spans="1:5" ht="15.6">
      <c r="A17" s="1960"/>
      <c r="B17" s="3256"/>
      <c r="C17" s="1963" t="s">
        <v>1636</v>
      </c>
      <c r="D17" s="1041" t="e">
        <f>NUMBERSTRING(INT(D16*10000),2)&amp;"元整"</f>
        <v>#VALUE!</v>
      </c>
      <c r="E17" s="1960"/>
    </row>
    <row r="18" spans="1:5" ht="15.6">
      <c r="A18" s="1960"/>
      <c r="B18" s="3257"/>
      <c r="C18" s="1964" t="s">
        <v>1625</v>
      </c>
      <c r="D18" s="1053" t="str">
        <f>结果表!H110</f>
        <v>——</v>
      </c>
      <c r="E18" s="1960"/>
    </row>
    <row r="19" spans="1:5" ht="15.6">
      <c r="A19" s="1960"/>
      <c r="B19" s="3248" t="str">
        <f>结果表!E111</f>
        <v>——</v>
      </c>
      <c r="C19" s="1968" t="s">
        <v>1623</v>
      </c>
      <c r="D19" s="1042" t="str">
        <f>结果表!H111</f>
        <v>——</v>
      </c>
      <c r="E19" s="1960"/>
    </row>
    <row r="20" spans="1:5" ht="15.6">
      <c r="A20" s="1960"/>
      <c r="B20" s="3249"/>
      <c r="C20" s="1963" t="s">
        <v>1636</v>
      </c>
      <c r="D20" s="1041" t="e">
        <f>NUMBERSTRING(INT(D19*10000),2)&amp;"元整"</f>
        <v>#VALUE!</v>
      </c>
      <c r="E20" s="1960"/>
    </row>
    <row r="21" spans="1:5" ht="16.2" thickBot="1">
      <c r="A21" s="1960"/>
      <c r="B21" s="3250"/>
      <c r="C21" s="1970" t="s">
        <v>1634</v>
      </c>
      <c r="D21" s="1054" t="str">
        <f>结果表!H112</f>
        <v>——</v>
      </c>
      <c r="E21" s="1960"/>
    </row>
    <row r="22" spans="1:5" ht="14.4" thickTop="1">
      <c r="A22" s="1960"/>
      <c r="B22" s="1971" t="s">
        <v>1637</v>
      </c>
      <c r="C22" s="1960"/>
      <c r="D22" s="1960"/>
      <c r="E22" s="1960"/>
    </row>
    <row r="23" spans="1:5">
      <c r="A23" s="1960"/>
      <c r="B23" s="1960"/>
      <c r="C23" s="1960"/>
      <c r="D23" s="1960"/>
      <c r="E23" s="1960"/>
    </row>
    <row r="24" spans="1:5" ht="17.399999999999999">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80" zoomScaleNormal="80" zoomScaleSheetLayoutView="96" workbookViewId="0">
      <selection activeCell="C29" sqref="C29"/>
    </sheetView>
  </sheetViews>
  <sheetFormatPr defaultColWidth="12" defaultRowHeight="13.2"/>
  <cols>
    <col min="1" max="1" width="9.77734375" style="2796" customWidth="1"/>
    <col min="2" max="2" width="19.21875" style="2902" customWidth="1"/>
    <col min="3" max="4" width="12" style="2720"/>
    <col min="5" max="5" width="14.6640625" style="2720" customWidth="1"/>
    <col min="6" max="8" width="12" style="2720"/>
    <col min="9" max="9" width="12.21875" style="2720" bestFit="1" customWidth="1"/>
    <col min="10" max="10" width="12" style="2720"/>
    <col min="11" max="11" width="8.109375" style="2788" customWidth="1"/>
    <col min="12" max="12" width="12" style="2720"/>
    <col min="13" max="13" width="8.44140625" style="2720" customWidth="1"/>
    <col min="14" max="14" width="9.77734375" style="2720" customWidth="1"/>
    <col min="15" max="25" width="12" style="2720"/>
    <col min="26" max="26" width="9.33203125" style="2796" customWidth="1"/>
    <col min="27" max="32" width="9.33203125" style="1373" customWidth="1"/>
    <col min="33" max="36" width="9.33203125" style="2796" customWidth="1"/>
    <col min="37" max="38" width="9.33203125" style="2720" customWidth="1"/>
    <col min="39" max="16384" width="12" style="2720"/>
  </cols>
  <sheetData>
    <row r="1" spans="1:36" ht="31.2">
      <c r="A1" s="240" t="s">
        <v>2801</v>
      </c>
      <c r="B1" s="241"/>
      <c r="C1" s="245" t="s">
        <v>2802</v>
      </c>
      <c r="D1" s="388">
        <f>SUM(D29:D30,D33:D39)</f>
        <v>21099.64</v>
      </c>
      <c r="E1" s="2717"/>
      <c r="F1" s="2717"/>
      <c r="G1" s="2717"/>
      <c r="H1" s="2717"/>
      <c r="I1" s="2717"/>
      <c r="J1" s="2717"/>
      <c r="K1" s="1371"/>
      <c r="L1" s="2718" t="s">
        <v>2803</v>
      </c>
      <c r="M1" s="1081">
        <f>SUMPRODUCT((区片价!B5:B9=I2)*(区片价!C3:F3=E2)*(区片价!C5:F9))</f>
        <v>0</v>
      </c>
      <c r="N1" s="1084">
        <f>SUMPRODUCT((因素修正幅度!B5:B9=I2)*(因素修正幅度!C3:F3=E2)*(因素修正幅度!C5:F9))</f>
        <v>0</v>
      </c>
      <c r="O1" s="2719"/>
      <c r="P1" s="2719"/>
      <c r="Q1" s="1371"/>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6">
      <c r="A2" s="245" t="s">
        <v>2809</v>
      </c>
      <c r="B2" s="248">
        <f ca="1">C26</f>
        <v>50129</v>
      </c>
      <c r="C2" s="2721" t="s">
        <v>2810</v>
      </c>
      <c r="D2" s="2722" t="s">
        <v>2811</v>
      </c>
      <c r="E2" s="2723" t="s">
        <v>1377</v>
      </c>
      <c r="F2" s="2722" t="s">
        <v>2812</v>
      </c>
      <c r="G2" s="2724" t="str">
        <f>IF(E2="商业",项目基本情况!B37,IF(E2="办公",项目基本情况!C37,IF(E2="住宅",项目基本情况!D37,项目基本情况!E37)))</f>
        <v>二级</v>
      </c>
      <c r="H2" s="2722" t="s">
        <v>2813</v>
      </c>
      <c r="I2" s="2724" t="str">
        <f>IF(E2="商业",项目基本情况!B38,IF(E2="办公",项目基本情况!C38,IF(E2="住宅",项目基本情况!D38,项目基本情况!E38)))</f>
        <v>Ⅱ—14</v>
      </c>
      <c r="J2" s="2725"/>
      <c r="K2" s="1371"/>
      <c r="L2" s="2726" t="s">
        <v>2814</v>
      </c>
      <c r="M2" s="1082">
        <f>SUMPRODUCT((区片价!B10:B28=I2)*(区片价!C3:F3=E2)*(区片价!C10:F28))</f>
        <v>24700</v>
      </c>
      <c r="N2" s="1084">
        <f>SUMPRODUCT((因素修正幅度!B10:B28=I2)*(因素修正幅度!C3:F3=E2)*(因素修正幅度!C10:F28))</f>
        <v>9.9000000000000005E-2</v>
      </c>
      <c r="O2" s="1371"/>
      <c r="P2" s="1371"/>
      <c r="Q2" s="1371"/>
      <c r="R2" s="1603">
        <v>1</v>
      </c>
      <c r="S2" s="1603">
        <f>ROUND(IF(G3&gt;1,IF(R2&lt;7,SUMPRODUCT((B93:B98=R2)*(C92:N92=G2)*(C93:N98)),SUMIF(C92:N92,G2,C100:N100)),IF(R2&lt;7,SUMPRODUCT((B102:B107=R2)*(C92:N92=G2)*(C102:N107)),SUMIF(C92:N92,G2,C109:N109))),4)</f>
        <v>1.9361999999999999</v>
      </c>
      <c r="T2" s="1603">
        <f ca="1">ROUND($C$5*$C$18*$C$19*$C$20*S2*$C$24,0)</f>
        <v>52651</v>
      </c>
      <c r="U2" s="1604"/>
      <c r="V2" s="1603">
        <f ca="1">ROUND(T2*U2/10000,0)</f>
        <v>0</v>
      </c>
      <c r="W2" s="1607"/>
      <c r="X2" s="1607"/>
      <c r="Y2" s="1607"/>
      <c r="Z2" s="1607"/>
      <c r="AA2" s="1607"/>
      <c r="AB2" s="1607"/>
      <c r="AC2" s="1608"/>
      <c r="AD2" s="1609"/>
      <c r="AE2" s="1609"/>
      <c r="AF2" s="1609"/>
      <c r="AG2" s="1609"/>
      <c r="AH2" s="1609"/>
      <c r="AI2" s="1609"/>
      <c r="AJ2" s="1610"/>
    </row>
    <row r="3" spans="1:36" ht="15.6">
      <c r="A3" s="247" t="s">
        <v>2815</v>
      </c>
      <c r="B3" s="248">
        <f ca="1">ROUND(B2*10000/D1,0)</f>
        <v>23758</v>
      </c>
      <c r="C3" s="2721" t="s">
        <v>2816</v>
      </c>
      <c r="D3" s="2722" t="s">
        <v>2817</v>
      </c>
      <c r="E3" s="2727" t="s">
        <v>3065</v>
      </c>
      <c r="F3" s="2728" t="s">
        <v>3070</v>
      </c>
      <c r="G3" s="914">
        <f>IF(F3="宗地容积率",'数据-汇总表'!I4,IF(F3="估价对象容积率",'数据-汇总表'!I6,'数据-汇总表'!I7))</f>
        <v>7.5</v>
      </c>
      <c r="H3" s="198" t="s">
        <v>2818</v>
      </c>
      <c r="I3" s="945"/>
      <c r="J3" s="2725" t="s">
        <v>2819</v>
      </c>
      <c r="K3" s="1371"/>
      <c r="L3" s="2726" t="s">
        <v>2820</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1.4198</v>
      </c>
      <c r="T3" s="1603">
        <f t="shared" ref="T3:T16" ca="1" si="0">ROUND($C$5*$C$18*$C$19*$C$20*S3*$C$24,0)</f>
        <v>38608</v>
      </c>
      <c r="U3" s="1604"/>
      <c r="V3" s="1603">
        <f t="shared" ref="V3:V16" ca="1" si="1">ROUND(T3*U3/10000,0)</f>
        <v>0</v>
      </c>
      <c r="W3" s="1607"/>
      <c r="X3" s="1607"/>
      <c r="Y3" s="1607"/>
      <c r="Z3" s="1607"/>
      <c r="AA3" s="1607"/>
      <c r="AB3" s="1607"/>
      <c r="AC3" s="1608"/>
      <c r="AD3" s="1609"/>
      <c r="AE3" s="1609"/>
      <c r="AF3" s="1609"/>
      <c r="AG3" s="1609"/>
      <c r="AH3" s="1609"/>
      <c r="AI3" s="1609"/>
      <c r="AJ3" s="1610"/>
    </row>
    <row r="4" spans="1:36" ht="15.6">
      <c r="A4" s="3673"/>
      <c r="B4" s="3674"/>
      <c r="C4" s="3674"/>
      <c r="D4" s="3675"/>
      <c r="E4" s="3675"/>
      <c r="F4" s="3675"/>
      <c r="G4" s="3675"/>
      <c r="H4" s="3675"/>
      <c r="I4" s="3675"/>
      <c r="J4" s="3676"/>
      <c r="K4" s="1371"/>
      <c r="L4" s="2726" t="s">
        <v>2821</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1.1594</v>
      </c>
      <c r="T4" s="1603">
        <f t="shared" ca="1" si="0"/>
        <v>31527</v>
      </c>
      <c r="U4" s="1604"/>
      <c r="V4" s="1603">
        <f t="shared" ca="1" si="1"/>
        <v>0</v>
      </c>
      <c r="W4" s="1607"/>
      <c r="X4" s="1607"/>
      <c r="Y4" s="1607"/>
      <c r="Z4" s="1607"/>
      <c r="AA4" s="1607"/>
      <c r="AB4" s="1607"/>
      <c r="AC4" s="1608"/>
      <c r="AD4" s="1609"/>
      <c r="AE4" s="1609"/>
      <c r="AF4" s="1609"/>
      <c r="AG4" s="1609"/>
      <c r="AH4" s="1609"/>
      <c r="AI4" s="1609"/>
      <c r="AJ4" s="1610"/>
    </row>
    <row r="5" spans="1:36" s="2738" customFormat="1" ht="15.6" thickBot="1">
      <c r="A5" s="2729" t="s">
        <v>807</v>
      </c>
      <c r="B5" s="2730" t="s">
        <v>2822</v>
      </c>
      <c r="C5" s="915">
        <f>ROUND(IF(E2="商业",IF(F16="增加",C6*C7+C16,C6*C7-C16),IF(E2="住宅",IF(F16="增加",C6*C12+C16,C6*C12-C16),IF(F16="增加",C6+C16,C6-C16))),0)</f>
        <v>24683</v>
      </c>
      <c r="D5" s="1788">
        <f>ROUND(IF(E2="商业",IF(F16="增加",C6+C16,C6-C16)),0)</f>
        <v>24683</v>
      </c>
      <c r="E5" s="2731"/>
      <c r="F5" s="2731"/>
      <c r="G5" s="2732"/>
      <c r="H5" s="2732"/>
      <c r="I5" s="2732"/>
      <c r="J5" s="2733"/>
      <c r="K5" s="2734"/>
      <c r="L5" s="2726" t="s">
        <v>2823</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0.96220000000000006</v>
      </c>
      <c r="T5" s="1603">
        <f t="shared" ca="1" si="0"/>
        <v>26165</v>
      </c>
      <c r="U5" s="1604"/>
      <c r="V5" s="1603">
        <f t="shared" ca="1" si="1"/>
        <v>0</v>
      </c>
      <c r="W5" s="1607"/>
      <c r="X5" s="1607"/>
      <c r="Y5" s="1607"/>
      <c r="Z5" s="1607"/>
      <c r="AA5" s="1607"/>
      <c r="AB5" s="1607"/>
      <c r="AC5" s="2735"/>
      <c r="AD5" s="2736"/>
      <c r="AE5" s="2736"/>
      <c r="AF5" s="2736"/>
      <c r="AG5" s="2736"/>
      <c r="AH5" s="2736"/>
      <c r="AI5" s="2736"/>
      <c r="AJ5" s="2737"/>
    </row>
    <row r="6" spans="1:36" ht="15.6" thickBot="1">
      <c r="A6" s="2739" t="s">
        <v>2824</v>
      </c>
      <c r="B6" s="2740" t="s">
        <v>2825</v>
      </c>
      <c r="C6" s="916">
        <f>SUMIF(L1:L12,G2,M1:M12)</f>
        <v>24700</v>
      </c>
      <c r="D6" s="2741" t="s">
        <v>2826</v>
      </c>
      <c r="E6" s="2742"/>
      <c r="F6" s="2742"/>
      <c r="G6" s="2743"/>
      <c r="H6" s="2743"/>
      <c r="I6" s="2743"/>
      <c r="J6" s="2744"/>
      <c r="K6" s="1843"/>
      <c r="L6" s="2726" t="s">
        <v>2827</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0.8417</v>
      </c>
      <c r="T6" s="1603">
        <f t="shared" ca="1" si="0"/>
        <v>22888</v>
      </c>
      <c r="U6" s="1604"/>
      <c r="V6" s="1603">
        <f t="shared" ca="1" si="1"/>
        <v>0</v>
      </c>
      <c r="W6" s="1607"/>
      <c r="X6" s="1607"/>
      <c r="Y6" s="1607"/>
      <c r="Z6" s="1607"/>
      <c r="AA6" s="1607"/>
      <c r="AB6" s="1607"/>
      <c r="AC6" s="2735"/>
      <c r="AD6" s="2736"/>
      <c r="AE6" s="2736"/>
      <c r="AF6" s="2736"/>
      <c r="AG6" s="2736"/>
      <c r="AH6" s="2736"/>
      <c r="AI6" s="2736"/>
      <c r="AJ6" s="2737"/>
    </row>
    <row r="7" spans="1:36" ht="24">
      <c r="A7" s="3659" t="str">
        <f>IF(E2="商业",IF(C8="不临58条商业街","",2),"")</f>
        <v/>
      </c>
      <c r="B7" s="2745" t="s">
        <v>2828</v>
      </c>
      <c r="C7" s="917">
        <f>IF(C8="不临58条商业街",1,ROUND(1+(1.6*E8+1.2*E9+0.8*E10+0.4*E11)*C9,4))</f>
        <v>1</v>
      </c>
      <c r="D7" s="2746" t="s">
        <v>2829</v>
      </c>
      <c r="E7" s="946"/>
      <c r="F7" s="2747"/>
      <c r="G7" s="2748"/>
      <c r="H7" s="2748"/>
      <c r="I7" s="2748"/>
      <c r="J7" s="2749"/>
      <c r="K7" s="1843"/>
      <c r="L7" s="2726" t="s">
        <v>2830</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0.76080000000000003</v>
      </c>
      <c r="T7" s="1603">
        <f t="shared" ca="1" si="0"/>
        <v>20688</v>
      </c>
      <c r="U7" s="1604"/>
      <c r="V7" s="1603">
        <f t="shared" ca="1" si="1"/>
        <v>0</v>
      </c>
      <c r="W7" s="1817" t="s">
        <v>2831</v>
      </c>
      <c r="X7" s="1605" t="str">
        <f>G2</f>
        <v>二级</v>
      </c>
      <c r="Y7" s="1605" t="s">
        <v>2832</v>
      </c>
      <c r="Z7" s="1606">
        <f>G3</f>
        <v>7.5</v>
      </c>
      <c r="AA7" s="1607"/>
      <c r="AB7" s="1607"/>
      <c r="AC7" s="1608"/>
      <c r="AD7" s="1609"/>
      <c r="AE7" s="1609"/>
      <c r="AF7" s="1609"/>
      <c r="AG7" s="1609"/>
      <c r="AH7" s="1609"/>
      <c r="AI7" s="1609"/>
      <c r="AJ7" s="1610"/>
    </row>
    <row r="8" spans="1:36" ht="26.4">
      <c r="A8" s="3660"/>
      <c r="B8" s="198" t="s">
        <v>2833</v>
      </c>
      <c r="C8" s="2750" t="s">
        <v>3067</v>
      </c>
      <c r="D8" s="918" t="s">
        <v>139</v>
      </c>
      <c r="E8" s="919" t="e">
        <f>ROUND(C11/E7,4)</f>
        <v>#DIV/0!</v>
      </c>
      <c r="F8" s="2751" t="s">
        <v>2834</v>
      </c>
      <c r="G8" s="2752"/>
      <c r="H8" s="2752"/>
      <c r="I8" s="2752"/>
      <c r="J8" s="2753"/>
      <c r="K8" s="1371"/>
      <c r="L8" s="2726" t="s">
        <v>2835</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670" t="s">
        <v>2836</v>
      </c>
      <c r="X8" s="3671"/>
      <c r="Y8" s="1611" t="s">
        <v>2837</v>
      </c>
      <c r="Z8" s="1611" t="s">
        <v>2838</v>
      </c>
      <c r="AA8" s="1611" t="s">
        <v>2839</v>
      </c>
      <c r="AB8" s="1611" t="s">
        <v>2840</v>
      </c>
      <c r="AC8" s="1611" t="s">
        <v>2841</v>
      </c>
      <c r="AD8" s="1611" t="s">
        <v>2842</v>
      </c>
      <c r="AE8" s="1611" t="s">
        <v>2843</v>
      </c>
      <c r="AF8" s="1611" t="s">
        <v>2844</v>
      </c>
      <c r="AG8" s="1611" t="s">
        <v>2845</v>
      </c>
      <c r="AH8" s="1611" t="s">
        <v>2846</v>
      </c>
      <c r="AI8" s="1611" t="s">
        <v>2847</v>
      </c>
      <c r="AJ8" s="1611" t="s">
        <v>2848</v>
      </c>
    </row>
    <row r="9" spans="1:36" ht="15">
      <c r="A9" s="3660"/>
      <c r="B9" s="198" t="s">
        <v>2849</v>
      </c>
      <c r="C9" s="920">
        <f>SUMIF(修正!C59:C119,C8,修正!E59:E119)</f>
        <v>0</v>
      </c>
      <c r="D9" s="200" t="s">
        <v>140</v>
      </c>
      <c r="E9" s="200" t="e">
        <f>ROUND(C11/E7,4)</f>
        <v>#DIV/0!</v>
      </c>
      <c r="F9" s="2751" t="s">
        <v>2850</v>
      </c>
      <c r="G9" s="2752"/>
      <c r="H9" s="2752"/>
      <c r="I9" s="2752"/>
      <c r="J9" s="2753"/>
      <c r="K9" s="1371"/>
      <c r="L9" s="2726" t="s">
        <v>2851</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672" t="s">
        <v>2852</v>
      </c>
      <c r="X9" s="1612" t="s">
        <v>2853</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660"/>
      <c r="B10" s="198" t="s">
        <v>2854</v>
      </c>
      <c r="C10" s="200">
        <f>SUMIF(修正!C59:C119,C8,修正!F59:F119)</f>
        <v>0</v>
      </c>
      <c r="D10" s="200" t="s">
        <v>141</v>
      </c>
      <c r="E10" s="200" t="e">
        <f>ROUND(C11/E7,4)</f>
        <v>#DIV/0!</v>
      </c>
      <c r="F10" s="2751" t="s">
        <v>2855</v>
      </c>
      <c r="G10" s="2752"/>
      <c r="H10" s="2752"/>
      <c r="I10" s="2752"/>
      <c r="J10" s="2753"/>
      <c r="K10" s="1371"/>
      <c r="L10" s="2726" t="s">
        <v>2856</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67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660"/>
      <c r="B11" s="2754" t="s">
        <v>2857</v>
      </c>
      <c r="C11" s="921">
        <f>C10/4</f>
        <v>0</v>
      </c>
      <c r="D11" s="921" t="s">
        <v>142</v>
      </c>
      <c r="E11" s="921" t="e">
        <f>ROUND(C11/E7,4)</f>
        <v>#DIV/0!</v>
      </c>
      <c r="F11" s="2755" t="s">
        <v>2858</v>
      </c>
      <c r="G11" s="2756"/>
      <c r="H11" s="2756"/>
      <c r="I11" s="2756"/>
      <c r="J11" s="2757"/>
      <c r="K11" s="1371"/>
      <c r="L11" s="2726" t="s">
        <v>2859</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672" t="s">
        <v>2860</v>
      </c>
      <c r="X11" s="1615" t="s">
        <v>2861</v>
      </c>
      <c r="Y11" s="1616">
        <f>$G$3</f>
        <v>7.5</v>
      </c>
      <c r="Z11" s="1616">
        <f t="shared" ref="Z11:AJ11" si="3">$G$3</f>
        <v>7.5</v>
      </c>
      <c r="AA11" s="1616">
        <f t="shared" si="3"/>
        <v>7.5</v>
      </c>
      <c r="AB11" s="1616">
        <f t="shared" si="3"/>
        <v>7.5</v>
      </c>
      <c r="AC11" s="1616">
        <f t="shared" si="3"/>
        <v>7.5</v>
      </c>
      <c r="AD11" s="1616">
        <f t="shared" si="3"/>
        <v>7.5</v>
      </c>
      <c r="AE11" s="1616">
        <f t="shared" si="3"/>
        <v>7.5</v>
      </c>
      <c r="AF11" s="1616">
        <f t="shared" si="3"/>
        <v>7.5</v>
      </c>
      <c r="AG11" s="1616">
        <f t="shared" si="3"/>
        <v>7.5</v>
      </c>
      <c r="AH11" s="1616">
        <f t="shared" si="3"/>
        <v>7.5</v>
      </c>
      <c r="AI11" s="1616">
        <f t="shared" si="3"/>
        <v>7.5</v>
      </c>
      <c r="AJ11" s="1616">
        <f t="shared" si="3"/>
        <v>7.5</v>
      </c>
    </row>
    <row r="12" spans="1:36" ht="25.8" thickBot="1">
      <c r="A12" s="3659" t="s">
        <v>2862</v>
      </c>
      <c r="B12" s="2758" t="s">
        <v>2863</v>
      </c>
      <c r="C12" s="917">
        <f>ROUND(C15*D15*E15*F15*G15*H15*I15*J15,4)</f>
        <v>1</v>
      </c>
      <c r="D12" s="2759" t="s">
        <v>2864</v>
      </c>
      <c r="E12" s="2760"/>
      <c r="F12" s="2760"/>
      <c r="G12" s="2761"/>
      <c r="H12" s="2761"/>
      <c r="I12" s="2761"/>
      <c r="J12" s="2762"/>
      <c r="K12" s="1371"/>
      <c r="L12" s="2763" t="s">
        <v>2865</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672"/>
      <c r="X12" s="1617" t="s">
        <v>2866</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677"/>
      <c r="B13" s="2764" t="s">
        <v>2867</v>
      </c>
      <c r="C13" s="2765" t="s">
        <v>2868</v>
      </c>
      <c r="D13" s="1809" t="s">
        <v>2869</v>
      </c>
      <c r="E13" s="1809" t="s">
        <v>2870</v>
      </c>
      <c r="F13" s="30" t="s">
        <v>2871</v>
      </c>
      <c r="G13" s="2766" t="s">
        <v>2872</v>
      </c>
      <c r="H13" s="2766" t="s">
        <v>2872</v>
      </c>
      <c r="I13" s="2766" t="s">
        <v>2872</v>
      </c>
      <c r="J13" s="2767" t="s">
        <v>2872</v>
      </c>
      <c r="K13" s="1371"/>
      <c r="L13" s="1371"/>
      <c r="M13" s="1371"/>
      <c r="N13" s="1371"/>
      <c r="O13" s="1371"/>
      <c r="P13" s="1371"/>
      <c r="Q13" s="1371"/>
      <c r="R13" s="1603">
        <v>12</v>
      </c>
      <c r="S13" s="1604"/>
      <c r="T13" s="1603">
        <f t="shared" ca="1" si="0"/>
        <v>0</v>
      </c>
      <c r="U13" s="1604"/>
      <c r="V13" s="1603">
        <f t="shared" ca="1" si="1"/>
        <v>0</v>
      </c>
      <c r="W13" s="3672"/>
      <c r="X13" s="1617"/>
      <c r="Y13" s="1614">
        <f>(-0.163*(Y12^2)-0.59*Y12+7617)*(10^(-4))/Y11</f>
        <v>0.10156000000000001</v>
      </c>
      <c r="Z13" s="1614">
        <f t="shared" ref="Z13:AJ13" si="5">(-0.163*(Z12^2)-0.59*Z12+7617)*(10^(-4))/Z11</f>
        <v>0.10156000000000001</v>
      </c>
      <c r="AA13" s="1614">
        <f t="shared" si="5"/>
        <v>0.10156000000000001</v>
      </c>
      <c r="AB13" s="1614">
        <f t="shared" si="5"/>
        <v>0.10156000000000001</v>
      </c>
      <c r="AC13" s="1614">
        <f t="shared" si="5"/>
        <v>0.10156000000000001</v>
      </c>
      <c r="AD13" s="1614">
        <f t="shared" si="5"/>
        <v>0.10156000000000001</v>
      </c>
      <c r="AE13" s="1614">
        <f t="shared" si="5"/>
        <v>0.10156000000000001</v>
      </c>
      <c r="AF13" s="1614">
        <f t="shared" si="5"/>
        <v>0.10156000000000001</v>
      </c>
      <c r="AG13" s="1614">
        <f t="shared" si="5"/>
        <v>0.10156000000000001</v>
      </c>
      <c r="AH13" s="1614">
        <f t="shared" si="5"/>
        <v>0.10156000000000001</v>
      </c>
      <c r="AI13" s="1614">
        <f t="shared" si="5"/>
        <v>0.10156000000000001</v>
      </c>
      <c r="AJ13" s="1614">
        <f t="shared" si="5"/>
        <v>0.10156000000000001</v>
      </c>
    </row>
    <row r="14" spans="1:36" ht="15">
      <c r="A14" s="3677"/>
      <c r="B14" s="2768"/>
      <c r="C14" s="2769"/>
      <c r="D14" s="2770"/>
      <c r="E14" s="2770"/>
      <c r="F14" s="2771"/>
      <c r="G14" s="2772" t="s">
        <v>2873</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6" thickBot="1">
      <c r="A15" s="3678"/>
      <c r="B15" s="2776" t="s">
        <v>2874</v>
      </c>
      <c r="C15" s="229">
        <f>IF(C14="有",1.1,1)</f>
        <v>1</v>
      </c>
      <c r="D15" s="229">
        <f>IF(D14="有",1.1,1)</f>
        <v>1</v>
      </c>
      <c r="E15" s="229">
        <f>IF(E14="有",1.1,1)</f>
        <v>1</v>
      </c>
      <c r="F15" s="229">
        <f>IF(F14="500米范围内",1.2,IF(F14="500-1000米",1.1,1))</f>
        <v>1</v>
      </c>
      <c r="G15" s="947">
        <v>1</v>
      </c>
      <c r="H15" s="947">
        <v>1</v>
      </c>
      <c r="I15" s="947">
        <v>1</v>
      </c>
      <c r="J15" s="948">
        <v>1</v>
      </c>
      <c r="K15" s="1371"/>
      <c r="L15" s="2777" t="s">
        <v>2811</v>
      </c>
      <c r="M15" s="918" t="s">
        <v>2875</v>
      </c>
      <c r="N15" s="918" t="s">
        <v>2876</v>
      </c>
      <c r="O15" s="918" t="s">
        <v>2877</v>
      </c>
      <c r="P15" s="2778" t="s">
        <v>2878</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659" t="s">
        <v>2879</v>
      </c>
      <c r="B16" s="2745" t="s">
        <v>2880</v>
      </c>
      <c r="C16" s="1802">
        <f>ROUND(SUM(G17:J17)/C17,0)</f>
        <v>17</v>
      </c>
      <c r="D16" s="2779" t="s">
        <v>2881</v>
      </c>
      <c r="E16" s="2780" t="s">
        <v>3068</v>
      </c>
      <c r="F16" s="2781" t="s">
        <v>3069</v>
      </c>
      <c r="G16" s="2782" t="s">
        <v>3328</v>
      </c>
      <c r="H16" s="2782"/>
      <c r="I16" s="2782"/>
      <c r="J16" s="2783"/>
      <c r="K16" s="1371"/>
      <c r="L16" s="2784" t="s">
        <v>2882</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24.6" thickBot="1">
      <c r="A17" s="3660"/>
      <c r="B17" s="2785" t="s">
        <v>2883</v>
      </c>
      <c r="C17" s="922">
        <f>SUMPRODUCT((修正!A2:A5=E2)*(修正!B1:M1=G2)*(修正!B2:M5))</f>
        <v>3.5</v>
      </c>
      <c r="D17" s="2786" t="s">
        <v>2884</v>
      </c>
      <c r="E17" s="921" t="str">
        <f>IF(OR(G2="八级",G2="九级",G2="十级",G2="十一级",G2="十二级"),"五通一平","七通一平")</f>
        <v>七通一平</v>
      </c>
      <c r="F17" s="922" t="s">
        <v>2885</v>
      </c>
      <c r="G17" s="922">
        <f>SUMPRODUCT((七通一平=G16)*(修正!B1:M1=G2)*(修正!B6:M14))</f>
        <v>60</v>
      </c>
      <c r="H17" s="922">
        <f>SUMPRODUCT((七通一平=H16)*(修正!B1:M1=G2)*(修正!B6:M14))</f>
        <v>0</v>
      </c>
      <c r="I17" s="922">
        <f>SUMPRODUCT((七通一平=I16)*(修正!B1:M1=G2)*(修正!B6:M14))</f>
        <v>0</v>
      </c>
      <c r="J17" s="923">
        <f>SUMPRODUCT((七通一平=J16)*(修正!B1:M1=G2)*(修正!B6:M14))</f>
        <v>0</v>
      </c>
      <c r="K17" s="1371"/>
      <c r="L17" s="2787" t="s">
        <v>2886</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 thickBot="1">
      <c r="A18" s="2789" t="s">
        <v>808</v>
      </c>
      <c r="B18" s="2790" t="s">
        <v>2887</v>
      </c>
      <c r="C18" s="924">
        <f>SUMIF(修正!C18:C39,E3,修正!E18:E39)</f>
        <v>0.9</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4" thickBot="1">
      <c r="A19" s="2789" t="s">
        <v>809</v>
      </c>
      <c r="B19" s="2790" t="s">
        <v>2888</v>
      </c>
      <c r="C19" s="925">
        <f>ROUND(IF(H19="按公示增长率计算",SUMPRODUCT((地价!A3:A24=YEAR(G19)&amp;"-"&amp;ROUNDUP(MONTH(G19)/3,0))*(地价!X2:AB2=E2)*(地价!X3:AB24)),IF(H19="地价指数",M20/M19,(1+I19)^O19)),4)</f>
        <v>1.3217000000000001</v>
      </c>
      <c r="D19" s="2797" t="s">
        <v>2889</v>
      </c>
      <c r="E19" s="926">
        <v>41640</v>
      </c>
      <c r="F19" s="2797" t="s">
        <v>2890</v>
      </c>
      <c r="G19" s="927">
        <f>'数据-取费表'!B2</f>
        <v>43458</v>
      </c>
      <c r="H19" s="2798" t="s">
        <v>2891</v>
      </c>
      <c r="I19" s="928" t="str">
        <f>IF(H19="季度增幅（自定义）",SUMIF(N21:N24,E2,O21:O24),"")</f>
        <v/>
      </c>
      <c r="J19" s="2795"/>
      <c r="K19" s="1378"/>
      <c r="L19" s="2799" t="s">
        <v>2892</v>
      </c>
      <c r="M19" s="1735">
        <f>ROUND(SUMIF(地价!B2:F2,E2,地价!B24:F24),0)</f>
        <v>258</v>
      </c>
      <c r="N19" s="2800" t="s">
        <v>2893</v>
      </c>
      <c r="O19" s="929">
        <f>ROUNDDOWN(DATEDIF(E19,G19,"M")/3,0)</f>
        <v>19</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9.4" thickBot="1">
      <c r="A20" s="2804" t="s">
        <v>810</v>
      </c>
      <c r="B20" s="2805" t="s">
        <v>2894</v>
      </c>
      <c r="C20" s="930">
        <f ca="1">ROUND(POWER(1+G20,J20-I20)*(POWER(1+G20,I20)-1)/(POWER(1+G20,J20)-1),4)</f>
        <v>0.87970000000000004</v>
      </c>
      <c r="D20" s="2806" t="s">
        <v>2895</v>
      </c>
      <c r="E20" s="1769">
        <f ca="1">存贷款利率!D4/100</f>
        <v>4.3499999999999997E-2</v>
      </c>
      <c r="F20" s="2806" t="s">
        <v>2886</v>
      </c>
      <c r="G20" s="935">
        <f ca="1">SUMIF(M15:P15,E2,M17:P17)</f>
        <v>5.3999999999999999E-2</v>
      </c>
      <c r="H20" s="2806" t="s">
        <v>2896</v>
      </c>
      <c r="I20" s="936">
        <f>SUMIF('数据-取费表'!C6:C15,E2,'数据-取费表'!F6:F15)/COUNTIF('数据-取费表'!C6:C15,E2)</f>
        <v>28.14</v>
      </c>
      <c r="J20" s="937">
        <f>IF(E2="住宅",70,IF(E2="商业",40,50))</f>
        <v>40</v>
      </c>
      <c r="K20" s="1378"/>
      <c r="L20" s="2807" t="s">
        <v>2897</v>
      </c>
      <c r="M20" s="1736">
        <f>ROUND(SUMPRODUCT((地价!A4:A24=YEAR(G19)&amp;"-"&amp;ROUNDUP(MONTH(G19)/3,0))*(地价!B2:F2=E2)*(地价!B4:F24)),0)</f>
        <v>341</v>
      </c>
      <c r="N20" s="2808" t="s">
        <v>2898</v>
      </c>
      <c r="O20" s="2809" t="s">
        <v>2899</v>
      </c>
      <c r="P20" s="2810" t="s">
        <v>2900</v>
      </c>
      <c r="R20" s="1377"/>
      <c r="S20" s="1377"/>
      <c r="T20" s="1372"/>
      <c r="U20" s="1372"/>
      <c r="V20" s="1372"/>
      <c r="W20" s="1371"/>
      <c r="X20" s="1371"/>
      <c r="Y20" s="1371"/>
      <c r="Z20" s="1378"/>
      <c r="AA20" s="1379"/>
      <c r="AB20" s="1379"/>
      <c r="AC20" s="1379"/>
      <c r="AD20" s="1379"/>
      <c r="AE20" s="1379"/>
      <c r="AF20" s="1379"/>
    </row>
    <row r="21" spans="1:37" s="2738" customFormat="1" ht="14.4">
      <c r="A21" s="2811" t="s">
        <v>811</v>
      </c>
      <c r="B21" s="2812" t="s">
        <v>3066</v>
      </c>
      <c r="C21" s="938">
        <f>IF(B21="容积率修正",IF(G3&lt;=10,D22,J22),C23)</f>
        <v>0.87</v>
      </c>
      <c r="D21" s="2813"/>
      <c r="E21" s="2813"/>
      <c r="F21" s="2813"/>
      <c r="G21" s="2813"/>
      <c r="H21" s="2813"/>
      <c r="I21" s="2813"/>
      <c r="J21" s="2814"/>
      <c r="K21" s="1378"/>
      <c r="N21" s="2815" t="s">
        <v>2901</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38" customFormat="1" ht="14.4">
      <c r="A22" s="2664" t="s">
        <v>2902</v>
      </c>
      <c r="B22" s="2816" t="s">
        <v>2903</v>
      </c>
      <c r="C22" s="1811" t="s">
        <v>2904</v>
      </c>
      <c r="D22" s="1811">
        <f>IF(E22=G22,F22,IF(G3&lt;=10,ROUND(F22+(H22-F22)*(G3-E22)/(G22-E22),4),"——"))</f>
        <v>0.87</v>
      </c>
      <c r="E22" s="914">
        <f>ROUNDDOWN(G3,1)</f>
        <v>7.5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v>
      </c>
      <c r="G22" s="914">
        <f>ROUNDUP(G3,1)</f>
        <v>7.5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v>
      </c>
      <c r="I22" s="1811" t="s">
        <v>155</v>
      </c>
      <c r="J22" s="939" t="str">
        <f>IF(G3&gt;10,D113,"——")</f>
        <v>——</v>
      </c>
      <c r="K22" s="1378"/>
      <c r="N22" s="2815" t="s">
        <v>2905</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9.4" thickBot="1">
      <c r="A23" s="2664" t="s">
        <v>2906</v>
      </c>
      <c r="B23" s="2817" t="s">
        <v>2907</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2908</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6"/>
    </row>
    <row r="24" spans="1:37" s="2738" customFormat="1" ht="15" thickBot="1">
      <c r="A24" s="2804" t="s">
        <v>812</v>
      </c>
      <c r="B24" s="2790" t="s">
        <v>2909</v>
      </c>
      <c r="C24" s="925">
        <f>SUMIF(A45:A88,E2,B45:B88)</f>
        <v>1.0528</v>
      </c>
      <c r="D24" s="2793"/>
      <c r="E24" s="2823"/>
      <c r="F24" s="2823"/>
      <c r="G24" s="2823"/>
      <c r="H24" s="2823"/>
      <c r="I24" s="2823"/>
      <c r="J24" s="2824"/>
      <c r="K24" s="1378"/>
      <c r="N24" s="2825" t="s">
        <v>2910</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 thickBot="1">
      <c r="A25" s="2804" t="s">
        <v>813</v>
      </c>
      <c r="B25" s="2826" t="s">
        <v>2911</v>
      </c>
      <c r="C25" s="931"/>
      <c r="D25" s="2748"/>
      <c r="E25" s="2748"/>
      <c r="F25" s="2827"/>
      <c r="G25" s="2748"/>
      <c r="H25" s="2748"/>
      <c r="I25" s="2748"/>
      <c r="J25" s="2749"/>
      <c r="K25" s="1371"/>
      <c r="N25" s="2828" t="s">
        <v>2912</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4.4">
      <c r="A26" s="2829"/>
      <c r="B26" s="2816" t="s">
        <v>2913</v>
      </c>
      <c r="C26" s="206">
        <f ca="1">E29+SUM(E33:E39)</f>
        <v>50129</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 thickBot="1">
      <c r="A27" s="2829"/>
      <c r="B27" s="2833" t="s">
        <v>2914</v>
      </c>
      <c r="C27" s="932">
        <f ca="1">E30+SUM(I33:I39)</f>
        <v>2487</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4.4">
      <c r="A28" s="2838"/>
      <c r="B28" s="2839" t="s">
        <v>2915</v>
      </c>
      <c r="C28" s="2840" t="s">
        <v>2916</v>
      </c>
      <c r="D28" s="2840" t="s">
        <v>2917</v>
      </c>
      <c r="E28" s="2841" t="s">
        <v>2918</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2919</v>
      </c>
      <c r="C29" s="206">
        <f ca="1">ROUND(C5*C18*C19*C20*C21*C24,0)</f>
        <v>23658</v>
      </c>
      <c r="D29" s="2845">
        <f>'数据-汇总表'!F20</f>
        <v>16984.89</v>
      </c>
      <c r="E29" s="943">
        <f ca="1">ROUND(C29*D29/10000,0)</f>
        <v>40183</v>
      </c>
      <c r="F29" s="2846" t="s">
        <v>2920</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8" thickBot="1">
      <c r="A30" s="2849"/>
      <c r="B30" s="2850" t="s">
        <v>2921</v>
      </c>
      <c r="C30" s="229">
        <f ca="1">ROUND(IF(E2="工业",C29*M39,C29*M38),0)</f>
        <v>5915</v>
      </c>
      <c r="D30" s="2851"/>
      <c r="E30" s="943">
        <f ca="1">ROUND(C30*D30/10000,0)</f>
        <v>0</v>
      </c>
      <c r="F30" s="2852" t="s">
        <v>2922</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3.8">
      <c r="A31" s="2855"/>
      <c r="B31" s="2856" t="s">
        <v>2923</v>
      </c>
      <c r="C31" s="2857" t="s">
        <v>2924</v>
      </c>
      <c r="D31" s="2761"/>
      <c r="E31" s="2857"/>
      <c r="F31" s="2857"/>
      <c r="G31" s="2759" t="s">
        <v>2925</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36">
      <c r="A32" s="2843"/>
      <c r="B32" s="2859"/>
      <c r="C32" s="501" t="s">
        <v>2916</v>
      </c>
      <c r="D32" s="498" t="s">
        <v>2917</v>
      </c>
      <c r="E32" s="498" t="s">
        <v>2918</v>
      </c>
      <c r="F32" s="388" t="s">
        <v>2926</v>
      </c>
      <c r="G32" s="2860" t="s">
        <v>2916</v>
      </c>
      <c r="H32" s="2860" t="s">
        <v>2917</v>
      </c>
      <c r="I32" s="2860" t="s">
        <v>2918</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667" t="s">
        <v>2927</v>
      </c>
      <c r="B33" s="2861" t="s">
        <v>2928</v>
      </c>
      <c r="C33" s="206">
        <f ca="1">ROUND(D5*C19*C20*C24*F33,0)</f>
        <v>24171</v>
      </c>
      <c r="D33" s="2845">
        <f>'数据-基础表'!O17</f>
        <v>4114.75</v>
      </c>
      <c r="E33" s="200">
        <f ca="1">ROUND(C33*D33/10000,0)</f>
        <v>9946</v>
      </c>
      <c r="F33" s="200">
        <f>SUMIF(修正!A45:A56,G2,修正!B45:B56)</f>
        <v>0.8</v>
      </c>
      <c r="G33" s="200">
        <f ca="1">ROUND(IF(E2="工业",C33*$M$39,C33*$M$38),0)</f>
        <v>6043</v>
      </c>
      <c r="H33" s="200">
        <f>D33</f>
        <v>4114.75</v>
      </c>
      <c r="I33" s="200">
        <f ca="1">ROUND(G33*H33/10000,0)</f>
        <v>2487</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3.8">
      <c r="A34" s="3668"/>
      <c r="B34" s="2765" t="s">
        <v>2929</v>
      </c>
      <c r="C34" s="206">
        <f ca="1">ROUND(D5*C19*C20*C24*F34,0)</f>
        <v>15107</v>
      </c>
      <c r="D34" s="2845"/>
      <c r="E34" s="200">
        <f t="shared" ref="E34:E39" ca="1" si="6">ROUND(C34*D34/10000,0)</f>
        <v>0</v>
      </c>
      <c r="F34" s="200">
        <f>SUMIF(修正!A45:A56,G2,修正!C45:C56)</f>
        <v>0.5</v>
      </c>
      <c r="G34" s="200">
        <f ca="1">ROUND(IF(E2="工业",C34*$M$39,C34*$M$38),0)</f>
        <v>3777</v>
      </c>
      <c r="H34" s="200">
        <f t="shared" ref="H34:H39" si="7">D34</f>
        <v>0</v>
      </c>
      <c r="I34" s="200">
        <f t="shared" ref="I34:I39" ca="1" si="8">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668"/>
      <c r="B35" s="2765" t="s">
        <v>2930</v>
      </c>
      <c r="C35" s="206">
        <f ca="1">ROUND(D5*C19*C20*C24*F35,0)</f>
        <v>10877</v>
      </c>
      <c r="D35" s="2845"/>
      <c r="E35" s="200">
        <f t="shared" ca="1" si="6"/>
        <v>0</v>
      </c>
      <c r="F35" s="200">
        <f>SUMIF(修正!A45:A56,G2,修正!D45:D56)</f>
        <v>0.36</v>
      </c>
      <c r="G35" s="200">
        <f ca="1">ROUND(IF(E2="工业",C35*$M$39,C35*$M$38),0)</f>
        <v>2719</v>
      </c>
      <c r="H35" s="200">
        <f t="shared" si="7"/>
        <v>0</v>
      </c>
      <c r="I35" s="200">
        <f t="shared" ca="1" si="8"/>
        <v>0</v>
      </c>
      <c r="J35" s="2862"/>
      <c r="K35" s="1371"/>
      <c r="L35" s="1371"/>
      <c r="M35" s="1371"/>
      <c r="N35" s="1371"/>
      <c r="O35" s="1371"/>
      <c r="P35" s="1371"/>
      <c r="Q35" s="1371"/>
      <c r="R35" s="1371"/>
      <c r="S35" s="1371"/>
      <c r="T35" s="1371"/>
      <c r="U35" s="1371"/>
      <c r="V35" s="1371"/>
      <c r="W35" s="1371"/>
      <c r="X35" s="1371"/>
      <c r="Y35" s="1371"/>
      <c r="Z35" s="1372"/>
    </row>
    <row r="36" spans="1:37" ht="13.8" thickBot="1">
      <c r="A36" s="3669"/>
      <c r="B36" s="2765" t="s">
        <v>2931</v>
      </c>
      <c r="C36" s="206">
        <f ca="1">ROUND(D5*C19*C20*C24*F36,0)</f>
        <v>9064</v>
      </c>
      <c r="D36" s="2845"/>
      <c r="E36" s="200">
        <f t="shared" ca="1" si="6"/>
        <v>0</v>
      </c>
      <c r="F36" s="200">
        <f>SUMIF(修正!A45:A56,G2,修正!E45:E56)</f>
        <v>0.3</v>
      </c>
      <c r="G36" s="200">
        <f ca="1">ROUND(IF(E2="工业",C36*$M$39,C36*$M$38),0)</f>
        <v>2266</v>
      </c>
      <c r="H36" s="200">
        <f t="shared" si="7"/>
        <v>0</v>
      </c>
      <c r="I36" s="200">
        <f t="shared" ca="1" si="8"/>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2932</v>
      </c>
      <c r="C37" s="200">
        <f ca="1">ROUND(C5*C19*C20*C24*F37,0)</f>
        <v>9064</v>
      </c>
      <c r="D37" s="2845"/>
      <c r="E37" s="200">
        <f t="shared" ca="1" si="6"/>
        <v>0</v>
      </c>
      <c r="F37" s="206">
        <f>SUMIF(修正!A45:A56,G2,修正!F45:F56)</f>
        <v>0.3</v>
      </c>
      <c r="G37" s="200">
        <f ca="1">ROUND(IF(E2="工业",C37*$M$39,C37*$M$38),0)</f>
        <v>2266</v>
      </c>
      <c r="H37" s="200">
        <f t="shared" si="7"/>
        <v>0</v>
      </c>
      <c r="I37" s="200">
        <f t="shared" ca="1" si="8"/>
        <v>0</v>
      </c>
      <c r="J37" s="2862"/>
      <c r="K37" s="1371"/>
      <c r="L37" s="2864" t="s">
        <v>2933</v>
      </c>
      <c r="M37" s="2865"/>
      <c r="N37" s="1371"/>
      <c r="O37" s="1371"/>
      <c r="P37" s="1371"/>
      <c r="Q37" s="1371"/>
      <c r="R37" s="1371"/>
      <c r="S37" s="1371"/>
      <c r="T37" s="1371"/>
      <c r="U37" s="1371"/>
      <c r="V37" s="1371"/>
      <c r="W37" s="1371"/>
      <c r="X37" s="1371"/>
      <c r="Y37" s="1371"/>
      <c r="Z37" s="1372"/>
    </row>
    <row r="38" spans="1:37">
      <c r="A38" s="2863"/>
      <c r="B38" s="2765" t="s">
        <v>2934</v>
      </c>
      <c r="C38" s="200">
        <f ca="1">ROUND(C5*C19*C20*C24*F38,0)</f>
        <v>9064</v>
      </c>
      <c r="D38" s="2845"/>
      <c r="E38" s="200">
        <f t="shared" ca="1" si="6"/>
        <v>0</v>
      </c>
      <c r="F38" s="206">
        <f>SUMIF(修正!A45:A56,G2,修正!G45:G56)</f>
        <v>0.3</v>
      </c>
      <c r="G38" s="200">
        <f ca="1">ROUND(IF(E2="工业",C38*$M$39,C38*$M$38),0)</f>
        <v>2266</v>
      </c>
      <c r="H38" s="200">
        <f t="shared" si="7"/>
        <v>0</v>
      </c>
      <c r="I38" s="200">
        <f t="shared" ca="1" si="8"/>
        <v>0</v>
      </c>
      <c r="J38" s="2862"/>
      <c r="K38" s="1371"/>
      <c r="L38" s="1888" t="s">
        <v>2935</v>
      </c>
      <c r="M38" s="2866">
        <v>0.25</v>
      </c>
      <c r="N38" s="1371"/>
      <c r="O38" s="1371"/>
      <c r="P38" s="1371"/>
      <c r="Q38" s="1371"/>
      <c r="R38" s="1371"/>
      <c r="S38" s="1371"/>
      <c r="T38" s="1371"/>
      <c r="U38" s="1371"/>
      <c r="V38" s="1371"/>
      <c r="W38" s="1371"/>
      <c r="X38" s="1371"/>
      <c r="Y38" s="1371"/>
      <c r="Z38" s="1372"/>
    </row>
    <row r="39" spans="1:37" ht="13.8" thickBot="1">
      <c r="A39" s="2849"/>
      <c r="B39" s="2867" t="s">
        <v>2936</v>
      </c>
      <c r="C39" s="229">
        <f ca="1">ROUND(C5*C19*C20*C24*F39,0)</f>
        <v>7554</v>
      </c>
      <c r="D39" s="2851"/>
      <c r="E39" s="229">
        <f t="shared" ca="1" si="6"/>
        <v>0</v>
      </c>
      <c r="F39" s="933">
        <f>SUMIF(修正!A45:A56,G2,修正!H45:H56)</f>
        <v>0.25</v>
      </c>
      <c r="G39" s="229">
        <f ca="1">ROUND(IF(E2="工业",C39*$M$39,C39*$M$38),0)</f>
        <v>1889</v>
      </c>
      <c r="H39" s="229">
        <f t="shared" si="7"/>
        <v>0</v>
      </c>
      <c r="I39" s="229">
        <f t="shared" ca="1" si="8"/>
        <v>0</v>
      </c>
      <c r="J39" s="2868"/>
      <c r="K39" s="1371"/>
      <c r="L39" s="2869" t="s">
        <v>2878</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1"/>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 thickBot="1">
      <c r="A45" s="2872" t="s">
        <v>2937</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4.4">
      <c r="A46" s="2874" t="s">
        <v>2938</v>
      </c>
      <c r="B46" s="2875">
        <f>1+E48</f>
        <v>1.0528</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5.2">
      <c r="A47" s="2878" t="s">
        <v>2939</v>
      </c>
      <c r="B47" s="1810" t="s">
        <v>2940</v>
      </c>
      <c r="C47" s="1810" t="s">
        <v>2941</v>
      </c>
      <c r="D47" s="1810" t="s">
        <v>2942</v>
      </c>
      <c r="E47" s="817" t="s">
        <v>2943</v>
      </c>
      <c r="F47" s="2879" t="s">
        <v>2944</v>
      </c>
      <c r="G47" s="1810" t="s">
        <v>754</v>
      </c>
      <c r="H47" s="2880" t="s">
        <v>2945</v>
      </c>
      <c r="I47" s="1810" t="s">
        <v>2946</v>
      </c>
      <c r="J47" s="603" t="s">
        <v>2595</v>
      </c>
      <c r="K47" s="603" t="s">
        <v>2596</v>
      </c>
      <c r="L47" s="603" t="s">
        <v>2597</v>
      </c>
      <c r="M47" s="603" t="s">
        <v>2598</v>
      </c>
      <c r="N47" s="603" t="s">
        <v>2599</v>
      </c>
      <c r="AA47" s="1372"/>
      <c r="AB47" s="1372"/>
      <c r="AC47" s="1372"/>
      <c r="AD47" s="1372"/>
      <c r="AE47" s="1372"/>
      <c r="AF47" s="1372"/>
      <c r="AG47" s="1372"/>
      <c r="AH47" s="1372"/>
      <c r="AI47" s="1372"/>
      <c r="AJ47" s="1372"/>
      <c r="AK47" s="1372"/>
    </row>
    <row r="48" spans="1:37" s="1371" customFormat="1" ht="52.8">
      <c r="A48" s="2878" t="s">
        <v>2947</v>
      </c>
      <c r="B48" s="2881" t="str">
        <f>估价对象房地状况!C4</f>
        <v>估价对象位于东直门商圈，周边商业氛围成熟，人流量大，商业繁华度好</v>
      </c>
      <c r="C48" s="2770" t="s">
        <v>3329</v>
      </c>
      <c r="D48" s="1287">
        <f t="shared" ref="D48:D56" si="9">SUMIF($J$47:$N$47,C48,J48:N48)</f>
        <v>1.6299999999999999E-2</v>
      </c>
      <c r="E48" s="819">
        <f>ROUND(SUM(D48:D56),4)</f>
        <v>5.28E-2</v>
      </c>
      <c r="F48" s="2501">
        <f>IF(E2="商业",SUMIF(L1:L12,G2,N1:N12),"——")</f>
        <v>9.9000000000000005E-2</v>
      </c>
      <c r="G48" s="1285">
        <v>1.6299999999999999E-2</v>
      </c>
      <c r="H48" s="1289">
        <f t="shared" ref="H48:H56" si="10">IFERROR(ROUNDDOWN($F$48*I48/2,4),"——")</f>
        <v>1.6299999999999999E-2</v>
      </c>
      <c r="I48" s="818">
        <v>0.33</v>
      </c>
      <c r="J48" s="1286">
        <f t="shared" ref="J48:J56" si="11">K48+$G48</f>
        <v>3.2599999999999997E-2</v>
      </c>
      <c r="K48" s="1286">
        <f t="shared" ref="K48:K56" si="12">$L48+$G48</f>
        <v>1.6299999999999999E-2</v>
      </c>
      <c r="L48" s="1286">
        <v>0</v>
      </c>
      <c r="M48" s="1286">
        <f t="shared" ref="M48:N56" si="13">L48-$G48</f>
        <v>-1.6299999999999999E-2</v>
      </c>
      <c r="N48" s="1286">
        <f t="shared" si="13"/>
        <v>-3.2599999999999997E-2</v>
      </c>
      <c r="AA48" s="1372"/>
      <c r="AB48" s="1372"/>
      <c r="AC48" s="1372"/>
      <c r="AD48" s="1372"/>
      <c r="AE48" s="1372"/>
      <c r="AF48" s="1372"/>
      <c r="AG48" s="1372"/>
      <c r="AH48" s="1372"/>
      <c r="AI48" s="1372"/>
      <c r="AJ48" s="1372"/>
      <c r="AK48" s="1372"/>
    </row>
    <row r="49" spans="1:37" s="1371" customFormat="1" ht="118.8">
      <c r="A49" s="2878" t="s">
        <v>2948</v>
      </c>
      <c r="B49" s="2882" t="str">
        <f>估价对象房地状况!C18</f>
        <v>估价对象周边道路状况较好（机场高速、香河园路）、公共交通较通达（2、机场线东直门站，18路、916路香河园路，359、915路东直门外站）、停车便捷程度，综合评价交通便捷度较好</v>
      </c>
      <c r="C49" s="2770" t="s">
        <v>3329</v>
      </c>
      <c r="D49" s="1287">
        <f t="shared" si="9"/>
        <v>1.23E-2</v>
      </c>
      <c r="E49" s="820"/>
      <c r="F49" s="2501"/>
      <c r="G49" s="1285">
        <v>1.23E-2</v>
      </c>
      <c r="H49" s="1289">
        <f t="shared" si="10"/>
        <v>1.23E-2</v>
      </c>
      <c r="I49" s="818">
        <v>0.25</v>
      </c>
      <c r="J49" s="1286">
        <f t="shared" si="11"/>
        <v>2.46E-2</v>
      </c>
      <c r="K49" s="1286">
        <f t="shared" si="12"/>
        <v>1.23E-2</v>
      </c>
      <c r="L49" s="1286">
        <v>0</v>
      </c>
      <c r="M49" s="1286">
        <f t="shared" si="13"/>
        <v>-1.23E-2</v>
      </c>
      <c r="N49" s="1286">
        <f t="shared" si="13"/>
        <v>-2.46E-2</v>
      </c>
      <c r="AA49" s="1372"/>
      <c r="AB49" s="1372"/>
      <c r="AC49" s="1372"/>
      <c r="AD49" s="1372"/>
      <c r="AE49" s="1372"/>
      <c r="AF49" s="1372"/>
      <c r="AG49" s="1372"/>
      <c r="AH49" s="1372"/>
      <c r="AI49" s="1372"/>
      <c r="AJ49" s="1372"/>
      <c r="AK49" s="1372"/>
    </row>
    <row r="50" spans="1:37" s="1371" customFormat="1" ht="24">
      <c r="A50" s="2878" t="s">
        <v>2949</v>
      </c>
      <c r="B50" s="2882" t="str">
        <f>估价对象房地状况!C19</f>
        <v>较一致</v>
      </c>
      <c r="C50" s="2770" t="s">
        <v>3329</v>
      </c>
      <c r="D50" s="1287">
        <f t="shared" si="9"/>
        <v>2.3999999999999998E-3</v>
      </c>
      <c r="E50" s="820"/>
      <c r="F50" s="2501"/>
      <c r="G50" s="1285">
        <v>2.3999999999999998E-3</v>
      </c>
      <c r="H50" s="1289">
        <f t="shared" si="10"/>
        <v>2.3999999999999998E-3</v>
      </c>
      <c r="I50" s="818">
        <v>0.05</v>
      </c>
      <c r="J50" s="1286">
        <f t="shared" si="11"/>
        <v>4.7999999999999996E-3</v>
      </c>
      <c r="K50" s="1286">
        <f t="shared" si="12"/>
        <v>2.3999999999999998E-3</v>
      </c>
      <c r="L50" s="1286">
        <v>0</v>
      </c>
      <c r="M50" s="1286">
        <f t="shared" si="13"/>
        <v>-2.3999999999999998E-3</v>
      </c>
      <c r="N50" s="1286">
        <f t="shared" si="13"/>
        <v>-4.7999999999999996E-3</v>
      </c>
      <c r="AA50" s="1372"/>
      <c r="AB50" s="1372"/>
      <c r="AC50" s="1372"/>
      <c r="AD50" s="1372"/>
      <c r="AE50" s="1372"/>
      <c r="AF50" s="1372"/>
      <c r="AG50" s="1372"/>
      <c r="AH50" s="1372"/>
      <c r="AI50" s="1372"/>
      <c r="AJ50" s="1372"/>
      <c r="AK50" s="1372"/>
    </row>
    <row r="51" spans="1:37" s="1371" customFormat="1" ht="50.4">
      <c r="A51" s="2878" t="s">
        <v>2950</v>
      </c>
      <c r="B51" s="2883" t="s">
        <v>2951</v>
      </c>
      <c r="C51" s="2770" t="s">
        <v>3329</v>
      </c>
      <c r="D51" s="1287">
        <f t="shared" si="9"/>
        <v>2.3999999999999998E-3</v>
      </c>
      <c r="E51" s="820"/>
      <c r="F51" s="2501"/>
      <c r="G51" s="1285">
        <v>2.3999999999999998E-3</v>
      </c>
      <c r="H51" s="1289">
        <f t="shared" si="10"/>
        <v>2.3999999999999998E-3</v>
      </c>
      <c r="I51" s="818">
        <v>0.05</v>
      </c>
      <c r="J51" s="1286">
        <f t="shared" si="11"/>
        <v>4.7999999999999996E-3</v>
      </c>
      <c r="K51" s="1286">
        <f t="shared" si="12"/>
        <v>2.3999999999999998E-3</v>
      </c>
      <c r="L51" s="1286">
        <v>0</v>
      </c>
      <c r="M51" s="1286">
        <f t="shared" si="13"/>
        <v>-2.3999999999999998E-3</v>
      </c>
      <c r="N51" s="1286">
        <f t="shared" si="13"/>
        <v>-4.7999999999999996E-3</v>
      </c>
      <c r="AA51" s="1372"/>
      <c r="AB51" s="1372"/>
      <c r="AC51" s="1372"/>
      <c r="AD51" s="1372"/>
      <c r="AE51" s="1372"/>
      <c r="AF51" s="1372"/>
      <c r="AG51" s="1372"/>
      <c r="AH51" s="1372"/>
      <c r="AI51" s="1372"/>
      <c r="AJ51" s="1372"/>
      <c r="AK51" s="1372"/>
    </row>
    <row r="52" spans="1:37" s="1371" customFormat="1" ht="24">
      <c r="A52" s="2878" t="s">
        <v>2952</v>
      </c>
      <c r="B52" s="2882">
        <f>估价对象房地状况!C24</f>
        <v>0</v>
      </c>
      <c r="C52" s="2770" t="s">
        <v>3330</v>
      </c>
      <c r="D52" s="1287">
        <f t="shared" si="9"/>
        <v>7.7999999999999996E-3</v>
      </c>
      <c r="E52" s="820"/>
      <c r="F52" s="2501"/>
      <c r="G52" s="1285">
        <v>3.8999999999999998E-3</v>
      </c>
      <c r="H52" s="1289">
        <f t="shared" si="10"/>
        <v>3.8999999999999998E-3</v>
      </c>
      <c r="I52" s="818">
        <v>0.08</v>
      </c>
      <c r="J52" s="1286">
        <f t="shared" si="11"/>
        <v>7.7999999999999996E-3</v>
      </c>
      <c r="K52" s="1286">
        <f t="shared" si="12"/>
        <v>3.8999999999999998E-3</v>
      </c>
      <c r="L52" s="1286">
        <v>0</v>
      </c>
      <c r="M52" s="1286">
        <f t="shared" si="13"/>
        <v>-3.8999999999999998E-3</v>
      </c>
      <c r="N52" s="1286">
        <f t="shared" si="13"/>
        <v>-7.7999999999999996E-3</v>
      </c>
      <c r="AA52" s="1372"/>
      <c r="AB52" s="1372"/>
      <c r="AC52" s="1372"/>
      <c r="AD52" s="1372"/>
      <c r="AE52" s="1372"/>
      <c r="AF52" s="1372"/>
      <c r="AG52" s="1372"/>
      <c r="AH52" s="1372"/>
      <c r="AI52" s="1372"/>
      <c r="AJ52" s="1372"/>
      <c r="AK52" s="1372"/>
    </row>
    <row r="53" spans="1:37" s="1371" customFormat="1" ht="36">
      <c r="A53" s="2878" t="s">
        <v>2953</v>
      </c>
      <c r="B53" s="2884" t="s">
        <v>2954</v>
      </c>
      <c r="C53" s="2770" t="s">
        <v>3329</v>
      </c>
      <c r="D53" s="1287">
        <f t="shared" si="9"/>
        <v>1.4E-3</v>
      </c>
      <c r="E53" s="820"/>
      <c r="F53" s="2501"/>
      <c r="G53" s="1285">
        <v>1.4E-3</v>
      </c>
      <c r="H53" s="1289">
        <f t="shared" si="10"/>
        <v>1.4E-3</v>
      </c>
      <c r="I53" s="818">
        <v>0.03</v>
      </c>
      <c r="J53" s="1286">
        <f t="shared" si="11"/>
        <v>2.8E-3</v>
      </c>
      <c r="K53" s="1286">
        <f t="shared" si="12"/>
        <v>1.4E-3</v>
      </c>
      <c r="L53" s="1286">
        <v>0</v>
      </c>
      <c r="M53" s="1286">
        <f t="shared" si="13"/>
        <v>-1.4E-3</v>
      </c>
      <c r="N53" s="1286">
        <f t="shared" si="13"/>
        <v>-2.8E-3</v>
      </c>
      <c r="AA53" s="1372"/>
      <c r="AB53" s="1372"/>
      <c r="AC53" s="1372"/>
      <c r="AD53" s="1372"/>
      <c r="AE53" s="1372"/>
      <c r="AF53" s="1372"/>
      <c r="AG53" s="1372"/>
      <c r="AH53" s="1372"/>
      <c r="AI53" s="1372"/>
      <c r="AJ53" s="1372"/>
      <c r="AK53" s="1372"/>
    </row>
    <row r="54" spans="1:37" s="1371" customFormat="1" ht="26.4">
      <c r="A54" s="2885" t="s">
        <v>2955</v>
      </c>
      <c r="B54" s="1726" t="str">
        <f>估价对象房地状况!C21</f>
        <v>估价对象所在区域公共配套设施齐备</v>
      </c>
      <c r="C54" s="2770" t="s">
        <v>3329</v>
      </c>
      <c r="D54" s="1287">
        <f t="shared" si="9"/>
        <v>2.3999999999999998E-3</v>
      </c>
      <c r="E54" s="820"/>
      <c r="F54" s="2501"/>
      <c r="G54" s="1285">
        <v>2.3999999999999998E-3</v>
      </c>
      <c r="H54" s="1289">
        <f t="shared" si="10"/>
        <v>2.3999999999999998E-3</v>
      </c>
      <c r="I54" s="818">
        <v>0.05</v>
      </c>
      <c r="J54" s="1286">
        <f t="shared" si="11"/>
        <v>4.7999999999999996E-3</v>
      </c>
      <c r="K54" s="1286">
        <f t="shared" si="12"/>
        <v>2.3999999999999998E-3</v>
      </c>
      <c r="L54" s="1286">
        <v>0</v>
      </c>
      <c r="M54" s="1286">
        <f t="shared" si="13"/>
        <v>-2.3999999999999998E-3</v>
      </c>
      <c r="N54" s="1286">
        <f t="shared" si="13"/>
        <v>-4.7999999999999996E-3</v>
      </c>
      <c r="AA54" s="1372"/>
      <c r="AB54" s="1372"/>
      <c r="AC54" s="1372"/>
      <c r="AD54" s="1372"/>
      <c r="AE54" s="1372"/>
      <c r="AF54" s="1372"/>
      <c r="AG54" s="1372"/>
      <c r="AH54" s="1372"/>
      <c r="AI54" s="1372"/>
      <c r="AJ54" s="1372"/>
      <c r="AK54" s="1372"/>
    </row>
    <row r="55" spans="1:37" s="1371" customFormat="1" ht="26.4">
      <c r="A55" s="2885" t="s">
        <v>2956</v>
      </c>
      <c r="B55" s="2882" t="str">
        <f>估价对象房地状况!C22</f>
        <v>估价对象所在区域基础设施水平较高</v>
      </c>
      <c r="C55" s="2770" t="s">
        <v>3329</v>
      </c>
      <c r="D55" s="1287">
        <f t="shared" si="9"/>
        <v>4.8999999999999998E-3</v>
      </c>
      <c r="E55" s="820"/>
      <c r="F55" s="2501"/>
      <c r="G55" s="1285">
        <v>4.8999999999999998E-3</v>
      </c>
      <c r="H55" s="1289">
        <f t="shared" si="10"/>
        <v>4.8999999999999998E-3</v>
      </c>
      <c r="I55" s="818">
        <v>0.1</v>
      </c>
      <c r="J55" s="1286">
        <f t="shared" si="11"/>
        <v>9.7999999999999997E-3</v>
      </c>
      <c r="K55" s="1286">
        <f t="shared" si="12"/>
        <v>4.8999999999999998E-3</v>
      </c>
      <c r="L55" s="1286">
        <v>0</v>
      </c>
      <c r="M55" s="1286">
        <f t="shared" si="13"/>
        <v>-4.8999999999999998E-3</v>
      </c>
      <c r="N55" s="1286">
        <f t="shared" si="13"/>
        <v>-9.7999999999999997E-3</v>
      </c>
      <c r="AA55" s="1372"/>
      <c r="AB55" s="1372"/>
      <c r="AC55" s="1372"/>
      <c r="AD55" s="1372"/>
      <c r="AE55" s="1372"/>
      <c r="AF55" s="1372"/>
      <c r="AG55" s="1372"/>
      <c r="AH55" s="1372"/>
      <c r="AI55" s="1372"/>
      <c r="AJ55" s="1372"/>
      <c r="AK55" s="1372"/>
    </row>
    <row r="56" spans="1:37" s="1371" customFormat="1" ht="66.599999999999994" thickBot="1">
      <c r="A56" s="2886" t="s">
        <v>2957</v>
      </c>
      <c r="B56" s="2887" t="str">
        <f>估价对象房地状况!C20</f>
        <v>区域自然环境：廉政文化公园；人文环境：自来水博物馆；综合评价环境状况较好</v>
      </c>
      <c r="C56" s="2770" t="s">
        <v>3329</v>
      </c>
      <c r="D56" s="1287">
        <f t="shared" si="9"/>
        <v>2.8999999999999998E-3</v>
      </c>
      <c r="E56" s="823"/>
      <c r="F56" s="2501"/>
      <c r="G56" s="1285">
        <v>2.8999999999999998E-3</v>
      </c>
      <c r="H56" s="1289">
        <f t="shared" si="10"/>
        <v>2.8999999999999998E-3</v>
      </c>
      <c r="I56" s="822">
        <v>0.06</v>
      </c>
      <c r="J56" s="1286">
        <f t="shared" si="11"/>
        <v>5.7999999999999996E-3</v>
      </c>
      <c r="K56" s="1286">
        <f t="shared" si="12"/>
        <v>2.8999999999999998E-3</v>
      </c>
      <c r="L56" s="1286">
        <v>0</v>
      </c>
      <c r="M56" s="1286">
        <f t="shared" si="13"/>
        <v>-2.8999999999999998E-3</v>
      </c>
      <c r="N56" s="1286">
        <f t="shared" si="13"/>
        <v>-5.7999999999999996E-3</v>
      </c>
      <c r="AA56" s="1372"/>
      <c r="AB56" s="1372"/>
      <c r="AC56" s="1372"/>
      <c r="AD56" s="1372"/>
      <c r="AE56" s="1372"/>
      <c r="AF56" s="1372"/>
      <c r="AG56" s="1372"/>
      <c r="AH56" s="1372"/>
      <c r="AI56" s="1372"/>
      <c r="AJ56" s="1372"/>
      <c r="AK56" s="1372"/>
    </row>
    <row r="57" spans="1:37" s="1371" customFormat="1" ht="14.4">
      <c r="A57" s="2874" t="s">
        <v>2958</v>
      </c>
      <c r="B57" s="2875">
        <f>1+E59</f>
        <v>1</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5.2">
      <c r="A58" s="2878" t="s">
        <v>2939</v>
      </c>
      <c r="B58" s="1810"/>
      <c r="C58" s="1810" t="s">
        <v>2941</v>
      </c>
      <c r="D58" s="1810" t="s">
        <v>2942</v>
      </c>
      <c r="E58" s="817" t="s">
        <v>2943</v>
      </c>
      <c r="F58" s="2879" t="s">
        <v>2959</v>
      </c>
      <c r="G58" s="1810" t="s">
        <v>754</v>
      </c>
      <c r="H58" s="2880" t="s">
        <v>2945</v>
      </c>
      <c r="I58" s="1810" t="s">
        <v>2946</v>
      </c>
      <c r="J58" s="603" t="s">
        <v>2595</v>
      </c>
      <c r="K58" s="603" t="s">
        <v>2596</v>
      </c>
      <c r="L58" s="603" t="s">
        <v>2597</v>
      </c>
      <c r="M58" s="603" t="s">
        <v>2598</v>
      </c>
      <c r="N58" s="603" t="s">
        <v>2599</v>
      </c>
      <c r="AA58" s="1372"/>
      <c r="AB58" s="1372"/>
      <c r="AC58" s="1372"/>
      <c r="AD58" s="1372"/>
      <c r="AE58" s="1372"/>
      <c r="AF58" s="1372"/>
      <c r="AG58" s="1372"/>
      <c r="AH58" s="1372"/>
      <c r="AI58" s="1372"/>
      <c r="AJ58" s="1372"/>
      <c r="AK58" s="1372"/>
    </row>
    <row r="59" spans="1:37" s="1371" customFormat="1" ht="52.8">
      <c r="A59" s="2878" t="s">
        <v>2960</v>
      </c>
      <c r="B59" s="2881" t="str">
        <f>估价对象房地状况!C17</f>
        <v>估价对象位于东直门商圈，周边办公楼项目较多，入驻率高，办公集聚程度较好</v>
      </c>
      <c r="C59" s="2770"/>
      <c r="D59" s="1287">
        <f t="shared" ref="D59:D67" si="14">SUMIF($J$58:$N$58,C59,J59:N59)</f>
        <v>0</v>
      </c>
      <c r="E59" s="819">
        <f>ROUND(SUM(D59:D67),4)</f>
        <v>0</v>
      </c>
      <c r="F59" s="2501" t="str">
        <f>IF(E2="办公",SUMIF(L1:L12,G2,N1:N12),"——")</f>
        <v>——</v>
      </c>
      <c r="G59" s="1285"/>
      <c r="H59" s="1289" t="str">
        <f t="shared" ref="H59:H67" si="15">IFERROR(ROUNDDOWN($F$59*I59/2,4),"——")</f>
        <v>——</v>
      </c>
      <c r="I59" s="818">
        <v>0.24</v>
      </c>
      <c r="J59" s="1286">
        <f t="shared" ref="J59:J67" si="16">K59+$G59</f>
        <v>0</v>
      </c>
      <c r="K59" s="1286">
        <f t="shared" ref="K59:K67" si="17">$L59+$G59</f>
        <v>0</v>
      </c>
      <c r="L59" s="1286">
        <v>0</v>
      </c>
      <c r="M59" s="1286">
        <f t="shared" ref="M59:N67" si="18">L59-$G59</f>
        <v>0</v>
      </c>
      <c r="N59" s="1286">
        <f t="shared" si="18"/>
        <v>0</v>
      </c>
      <c r="AA59" s="1372"/>
      <c r="AB59" s="1372"/>
      <c r="AC59" s="1372"/>
      <c r="AD59" s="1372"/>
      <c r="AE59" s="1372"/>
      <c r="AF59" s="1372"/>
      <c r="AG59" s="1372"/>
      <c r="AH59" s="1372"/>
      <c r="AI59" s="1372"/>
      <c r="AJ59" s="1372"/>
      <c r="AK59" s="1372"/>
    </row>
    <row r="60" spans="1:37" s="1371" customFormat="1" ht="118.8">
      <c r="A60" s="2878" t="s">
        <v>2948</v>
      </c>
      <c r="B60" s="2882" t="str">
        <f>估价对象房地状况!C18</f>
        <v>估价对象周边道路状况较好（机场高速、香河园路）、公共交通较通达（2、机场线东直门站，18路、916路香河园路，359、915路东直门外站）、停车便捷程度，综合评价交通便捷度较好</v>
      </c>
      <c r="C60" s="2770"/>
      <c r="D60" s="1287">
        <f t="shared" si="14"/>
        <v>0</v>
      </c>
      <c r="E60" s="820"/>
      <c r="F60" s="2501"/>
      <c r="G60" s="1285"/>
      <c r="H60" s="1289" t="str">
        <f t="shared" si="15"/>
        <v>——</v>
      </c>
      <c r="I60" s="818">
        <v>0.3</v>
      </c>
      <c r="J60" s="1286">
        <f t="shared" si="16"/>
        <v>0</v>
      </c>
      <c r="K60" s="1286">
        <f t="shared" si="17"/>
        <v>0</v>
      </c>
      <c r="L60" s="1286">
        <v>0</v>
      </c>
      <c r="M60" s="1286">
        <f t="shared" si="18"/>
        <v>0</v>
      </c>
      <c r="N60" s="1286">
        <f t="shared" si="18"/>
        <v>0</v>
      </c>
      <c r="AA60" s="1372"/>
      <c r="AB60" s="1372"/>
      <c r="AC60" s="1372"/>
      <c r="AD60" s="1372"/>
      <c r="AE60" s="1372"/>
      <c r="AF60" s="1372"/>
      <c r="AG60" s="1372"/>
      <c r="AH60" s="1372"/>
      <c r="AI60" s="1372"/>
      <c r="AJ60" s="1372"/>
      <c r="AK60" s="1372"/>
    </row>
    <row r="61" spans="1:37" s="1371" customFormat="1" ht="24">
      <c r="A61" s="2878" t="s">
        <v>2949</v>
      </c>
      <c r="B61" s="2882" t="str">
        <f>估价对象房地状况!C19</f>
        <v>较一致</v>
      </c>
      <c r="C61" s="2770"/>
      <c r="D61" s="1287">
        <f t="shared" si="14"/>
        <v>0</v>
      </c>
      <c r="E61" s="820"/>
      <c r="F61" s="2501"/>
      <c r="G61" s="1285"/>
      <c r="H61" s="1289" t="str">
        <f t="shared" si="15"/>
        <v>——</v>
      </c>
      <c r="I61" s="818">
        <v>0.08</v>
      </c>
      <c r="J61" s="1286">
        <f t="shared" si="16"/>
        <v>0</v>
      </c>
      <c r="K61" s="1286">
        <f t="shared" si="17"/>
        <v>0</v>
      </c>
      <c r="L61" s="1286">
        <v>0</v>
      </c>
      <c r="M61" s="1286">
        <f t="shared" si="18"/>
        <v>0</v>
      </c>
      <c r="N61" s="1286">
        <f t="shared" si="18"/>
        <v>0</v>
      </c>
      <c r="AA61" s="1372"/>
      <c r="AB61" s="1372"/>
      <c r="AC61" s="1372"/>
      <c r="AD61" s="1372"/>
      <c r="AE61" s="1372"/>
      <c r="AF61" s="1372"/>
      <c r="AG61" s="1372"/>
      <c r="AH61" s="1372"/>
      <c r="AI61" s="1372"/>
      <c r="AJ61" s="1372"/>
      <c r="AK61" s="1372"/>
    </row>
    <row r="62" spans="1:37" s="1371" customFormat="1" ht="50.4">
      <c r="A62" s="2878" t="s">
        <v>2950</v>
      </c>
      <c r="B62" s="2883" t="s">
        <v>2951</v>
      </c>
      <c r="C62" s="2770"/>
      <c r="D62" s="1287">
        <f t="shared" si="14"/>
        <v>0</v>
      </c>
      <c r="E62" s="820"/>
      <c r="F62" s="2501"/>
      <c r="G62" s="1285"/>
      <c r="H62" s="1289" t="str">
        <f t="shared" si="15"/>
        <v>——</v>
      </c>
      <c r="I62" s="818">
        <v>0.04</v>
      </c>
      <c r="J62" s="1286">
        <f t="shared" si="16"/>
        <v>0</v>
      </c>
      <c r="K62" s="1286">
        <f t="shared" si="17"/>
        <v>0</v>
      </c>
      <c r="L62" s="1286">
        <v>0</v>
      </c>
      <c r="M62" s="1286">
        <f t="shared" si="18"/>
        <v>0</v>
      </c>
      <c r="N62" s="1286">
        <f t="shared" si="18"/>
        <v>0</v>
      </c>
      <c r="AA62" s="1372"/>
      <c r="AB62" s="1372"/>
      <c r="AC62" s="1372"/>
      <c r="AD62" s="1372"/>
      <c r="AE62" s="1372"/>
      <c r="AF62" s="1372"/>
      <c r="AG62" s="1372"/>
      <c r="AH62" s="1372"/>
      <c r="AI62" s="1372"/>
      <c r="AJ62" s="1372"/>
      <c r="AK62" s="1372"/>
    </row>
    <row r="63" spans="1:37" s="1371" customFormat="1" ht="24">
      <c r="A63" s="2878" t="s">
        <v>2952</v>
      </c>
      <c r="B63" s="2882">
        <f>估价对象房地状况!C24</f>
        <v>0</v>
      </c>
      <c r="C63" s="2770"/>
      <c r="D63" s="1287">
        <f t="shared" si="14"/>
        <v>0</v>
      </c>
      <c r="E63" s="820"/>
      <c r="F63" s="2501"/>
      <c r="G63" s="1285"/>
      <c r="H63" s="1289" t="str">
        <f t="shared" si="15"/>
        <v>——</v>
      </c>
      <c r="I63" s="818">
        <v>0.05</v>
      </c>
      <c r="J63" s="1286">
        <f t="shared" si="16"/>
        <v>0</v>
      </c>
      <c r="K63" s="1286">
        <f t="shared" si="17"/>
        <v>0</v>
      </c>
      <c r="L63" s="1286">
        <v>0</v>
      </c>
      <c r="M63" s="1286">
        <f t="shared" si="18"/>
        <v>0</v>
      </c>
      <c r="N63" s="1286">
        <f t="shared" si="18"/>
        <v>0</v>
      </c>
      <c r="AA63" s="1372"/>
      <c r="AB63" s="1372"/>
      <c r="AC63" s="1372"/>
      <c r="AD63" s="1372"/>
      <c r="AE63" s="1372"/>
      <c r="AF63" s="1372"/>
      <c r="AG63" s="1372"/>
      <c r="AH63" s="1372"/>
      <c r="AI63" s="1372"/>
      <c r="AJ63" s="1372"/>
      <c r="AK63" s="1372"/>
    </row>
    <row r="64" spans="1:37" s="1371" customFormat="1" ht="36">
      <c r="A64" s="2878" t="s">
        <v>2953</v>
      </c>
      <c r="B64" s="2884" t="s">
        <v>2954</v>
      </c>
      <c r="C64" s="2770"/>
      <c r="D64" s="1287">
        <f t="shared" si="14"/>
        <v>0</v>
      </c>
      <c r="E64" s="820"/>
      <c r="F64" s="2501"/>
      <c r="G64" s="1285"/>
      <c r="H64" s="1289" t="str">
        <f t="shared" si="15"/>
        <v>——</v>
      </c>
      <c r="I64" s="818">
        <v>0.05</v>
      </c>
      <c r="J64" s="1286">
        <f t="shared" si="16"/>
        <v>0</v>
      </c>
      <c r="K64" s="1286">
        <f t="shared" si="17"/>
        <v>0</v>
      </c>
      <c r="L64" s="1286">
        <v>0</v>
      </c>
      <c r="M64" s="1286">
        <f t="shared" si="18"/>
        <v>0</v>
      </c>
      <c r="N64" s="1286">
        <f t="shared" si="18"/>
        <v>0</v>
      </c>
      <c r="AA64" s="1372"/>
      <c r="AB64" s="1372"/>
      <c r="AC64" s="1372"/>
      <c r="AD64" s="1372"/>
      <c r="AE64" s="1372"/>
      <c r="AF64" s="1372"/>
      <c r="AG64" s="1372"/>
      <c r="AH64" s="1372"/>
      <c r="AI64" s="1372"/>
      <c r="AJ64" s="1372"/>
      <c r="AK64" s="1372"/>
    </row>
    <row r="65" spans="1:37" s="1371" customFormat="1" ht="26.4">
      <c r="A65" s="2878" t="s">
        <v>2955</v>
      </c>
      <c r="B65" s="1726" t="str">
        <f>估价对象房地状况!C21</f>
        <v>估价对象所在区域公共配套设施齐备</v>
      </c>
      <c r="C65" s="2770"/>
      <c r="D65" s="1287">
        <f t="shared" si="14"/>
        <v>0</v>
      </c>
      <c r="E65" s="820"/>
      <c r="F65" s="2501"/>
      <c r="G65" s="1285"/>
      <c r="H65" s="1289" t="str">
        <f t="shared" si="15"/>
        <v>——</v>
      </c>
      <c r="I65" s="818">
        <v>0.06</v>
      </c>
      <c r="J65" s="1286">
        <f t="shared" si="16"/>
        <v>0</v>
      </c>
      <c r="K65" s="1286">
        <f t="shared" si="17"/>
        <v>0</v>
      </c>
      <c r="L65" s="1286">
        <v>0</v>
      </c>
      <c r="M65" s="1286">
        <f t="shared" si="18"/>
        <v>0</v>
      </c>
      <c r="N65" s="1286">
        <f t="shared" si="18"/>
        <v>0</v>
      </c>
      <c r="AA65" s="1372"/>
      <c r="AB65" s="1372"/>
      <c r="AC65" s="1372"/>
      <c r="AD65" s="1372"/>
      <c r="AE65" s="1372"/>
      <c r="AF65" s="1372"/>
      <c r="AG65" s="1372"/>
      <c r="AH65" s="1372"/>
      <c r="AI65" s="1372"/>
      <c r="AJ65" s="1372"/>
      <c r="AK65" s="1372"/>
    </row>
    <row r="66" spans="1:37" s="1371" customFormat="1" ht="26.4">
      <c r="A66" s="2878" t="s">
        <v>2956</v>
      </c>
      <c r="B66" s="1726" t="str">
        <f>估价对象房地状况!C22</f>
        <v>估价对象所在区域基础设施水平较高</v>
      </c>
      <c r="C66" s="2770"/>
      <c r="D66" s="1287">
        <f t="shared" si="14"/>
        <v>0</v>
      </c>
      <c r="E66" s="820"/>
      <c r="F66" s="2501"/>
      <c r="G66" s="1285"/>
      <c r="H66" s="1289" t="str">
        <f t="shared" si="15"/>
        <v>——</v>
      </c>
      <c r="I66" s="818">
        <v>0.12</v>
      </c>
      <c r="J66" s="1286">
        <f t="shared" si="16"/>
        <v>0</v>
      </c>
      <c r="K66" s="1286">
        <f t="shared" si="17"/>
        <v>0</v>
      </c>
      <c r="L66" s="1286">
        <v>0</v>
      </c>
      <c r="M66" s="1286">
        <f t="shared" si="18"/>
        <v>0</v>
      </c>
      <c r="N66" s="1286">
        <f t="shared" si="18"/>
        <v>0</v>
      </c>
      <c r="AA66" s="1372"/>
      <c r="AB66" s="1372"/>
      <c r="AC66" s="1372"/>
      <c r="AD66" s="1372"/>
      <c r="AE66" s="1372"/>
      <c r="AF66" s="1372"/>
      <c r="AG66" s="1372"/>
      <c r="AH66" s="1372"/>
      <c r="AI66" s="1372"/>
      <c r="AJ66" s="1372"/>
      <c r="AK66" s="1372"/>
    </row>
    <row r="67" spans="1:37" s="1371" customFormat="1" ht="66.599999999999994" thickBot="1">
      <c r="A67" s="2886" t="s">
        <v>2957</v>
      </c>
      <c r="B67" s="2888" t="str">
        <f>估价对象房地状况!C20</f>
        <v>区域自然环境：廉政文化公园；人文环境：自来水博物馆；综合评价环境状况较好</v>
      </c>
      <c r="C67" s="2770"/>
      <c r="D67" s="1287">
        <f t="shared" si="14"/>
        <v>0</v>
      </c>
      <c r="E67" s="823"/>
      <c r="F67" s="2501"/>
      <c r="G67" s="1285"/>
      <c r="H67" s="1289" t="str">
        <f t="shared" si="15"/>
        <v>——</v>
      </c>
      <c r="I67" s="822">
        <v>0.06</v>
      </c>
      <c r="J67" s="1286">
        <f t="shared" si="16"/>
        <v>0</v>
      </c>
      <c r="K67" s="1286">
        <f t="shared" si="17"/>
        <v>0</v>
      </c>
      <c r="L67" s="1286">
        <v>0</v>
      </c>
      <c r="M67" s="1286">
        <f t="shared" si="18"/>
        <v>0</v>
      </c>
      <c r="N67" s="1286">
        <f t="shared" si="18"/>
        <v>0</v>
      </c>
      <c r="AA67" s="1372"/>
      <c r="AB67" s="1372"/>
      <c r="AC67" s="1372"/>
      <c r="AD67" s="1372"/>
      <c r="AE67" s="1372"/>
      <c r="AF67" s="1372"/>
      <c r="AG67" s="1372"/>
      <c r="AH67" s="1372"/>
      <c r="AI67" s="1372"/>
      <c r="AJ67" s="1372"/>
      <c r="AK67" s="1372"/>
    </row>
    <row r="68" spans="1:37" s="1371" customFormat="1" ht="14.4">
      <c r="A68" s="2874" t="s">
        <v>2961</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5.2">
      <c r="A69" s="2878" t="s">
        <v>2939</v>
      </c>
      <c r="B69" s="1810"/>
      <c r="C69" s="1810" t="s">
        <v>2941</v>
      </c>
      <c r="D69" s="1810" t="s">
        <v>2942</v>
      </c>
      <c r="E69" s="817" t="s">
        <v>2943</v>
      </c>
      <c r="F69" s="2879" t="s">
        <v>2959</v>
      </c>
      <c r="G69" s="1810" t="s">
        <v>754</v>
      </c>
      <c r="H69" s="2880" t="s">
        <v>2945</v>
      </c>
      <c r="I69" s="1810" t="s">
        <v>2946</v>
      </c>
      <c r="J69" s="603" t="s">
        <v>2595</v>
      </c>
      <c r="K69" s="603" t="s">
        <v>2596</v>
      </c>
      <c r="L69" s="603" t="s">
        <v>2597</v>
      </c>
      <c r="M69" s="603" t="s">
        <v>2598</v>
      </c>
      <c r="N69" s="603" t="s">
        <v>2599</v>
      </c>
      <c r="AA69" s="1372"/>
      <c r="AB69" s="1372"/>
      <c r="AC69" s="1372"/>
      <c r="AD69" s="1372"/>
      <c r="AE69" s="1372"/>
      <c r="AF69" s="1372"/>
      <c r="AG69" s="1372"/>
      <c r="AH69" s="1372"/>
      <c r="AI69" s="1372"/>
      <c r="AJ69" s="1372"/>
      <c r="AK69" s="1372"/>
    </row>
    <row r="70" spans="1:37" s="1371" customFormat="1" ht="66">
      <c r="A70" s="2878" t="s">
        <v>2962</v>
      </c>
      <c r="B70" s="2881" t="str">
        <f>估价对象房地状况!C15</f>
        <v>估价对象周边居住用地比例、居住小区规模和社区发展完善程度，综合评价居住社区成熟度一般</v>
      </c>
      <c r="C70" s="2770"/>
      <c r="D70" s="1287">
        <f t="shared" ref="D70:D78" si="19">SUMIF($J$69:$N$69,C70,J70:N70)</f>
        <v>0</v>
      </c>
      <c r="E70" s="819">
        <f>ROUND(SUM(D70:D78),4)</f>
        <v>0</v>
      </c>
      <c r="F70" s="2501" t="str">
        <f>IF(E2="住宅",SUMIF(L1:L12,G2,N1:N12),"——")</f>
        <v>——</v>
      </c>
      <c r="G70" s="1285"/>
      <c r="H70" s="1289" t="str">
        <f t="shared" ref="H70:H78" si="20">IFERROR(ROUNDDOWN($F$70*I70/2,4),"——")</f>
        <v>——</v>
      </c>
      <c r="I70" s="818">
        <v>0.14000000000000001</v>
      </c>
      <c r="J70" s="1286">
        <f t="shared" ref="J70:J78" si="21">K70+$G70</f>
        <v>0</v>
      </c>
      <c r="K70" s="1286">
        <f t="shared" ref="K70:K78" si="22">$L70+$G70</f>
        <v>0</v>
      </c>
      <c r="L70" s="1286">
        <v>0</v>
      </c>
      <c r="M70" s="1286">
        <f t="shared" ref="M70:N78" si="23">L70-$G70</f>
        <v>0</v>
      </c>
      <c r="N70" s="1286">
        <f t="shared" si="23"/>
        <v>0</v>
      </c>
      <c r="AA70" s="1372"/>
      <c r="AB70" s="1372"/>
      <c r="AC70" s="1372"/>
      <c r="AD70" s="1372"/>
      <c r="AE70" s="1372"/>
      <c r="AF70" s="1372"/>
      <c r="AG70" s="1372"/>
      <c r="AH70" s="1372"/>
      <c r="AI70" s="1372"/>
      <c r="AJ70" s="1372"/>
      <c r="AK70" s="1372"/>
    </row>
    <row r="71" spans="1:37" s="1371" customFormat="1" ht="118.8">
      <c r="A71" s="2878" t="s">
        <v>2948</v>
      </c>
      <c r="B71" s="2882" t="str">
        <f>估价对象房地状况!C18</f>
        <v>估价对象周边道路状况较好（机场高速、香河园路）、公共交通较通达（2、机场线东直门站，18路、916路香河园路，359、915路东直门外站）、停车便捷程度，综合评价交通便捷度较好</v>
      </c>
      <c r="C71" s="2770"/>
      <c r="D71" s="1287">
        <f t="shared" si="19"/>
        <v>0</v>
      </c>
      <c r="E71" s="824"/>
      <c r="F71" s="2501"/>
      <c r="G71" s="1285"/>
      <c r="H71" s="1289" t="str">
        <f t="shared" si="20"/>
        <v>——</v>
      </c>
      <c r="I71" s="818">
        <v>0.3</v>
      </c>
      <c r="J71" s="1286">
        <f t="shared" si="21"/>
        <v>0</v>
      </c>
      <c r="K71" s="1286">
        <f t="shared" si="22"/>
        <v>0</v>
      </c>
      <c r="L71" s="1286">
        <v>0</v>
      </c>
      <c r="M71" s="1286">
        <f t="shared" si="23"/>
        <v>0</v>
      </c>
      <c r="N71" s="1286">
        <f t="shared" si="23"/>
        <v>0</v>
      </c>
      <c r="AA71" s="1372"/>
      <c r="AB71" s="1372"/>
      <c r="AC71" s="1372"/>
      <c r="AD71" s="1372"/>
      <c r="AE71" s="1372"/>
      <c r="AF71" s="1372"/>
      <c r="AG71" s="1372"/>
      <c r="AH71" s="1372"/>
      <c r="AI71" s="1372"/>
      <c r="AJ71" s="1372"/>
      <c r="AK71" s="1372"/>
    </row>
    <row r="72" spans="1:37" s="1371" customFormat="1" ht="24">
      <c r="A72" s="2878" t="s">
        <v>2949</v>
      </c>
      <c r="B72" s="2882" t="str">
        <f>估价对象房地状况!C19</f>
        <v>较一致</v>
      </c>
      <c r="C72" s="2770"/>
      <c r="D72" s="1287">
        <f t="shared" si="19"/>
        <v>0</v>
      </c>
      <c r="E72" s="824"/>
      <c r="F72" s="2501"/>
      <c r="G72" s="1285"/>
      <c r="H72" s="1289" t="str">
        <f t="shared" si="20"/>
        <v>——</v>
      </c>
      <c r="I72" s="818">
        <v>0.08</v>
      </c>
      <c r="J72" s="1286">
        <f t="shared" si="21"/>
        <v>0</v>
      </c>
      <c r="K72" s="1286">
        <f t="shared" si="22"/>
        <v>0</v>
      </c>
      <c r="L72" s="1286">
        <v>0</v>
      </c>
      <c r="M72" s="1286">
        <f t="shared" si="23"/>
        <v>0</v>
      </c>
      <c r="N72" s="1286">
        <f t="shared" si="23"/>
        <v>0</v>
      </c>
      <c r="AA72" s="1372"/>
      <c r="AB72" s="1372"/>
      <c r="AC72" s="1372"/>
      <c r="AD72" s="1372"/>
      <c r="AE72" s="1372"/>
      <c r="AF72" s="1372"/>
      <c r="AG72" s="1372"/>
      <c r="AH72" s="1372"/>
      <c r="AI72" s="1372"/>
      <c r="AJ72" s="1372"/>
      <c r="AK72" s="1372"/>
    </row>
    <row r="73" spans="1:37" s="1371" customFormat="1" ht="13.8">
      <c r="A73" s="2878" t="s">
        <v>2963</v>
      </c>
      <c r="B73" s="2882">
        <f>估价对象房地状况!C24</f>
        <v>0</v>
      </c>
      <c r="C73" s="2770"/>
      <c r="D73" s="1287">
        <f t="shared" si="19"/>
        <v>0</v>
      </c>
      <c r="E73" s="824"/>
      <c r="F73" s="2501"/>
      <c r="G73" s="1285"/>
      <c r="H73" s="1289" t="str">
        <f t="shared" si="20"/>
        <v>——</v>
      </c>
      <c r="I73" s="818">
        <v>0.04</v>
      </c>
      <c r="J73" s="1286">
        <f t="shared" si="21"/>
        <v>0</v>
      </c>
      <c r="K73" s="1286">
        <f t="shared" si="22"/>
        <v>0</v>
      </c>
      <c r="L73" s="1286">
        <v>0</v>
      </c>
      <c r="M73" s="1286">
        <f t="shared" si="23"/>
        <v>0</v>
      </c>
      <c r="N73" s="1286">
        <f t="shared" si="23"/>
        <v>0</v>
      </c>
      <c r="AA73" s="1372"/>
      <c r="AB73" s="1372"/>
      <c r="AC73" s="1372"/>
      <c r="AD73" s="1372"/>
      <c r="AE73" s="1372"/>
      <c r="AF73" s="1372"/>
      <c r="AG73" s="1372"/>
      <c r="AH73" s="1372"/>
      <c r="AI73" s="1372"/>
      <c r="AJ73" s="1372"/>
      <c r="AK73" s="1372"/>
    </row>
    <row r="74" spans="1:37" s="1371" customFormat="1" ht="26.4">
      <c r="A74" s="2878" t="s">
        <v>2955</v>
      </c>
      <c r="B74" s="1726" t="str">
        <f>估价对象房地状况!C21</f>
        <v>估价对象所在区域公共配套设施齐备</v>
      </c>
      <c r="C74" s="2770"/>
      <c r="D74" s="1287">
        <f t="shared" si="19"/>
        <v>0</v>
      </c>
      <c r="E74" s="824"/>
      <c r="F74" s="2501"/>
      <c r="G74" s="1285"/>
      <c r="H74" s="1289" t="str">
        <f t="shared" si="20"/>
        <v>——</v>
      </c>
      <c r="I74" s="818">
        <v>0.08</v>
      </c>
      <c r="J74" s="1286">
        <f t="shared" si="21"/>
        <v>0</v>
      </c>
      <c r="K74" s="1286">
        <f t="shared" si="22"/>
        <v>0</v>
      </c>
      <c r="L74" s="1286">
        <v>0</v>
      </c>
      <c r="M74" s="1286">
        <f t="shared" si="23"/>
        <v>0</v>
      </c>
      <c r="N74" s="1286">
        <f t="shared" si="23"/>
        <v>0</v>
      </c>
      <c r="AA74" s="1372"/>
      <c r="AB74" s="1372"/>
      <c r="AC74" s="1372"/>
      <c r="AD74" s="1372"/>
      <c r="AE74" s="1372"/>
      <c r="AF74" s="1372"/>
      <c r="AG74" s="1372"/>
      <c r="AH74" s="1372"/>
      <c r="AI74" s="1372"/>
      <c r="AJ74" s="1372"/>
      <c r="AK74" s="1372"/>
    </row>
    <row r="75" spans="1:37" s="1371" customFormat="1" ht="26.4">
      <c r="A75" s="2878" t="s">
        <v>2956</v>
      </c>
      <c r="B75" s="1726" t="str">
        <f>估价对象房地状况!C22</f>
        <v>估价对象所在区域基础设施水平较高</v>
      </c>
      <c r="C75" s="2770"/>
      <c r="D75" s="1287">
        <f t="shared" si="19"/>
        <v>0</v>
      </c>
      <c r="E75" s="824"/>
      <c r="F75" s="2501"/>
      <c r="G75" s="1285"/>
      <c r="H75" s="1289" t="str">
        <f t="shared" si="20"/>
        <v>——</v>
      </c>
      <c r="I75" s="818">
        <v>0.12</v>
      </c>
      <c r="J75" s="1286">
        <f t="shared" si="21"/>
        <v>0</v>
      </c>
      <c r="K75" s="1286">
        <f t="shared" si="22"/>
        <v>0</v>
      </c>
      <c r="L75" s="1286">
        <v>0</v>
      </c>
      <c r="M75" s="1286">
        <f t="shared" si="23"/>
        <v>0</v>
      </c>
      <c r="N75" s="1286">
        <f t="shared" si="23"/>
        <v>0</v>
      </c>
      <c r="AA75" s="1372"/>
      <c r="AB75" s="1372"/>
      <c r="AC75" s="1372"/>
      <c r="AD75" s="1372"/>
      <c r="AE75" s="1372"/>
      <c r="AF75" s="1372"/>
      <c r="AG75" s="1372"/>
      <c r="AH75" s="1372"/>
      <c r="AI75" s="1372"/>
      <c r="AJ75" s="1372"/>
      <c r="AK75" s="1372"/>
    </row>
    <row r="76" spans="1:37" s="2719" customFormat="1" ht="36">
      <c r="A76" s="2878" t="s">
        <v>2953</v>
      </c>
      <c r="B76" s="2884" t="s">
        <v>2954</v>
      </c>
      <c r="C76" s="2770"/>
      <c r="D76" s="1287">
        <f t="shared" si="19"/>
        <v>0</v>
      </c>
      <c r="E76" s="824"/>
      <c r="F76" s="2501"/>
      <c r="G76" s="1285"/>
      <c r="H76" s="1289" t="str">
        <f t="shared" si="20"/>
        <v>——</v>
      </c>
      <c r="I76" s="818">
        <v>0.05</v>
      </c>
      <c r="J76" s="1286">
        <f t="shared" si="21"/>
        <v>0</v>
      </c>
      <c r="K76" s="1286">
        <f t="shared" si="22"/>
        <v>0</v>
      </c>
      <c r="L76" s="1286">
        <v>0</v>
      </c>
      <c r="M76" s="1286">
        <f t="shared" si="23"/>
        <v>0</v>
      </c>
      <c r="N76" s="1286">
        <f t="shared" si="23"/>
        <v>0</v>
      </c>
      <c r="AA76" s="2889"/>
      <c r="AB76" s="1372"/>
      <c r="AC76" s="1372"/>
      <c r="AD76" s="1372"/>
      <c r="AE76" s="1372"/>
      <c r="AF76" s="1372"/>
      <c r="AG76" s="1372"/>
      <c r="AH76" s="2889"/>
      <c r="AI76" s="2889"/>
      <c r="AJ76" s="2889"/>
      <c r="AK76" s="2889"/>
    </row>
    <row r="77" spans="1:37" ht="66">
      <c r="A77" s="2878" t="s">
        <v>2957</v>
      </c>
      <c r="B77" s="2881" t="str">
        <f>估价对象房地状况!C20</f>
        <v>区域自然环境：廉政文化公园；人文环境：自来水博物馆；综合评价环境状况较好</v>
      </c>
      <c r="C77" s="2770"/>
      <c r="D77" s="1287">
        <f t="shared" si="19"/>
        <v>0</v>
      </c>
      <c r="E77" s="824"/>
      <c r="F77" s="2501"/>
      <c r="G77" s="1285"/>
      <c r="H77" s="1289" t="str">
        <f t="shared" si="20"/>
        <v>——</v>
      </c>
      <c r="I77" s="818">
        <v>0.15</v>
      </c>
      <c r="J77" s="1286">
        <f t="shared" si="21"/>
        <v>0</v>
      </c>
      <c r="K77" s="1286">
        <f t="shared" si="22"/>
        <v>0</v>
      </c>
      <c r="L77" s="1286">
        <v>0</v>
      </c>
      <c r="M77" s="1286">
        <f t="shared" si="23"/>
        <v>0</v>
      </c>
      <c r="N77" s="1286">
        <f t="shared" si="23"/>
        <v>0</v>
      </c>
      <c r="Z77" s="2720"/>
      <c r="AA77" s="2796"/>
      <c r="AG77" s="1373"/>
      <c r="AK77" s="2796"/>
    </row>
    <row r="78" spans="1:37" ht="36.6" thickBot="1">
      <c r="A78" s="2886" t="s">
        <v>2964</v>
      </c>
      <c r="B78" s="2890"/>
      <c r="C78" s="2770"/>
      <c r="D78" s="1287">
        <f t="shared" si="19"/>
        <v>0</v>
      </c>
      <c r="E78" s="825"/>
      <c r="F78" s="2501"/>
      <c r="G78" s="1285"/>
      <c r="H78" s="1289" t="str">
        <f t="shared" si="20"/>
        <v>——</v>
      </c>
      <c r="I78" s="822">
        <v>0.04</v>
      </c>
      <c r="J78" s="1286">
        <f t="shared" si="21"/>
        <v>0</v>
      </c>
      <c r="K78" s="1286">
        <f t="shared" si="22"/>
        <v>0</v>
      </c>
      <c r="L78" s="1286">
        <v>0</v>
      </c>
      <c r="M78" s="1286">
        <f t="shared" si="23"/>
        <v>0</v>
      </c>
      <c r="N78" s="1286">
        <f t="shared" si="23"/>
        <v>0</v>
      </c>
      <c r="Z78" s="2720"/>
      <c r="AA78" s="2796"/>
      <c r="AG78" s="1373"/>
      <c r="AK78" s="2796"/>
    </row>
    <row r="79" spans="1:37" ht="14.4">
      <c r="A79" s="2874" t="s">
        <v>2965</v>
      </c>
      <c r="B79" s="2875">
        <f>1+E81</f>
        <v>1</v>
      </c>
      <c r="C79" s="812"/>
      <c r="D79" s="812"/>
      <c r="E79" s="813"/>
      <c r="F79" s="2877"/>
      <c r="G79" s="6"/>
      <c r="H79" s="6"/>
      <c r="I79" s="6"/>
      <c r="J79" s="7"/>
      <c r="K79" s="7"/>
      <c r="L79" s="7"/>
      <c r="M79" s="7"/>
      <c r="N79" s="7"/>
      <c r="Z79" s="2720"/>
      <c r="AA79" s="2796"/>
      <c r="AG79" s="1373"/>
      <c r="AK79" s="2796"/>
    </row>
    <row r="80" spans="1:37" ht="25.2">
      <c r="A80" s="2878" t="s">
        <v>2939</v>
      </c>
      <c r="B80" s="1810"/>
      <c r="C80" s="1810" t="s">
        <v>2941</v>
      </c>
      <c r="D80" s="1810" t="s">
        <v>2942</v>
      </c>
      <c r="E80" s="817" t="s">
        <v>2943</v>
      </c>
      <c r="F80" s="2879" t="s">
        <v>2959</v>
      </c>
      <c r="G80" s="1810" t="s">
        <v>754</v>
      </c>
      <c r="H80" s="2880" t="s">
        <v>2945</v>
      </c>
      <c r="I80" s="1810" t="s">
        <v>2946</v>
      </c>
      <c r="J80" s="603" t="s">
        <v>2595</v>
      </c>
      <c r="K80" s="603" t="s">
        <v>2596</v>
      </c>
      <c r="L80" s="603" t="s">
        <v>2597</v>
      </c>
      <c r="M80" s="603" t="s">
        <v>2598</v>
      </c>
      <c r="N80" s="603" t="s">
        <v>2599</v>
      </c>
      <c r="Z80" s="2720"/>
      <c r="AA80" s="2796"/>
      <c r="AG80" s="1373"/>
      <c r="AK80" s="2796"/>
    </row>
    <row r="81" spans="1:37" ht="39.6">
      <c r="A81" s="2878" t="s">
        <v>2966</v>
      </c>
      <c r="B81" s="2882" t="str">
        <f>估价对象房地状况!G15</f>
        <v>估价对象位于XX开发区，园区建设成熟度XX，产业集聚程度XX</v>
      </c>
      <c r="C81" s="2770"/>
      <c r="D81" s="1287">
        <f t="shared" ref="D81:D88" si="24">SUMIF($J$80:$N$80,C81,J81:N81)</f>
        <v>0</v>
      </c>
      <c r="E81" s="819">
        <f>ROUND(SUM(D81:D88),4)</f>
        <v>0</v>
      </c>
      <c r="F81" s="2501" t="str">
        <f>IF(E2="工业",SUMIF(L1:L12,G2,N1:N12),"——")</f>
        <v>——</v>
      </c>
      <c r="G81" s="1285"/>
      <c r="H81" s="1289" t="str">
        <f t="shared" ref="H81:H88" si="25">IFERROR(ROUNDDOWN($F$81*I81/2,4),"——")</f>
        <v>——</v>
      </c>
      <c r="I81" s="818">
        <v>0.26</v>
      </c>
      <c r="J81" s="1286">
        <f t="shared" ref="J81:J88" si="26">K81+$G81</f>
        <v>0</v>
      </c>
      <c r="K81" s="1286">
        <f t="shared" ref="K81:K88" si="27">$L81+$G81</f>
        <v>0</v>
      </c>
      <c r="L81" s="1286">
        <v>0</v>
      </c>
      <c r="M81" s="1286">
        <f t="shared" ref="M81:N88" si="28">L81-$G81</f>
        <v>0</v>
      </c>
      <c r="N81" s="1286">
        <f t="shared" si="28"/>
        <v>0</v>
      </c>
      <c r="Z81" s="2720"/>
      <c r="AA81" s="2796"/>
      <c r="AG81" s="1373"/>
      <c r="AK81" s="2796"/>
    </row>
    <row r="82" spans="1:37" ht="66">
      <c r="A82" s="2878" t="s">
        <v>2948</v>
      </c>
      <c r="B82" s="2882" t="str">
        <f>估价对象房地状况!G16</f>
        <v>估价对象周边道路状况、公共交通通达情况、停车便捷程度，综合评价交通便捷度较好</v>
      </c>
      <c r="C82" s="2770"/>
      <c r="D82" s="1287">
        <f t="shared" si="24"/>
        <v>0</v>
      </c>
      <c r="E82" s="824"/>
      <c r="F82" s="2501"/>
      <c r="G82" s="1285"/>
      <c r="H82" s="1289" t="str">
        <f t="shared" si="25"/>
        <v>——</v>
      </c>
      <c r="I82" s="818">
        <v>0.33</v>
      </c>
      <c r="J82" s="1286">
        <f t="shared" si="26"/>
        <v>0</v>
      </c>
      <c r="K82" s="1286">
        <f t="shared" si="27"/>
        <v>0</v>
      </c>
      <c r="L82" s="1286">
        <v>0</v>
      </c>
      <c r="M82" s="1286">
        <f t="shared" si="28"/>
        <v>0</v>
      </c>
      <c r="N82" s="1286">
        <f t="shared" si="28"/>
        <v>0</v>
      </c>
      <c r="Z82" s="2720"/>
      <c r="AA82" s="2796"/>
      <c r="AG82" s="1373"/>
      <c r="AK82" s="2796"/>
    </row>
    <row r="83" spans="1:37" ht="24">
      <c r="A83" s="2878" t="s">
        <v>2949</v>
      </c>
      <c r="B83" s="2882">
        <f>估价对象房地状况!G17</f>
        <v>0</v>
      </c>
      <c r="C83" s="2770"/>
      <c r="D83" s="1287">
        <f t="shared" si="24"/>
        <v>0</v>
      </c>
      <c r="E83" s="824"/>
      <c r="F83" s="2501"/>
      <c r="G83" s="1285"/>
      <c r="H83" s="1289" t="str">
        <f t="shared" si="25"/>
        <v>——</v>
      </c>
      <c r="I83" s="818">
        <v>0.05</v>
      </c>
      <c r="J83" s="1286">
        <f t="shared" si="26"/>
        <v>0</v>
      </c>
      <c r="K83" s="1286">
        <f t="shared" si="27"/>
        <v>0</v>
      </c>
      <c r="L83" s="1286">
        <v>0</v>
      </c>
      <c r="M83" s="1286">
        <f t="shared" si="28"/>
        <v>0</v>
      </c>
      <c r="N83" s="1286">
        <f t="shared" si="28"/>
        <v>0</v>
      </c>
      <c r="Z83" s="2720"/>
      <c r="AA83" s="2796"/>
      <c r="AG83" s="1373"/>
      <c r="AK83" s="2796"/>
    </row>
    <row r="84" spans="1:37" ht="13.8">
      <c r="A84" s="2878" t="s">
        <v>2963</v>
      </c>
      <c r="B84" s="2882">
        <f>估价对象房地状况!G22</f>
        <v>0</v>
      </c>
      <c r="C84" s="2770"/>
      <c r="D84" s="1287">
        <f t="shared" si="24"/>
        <v>0</v>
      </c>
      <c r="E84" s="824"/>
      <c r="F84" s="2501"/>
      <c r="G84" s="1285"/>
      <c r="H84" s="1289" t="str">
        <f t="shared" si="25"/>
        <v>——</v>
      </c>
      <c r="I84" s="818">
        <v>0.04</v>
      </c>
      <c r="J84" s="1286">
        <f t="shared" si="26"/>
        <v>0</v>
      </c>
      <c r="K84" s="1286">
        <f t="shared" si="27"/>
        <v>0</v>
      </c>
      <c r="L84" s="1286">
        <v>0</v>
      </c>
      <c r="M84" s="1286">
        <f t="shared" si="28"/>
        <v>0</v>
      </c>
      <c r="N84" s="1286">
        <f t="shared" si="28"/>
        <v>0</v>
      </c>
      <c r="Z84" s="2720"/>
      <c r="AA84" s="2796"/>
      <c r="AG84" s="1373"/>
      <c r="AK84" s="2796"/>
    </row>
    <row r="85" spans="1:37" ht="26.4">
      <c r="A85" s="2878" t="s">
        <v>2955</v>
      </c>
      <c r="B85" s="1726" t="str">
        <f>估价对象房地状况!G19</f>
        <v>估价对象所在区域公共配套设施齐备情况</v>
      </c>
      <c r="C85" s="2770"/>
      <c r="D85" s="1287">
        <f t="shared" si="24"/>
        <v>0</v>
      </c>
      <c r="E85" s="824"/>
      <c r="F85" s="2501"/>
      <c r="G85" s="1285"/>
      <c r="H85" s="1289" t="str">
        <f t="shared" si="25"/>
        <v>——</v>
      </c>
      <c r="I85" s="818">
        <v>0.06</v>
      </c>
      <c r="J85" s="1286">
        <f t="shared" si="26"/>
        <v>0</v>
      </c>
      <c r="K85" s="1286">
        <f t="shared" si="27"/>
        <v>0</v>
      </c>
      <c r="L85" s="1286">
        <v>0</v>
      </c>
      <c r="M85" s="1286">
        <f t="shared" si="28"/>
        <v>0</v>
      </c>
      <c r="N85" s="1286">
        <f t="shared" si="28"/>
        <v>0</v>
      </c>
      <c r="Z85" s="2720"/>
      <c r="AA85" s="2796"/>
      <c r="AG85" s="1373"/>
      <c r="AK85" s="2796"/>
    </row>
    <row r="86" spans="1:37" ht="26.4">
      <c r="A86" s="2878" t="s">
        <v>2956</v>
      </c>
      <c r="B86" s="1726" t="str">
        <f>估价对象房地状况!G20</f>
        <v>估价对象所在区域基础设施水平</v>
      </c>
      <c r="C86" s="2770"/>
      <c r="D86" s="1287">
        <f t="shared" si="24"/>
        <v>0</v>
      </c>
      <c r="E86" s="824"/>
      <c r="F86" s="2501"/>
      <c r="G86" s="1285"/>
      <c r="H86" s="1289" t="str">
        <f t="shared" si="25"/>
        <v>——</v>
      </c>
      <c r="I86" s="818">
        <v>0.15</v>
      </c>
      <c r="J86" s="1286">
        <f t="shared" si="26"/>
        <v>0</v>
      </c>
      <c r="K86" s="1286">
        <f t="shared" si="27"/>
        <v>0</v>
      </c>
      <c r="L86" s="1286">
        <v>0</v>
      </c>
      <c r="M86" s="1286">
        <f t="shared" si="28"/>
        <v>0</v>
      </c>
      <c r="N86" s="1286">
        <f t="shared" si="28"/>
        <v>0</v>
      </c>
      <c r="Z86" s="2720"/>
      <c r="AA86" s="2796"/>
      <c r="AG86" s="1373"/>
      <c r="AK86" s="2796"/>
    </row>
    <row r="87" spans="1:37" ht="36">
      <c r="A87" s="2878" t="s">
        <v>2953</v>
      </c>
      <c r="B87" s="2884" t="s">
        <v>2967</v>
      </c>
      <c r="C87" s="2770"/>
      <c r="D87" s="1287">
        <f t="shared" si="24"/>
        <v>0</v>
      </c>
      <c r="E87" s="824"/>
      <c r="F87" s="2501"/>
      <c r="G87" s="1285"/>
      <c r="H87" s="1289" t="str">
        <f t="shared" si="25"/>
        <v>——</v>
      </c>
      <c r="I87" s="818">
        <v>0.05</v>
      </c>
      <c r="J87" s="1286">
        <f t="shared" si="26"/>
        <v>0</v>
      </c>
      <c r="K87" s="1286">
        <f t="shared" si="27"/>
        <v>0</v>
      </c>
      <c r="L87" s="1286">
        <v>0</v>
      </c>
      <c r="M87" s="1286">
        <f t="shared" si="28"/>
        <v>0</v>
      </c>
      <c r="N87" s="1286">
        <f t="shared" si="28"/>
        <v>0</v>
      </c>
      <c r="Z87" s="2720"/>
      <c r="AA87" s="2796"/>
      <c r="AG87" s="1373"/>
      <c r="AK87" s="2796"/>
    </row>
    <row r="88" spans="1:37" ht="53.4" thickBot="1">
      <c r="A88" s="2886" t="s">
        <v>2968</v>
      </c>
      <c r="B88" s="2891" t="str">
        <f>估价对象房地状况!G18</f>
        <v>该园区内是否有污染型企业，绿化情况，卫生条件，整体环境状况判断</v>
      </c>
      <c r="C88" s="2770"/>
      <c r="D88" s="1287">
        <f t="shared" si="24"/>
        <v>0</v>
      </c>
      <c r="E88" s="825"/>
      <c r="F88" s="2501"/>
      <c r="G88" s="1285"/>
      <c r="H88" s="1289" t="str">
        <f t="shared" si="25"/>
        <v>——</v>
      </c>
      <c r="I88" s="822">
        <v>0.06</v>
      </c>
      <c r="J88" s="1286">
        <f t="shared" si="26"/>
        <v>0</v>
      </c>
      <c r="K88" s="1286">
        <f t="shared" si="27"/>
        <v>0</v>
      </c>
      <c r="L88" s="1286">
        <v>0</v>
      </c>
      <c r="M88" s="1286">
        <f t="shared" si="28"/>
        <v>0</v>
      </c>
      <c r="N88" s="1286">
        <f t="shared" si="28"/>
        <v>0</v>
      </c>
      <c r="Z88" s="2720"/>
      <c r="AA88" s="2796"/>
      <c r="AG88" s="1373"/>
      <c r="AK88" s="2796"/>
    </row>
    <row r="90" spans="1:37">
      <c r="A90" s="3661" t="s">
        <v>2969</v>
      </c>
      <c r="B90" s="3661"/>
      <c r="C90" s="3661"/>
      <c r="D90" s="3661"/>
      <c r="E90" s="3661"/>
      <c r="F90" s="3661"/>
      <c r="G90" s="3661"/>
      <c r="H90" s="3661"/>
      <c r="I90" s="3661"/>
      <c r="J90" s="3661"/>
      <c r="K90" s="2892"/>
      <c r="L90" s="2892"/>
      <c r="M90" s="2892"/>
      <c r="N90" s="2892"/>
    </row>
    <row r="91" spans="1:37">
      <c r="A91" s="3663" t="s">
        <v>2970</v>
      </c>
      <c r="B91" s="3663" t="s">
        <v>2971</v>
      </c>
      <c r="C91" s="2846" t="s">
        <v>2972</v>
      </c>
      <c r="D91" s="2847"/>
      <c r="E91" s="2847"/>
      <c r="F91" s="2847"/>
      <c r="G91" s="2847"/>
      <c r="H91" s="2847"/>
      <c r="I91" s="2847"/>
      <c r="J91" s="2893"/>
      <c r="K91" s="2894"/>
      <c r="L91" s="2894"/>
      <c r="M91" s="2894"/>
      <c r="N91" s="2894"/>
    </row>
    <row r="92" spans="1:37">
      <c r="A92" s="3663"/>
      <c r="B92" s="3663"/>
      <c r="C92" s="943" t="s">
        <v>2837</v>
      </c>
      <c r="D92" s="943" t="s">
        <v>2838</v>
      </c>
      <c r="E92" s="943" t="s">
        <v>2839</v>
      </c>
      <c r="F92" s="943" t="s">
        <v>2840</v>
      </c>
      <c r="G92" s="943" t="s">
        <v>2841</v>
      </c>
      <c r="H92" s="943" t="s">
        <v>2842</v>
      </c>
      <c r="I92" s="943" t="s">
        <v>2843</v>
      </c>
      <c r="J92" s="943" t="s">
        <v>2844</v>
      </c>
      <c r="K92" s="943" t="s">
        <v>2845</v>
      </c>
      <c r="L92" s="943" t="s">
        <v>2846</v>
      </c>
      <c r="M92" s="943" t="s">
        <v>2847</v>
      </c>
      <c r="N92" s="943" t="s">
        <v>2848</v>
      </c>
    </row>
    <row r="93" spans="1:37">
      <c r="A93" s="3664" t="s">
        <v>2973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66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66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66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66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66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665"/>
      <c r="B99" s="2895" t="s">
        <v>2853</v>
      </c>
      <c r="C99" s="2897">
        <f>$I$3</f>
        <v>0</v>
      </c>
      <c r="D99" s="2897">
        <f t="shared" ref="D99:M99" si="29">$I$3</f>
        <v>0</v>
      </c>
      <c r="E99" s="2897">
        <f t="shared" si="29"/>
        <v>0</v>
      </c>
      <c r="F99" s="2897">
        <f t="shared" si="29"/>
        <v>0</v>
      </c>
      <c r="G99" s="2897">
        <f t="shared" si="29"/>
        <v>0</v>
      </c>
      <c r="H99" s="2897">
        <f t="shared" si="29"/>
        <v>0</v>
      </c>
      <c r="I99" s="2897">
        <f t="shared" si="29"/>
        <v>0</v>
      </c>
      <c r="J99" s="2897">
        <f t="shared" si="29"/>
        <v>0</v>
      </c>
      <c r="K99" s="2897">
        <f t="shared" si="29"/>
        <v>0</v>
      </c>
      <c r="L99" s="2897">
        <f t="shared" si="29"/>
        <v>0</v>
      </c>
      <c r="M99" s="2897">
        <f t="shared" si="29"/>
        <v>0</v>
      </c>
      <c r="N99" s="2897">
        <f>$I$3</f>
        <v>0</v>
      </c>
    </row>
    <row r="100" spans="1:14">
      <c r="A100" s="366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664" t="s">
        <v>2974</v>
      </c>
      <c r="B101" s="2899" t="s">
        <v>2975</v>
      </c>
      <c r="C101" s="2900">
        <f>$G$3</f>
        <v>7.5</v>
      </c>
      <c r="D101" s="2900">
        <f t="shared" ref="D101:N101" si="30">$G$3</f>
        <v>7.5</v>
      </c>
      <c r="E101" s="2900">
        <f t="shared" si="30"/>
        <v>7.5</v>
      </c>
      <c r="F101" s="2900">
        <f t="shared" si="30"/>
        <v>7.5</v>
      </c>
      <c r="G101" s="2900">
        <f t="shared" si="30"/>
        <v>7.5</v>
      </c>
      <c r="H101" s="2900">
        <f t="shared" si="30"/>
        <v>7.5</v>
      </c>
      <c r="I101" s="2900">
        <f t="shared" si="30"/>
        <v>7.5</v>
      </c>
      <c r="J101" s="2900">
        <f t="shared" si="30"/>
        <v>7.5</v>
      </c>
      <c r="K101" s="2900">
        <f t="shared" si="30"/>
        <v>7.5</v>
      </c>
      <c r="L101" s="2900">
        <f t="shared" si="30"/>
        <v>7.5</v>
      </c>
      <c r="M101" s="2900">
        <f t="shared" si="30"/>
        <v>7.5</v>
      </c>
      <c r="N101" s="2900">
        <f t="shared" si="30"/>
        <v>7.5</v>
      </c>
    </row>
    <row r="102" spans="1:14">
      <c r="A102" s="3665"/>
      <c r="B102" s="2895">
        <v>1</v>
      </c>
      <c r="C102" s="2896">
        <f>1.9362/C101</f>
        <v>0.25816</v>
      </c>
      <c r="D102" s="2896">
        <f>1.9362/D101</f>
        <v>0.25816</v>
      </c>
      <c r="E102" s="2896">
        <f>1.8629/E101</f>
        <v>0.24838666666666667</v>
      </c>
      <c r="F102" s="2896">
        <f>1.8629/F101</f>
        <v>0.24838666666666667</v>
      </c>
      <c r="G102" s="2896">
        <f>1.8629/G101</f>
        <v>0.24838666666666667</v>
      </c>
      <c r="H102" s="2896">
        <f>1.8629/H101</f>
        <v>0.24838666666666667</v>
      </c>
      <c r="I102" s="2896">
        <f>1.8629/I101</f>
        <v>0.24838666666666667</v>
      </c>
      <c r="J102" s="2896">
        <f>1.942/J101</f>
        <v>0.25893333333333335</v>
      </c>
      <c r="K102" s="2896">
        <f>1.942/K101</f>
        <v>0.25893333333333335</v>
      </c>
      <c r="L102" s="2896">
        <f>1.942/L101</f>
        <v>0.25893333333333335</v>
      </c>
      <c r="M102" s="2896">
        <f>1.942/M101</f>
        <v>0.25893333333333335</v>
      </c>
      <c r="N102" s="2896">
        <f>1.942/N101</f>
        <v>0.25893333333333335</v>
      </c>
    </row>
    <row r="103" spans="1:14">
      <c r="A103" s="3665"/>
      <c r="B103" s="2895">
        <v>2</v>
      </c>
      <c r="C103" s="2896">
        <f>1.4198/C101</f>
        <v>0.18930666666666665</v>
      </c>
      <c r="D103" s="2896">
        <f>1.4198/D101</f>
        <v>0.18930666666666665</v>
      </c>
      <c r="E103" s="2896">
        <f>1.3372/E101</f>
        <v>0.17829333333333333</v>
      </c>
      <c r="F103" s="2896">
        <f>1.3372/F101</f>
        <v>0.17829333333333333</v>
      </c>
      <c r="G103" s="2896">
        <f>1.3372/G101</f>
        <v>0.17829333333333333</v>
      </c>
      <c r="H103" s="2896">
        <f>1.3372/H101</f>
        <v>0.17829333333333333</v>
      </c>
      <c r="I103" s="2896">
        <f>1.3372/I101</f>
        <v>0.17829333333333333</v>
      </c>
      <c r="J103" s="2896">
        <f>1.2799/J101</f>
        <v>0.17065333333333335</v>
      </c>
      <c r="K103" s="2896">
        <f>1.2799/K101</f>
        <v>0.17065333333333335</v>
      </c>
      <c r="L103" s="2896">
        <f>1.2799/L101</f>
        <v>0.17065333333333335</v>
      </c>
      <c r="M103" s="2896">
        <f>1.2799/M101</f>
        <v>0.17065333333333335</v>
      </c>
      <c r="N103" s="2896">
        <f>1.2799/N101</f>
        <v>0.17065333333333335</v>
      </c>
    </row>
    <row r="104" spans="1:14">
      <c r="A104" s="3665"/>
      <c r="B104" s="2895">
        <v>3</v>
      </c>
      <c r="C104" s="2896">
        <f>1.1594/C101</f>
        <v>0.15458666666666668</v>
      </c>
      <c r="D104" s="2896">
        <f>1.1594/D101</f>
        <v>0.15458666666666668</v>
      </c>
      <c r="E104" s="2896">
        <f>1.0788/E101</f>
        <v>0.14384</v>
      </c>
      <c r="F104" s="2896">
        <f>1.0788/F101</f>
        <v>0.14384</v>
      </c>
      <c r="G104" s="2896">
        <f>1.0788/G101</f>
        <v>0.14384</v>
      </c>
      <c r="H104" s="2896">
        <f>1.0788/H101</f>
        <v>0.14384</v>
      </c>
      <c r="I104" s="2896">
        <f>1.0788/I101</f>
        <v>0.14384</v>
      </c>
      <c r="J104" s="2896">
        <f>1.0072/J101</f>
        <v>0.13429333333333335</v>
      </c>
      <c r="K104" s="2896">
        <f>1.0072/K101</f>
        <v>0.13429333333333335</v>
      </c>
      <c r="L104" s="2896">
        <f>1.0072/L101</f>
        <v>0.13429333333333335</v>
      </c>
      <c r="M104" s="2896">
        <f>1.0072/M101</f>
        <v>0.13429333333333335</v>
      </c>
      <c r="N104" s="2896">
        <f>1.0072/N101</f>
        <v>0.13429333333333335</v>
      </c>
    </row>
    <row r="105" spans="1:14">
      <c r="A105" s="3665"/>
      <c r="B105" s="2895">
        <v>4</v>
      </c>
      <c r="C105" s="2896">
        <f>0.9622/C101</f>
        <v>0.12829333333333334</v>
      </c>
      <c r="D105" s="2896">
        <f>0.9622/D101</f>
        <v>0.12829333333333334</v>
      </c>
      <c r="E105" s="2896">
        <f>0.8656/E101</f>
        <v>0.11541333333333334</v>
      </c>
      <c r="F105" s="2896">
        <f>0.8656/F101</f>
        <v>0.11541333333333334</v>
      </c>
      <c r="G105" s="2896">
        <f>0.8656/G101</f>
        <v>0.11541333333333334</v>
      </c>
      <c r="H105" s="2896">
        <f>0.8656/H101</f>
        <v>0.11541333333333334</v>
      </c>
      <c r="I105" s="2896">
        <f>0.8656/I101</f>
        <v>0.11541333333333334</v>
      </c>
      <c r="J105" s="2896">
        <f>0.7525/J101</f>
        <v>0.10033333333333333</v>
      </c>
      <c r="K105" s="2896">
        <f>0.7525/K101</f>
        <v>0.10033333333333333</v>
      </c>
      <c r="L105" s="2896">
        <f>0.7525/L101</f>
        <v>0.10033333333333333</v>
      </c>
      <c r="M105" s="2896">
        <f>0.7525/M101</f>
        <v>0.10033333333333333</v>
      </c>
      <c r="N105" s="2896">
        <f>0.7525/N101</f>
        <v>0.10033333333333333</v>
      </c>
    </row>
    <row r="106" spans="1:14">
      <c r="A106" s="3665"/>
      <c r="B106" s="2895">
        <v>5</v>
      </c>
      <c r="C106" s="2896">
        <f>0.8417/C101</f>
        <v>0.11222666666666667</v>
      </c>
      <c r="D106" s="2896">
        <f>0.8417/D101</f>
        <v>0.11222666666666667</v>
      </c>
      <c r="E106" s="2896">
        <f>0.7371/E101</f>
        <v>9.8279999999999992E-2</v>
      </c>
      <c r="F106" s="2896">
        <f>0.7371/F101</f>
        <v>9.8279999999999992E-2</v>
      </c>
      <c r="G106" s="2896">
        <f>0.7371/G101</f>
        <v>9.8279999999999992E-2</v>
      </c>
      <c r="H106" s="2896">
        <f>0.7371/H101</f>
        <v>9.8279999999999992E-2</v>
      </c>
      <c r="I106" s="2896">
        <f>0.7371/I101</f>
        <v>9.8279999999999992E-2</v>
      </c>
      <c r="J106" s="2896">
        <f>0.5659/J101</f>
        <v>7.5453333333333331E-2</v>
      </c>
      <c r="K106" s="2896">
        <f>0.5659/K101</f>
        <v>7.5453333333333331E-2</v>
      </c>
      <c r="L106" s="2896">
        <f>0.5659/L101</f>
        <v>7.5453333333333331E-2</v>
      </c>
      <c r="M106" s="2896">
        <f>0.5659/M101</f>
        <v>7.5453333333333331E-2</v>
      </c>
      <c r="N106" s="2896">
        <f>0.5659/N101</f>
        <v>7.5453333333333331E-2</v>
      </c>
    </row>
    <row r="107" spans="1:14">
      <c r="A107" s="3665"/>
      <c r="B107" s="2895">
        <v>6</v>
      </c>
      <c r="C107" s="2896">
        <f>0.7608/C101</f>
        <v>0.10144</v>
      </c>
      <c r="D107" s="2896">
        <f>0.7608/D101</f>
        <v>0.10144</v>
      </c>
      <c r="E107" s="2896">
        <f>0.6482/E101</f>
        <v>8.6426666666666666E-2</v>
      </c>
      <c r="F107" s="2896">
        <f>0.6482/F101</f>
        <v>8.6426666666666666E-2</v>
      </c>
      <c r="G107" s="2896">
        <f>0.6482/G101</f>
        <v>8.6426666666666666E-2</v>
      </c>
      <c r="H107" s="2896">
        <f>0.6482/H101</f>
        <v>8.6426666666666666E-2</v>
      </c>
      <c r="I107" s="2896">
        <f>0.6482/I101</f>
        <v>8.6426666666666666E-2</v>
      </c>
      <c r="J107" s="2896">
        <f>0.4525/J101</f>
        <v>6.0333333333333336E-2</v>
      </c>
      <c r="K107" s="2896">
        <f>0.4525/K101</f>
        <v>6.0333333333333336E-2</v>
      </c>
      <c r="L107" s="2896">
        <f>0.4525/L101</f>
        <v>6.0333333333333336E-2</v>
      </c>
      <c r="M107" s="2896">
        <f>0.4525/M101</f>
        <v>6.0333333333333336E-2</v>
      </c>
      <c r="N107" s="2896">
        <f>0.4525/N101</f>
        <v>6.0333333333333336E-2</v>
      </c>
    </row>
    <row r="108" spans="1:14">
      <c r="A108" s="3665"/>
      <c r="B108" s="3493" t="s">
        <v>2976</v>
      </c>
      <c r="C108" s="2897">
        <f>C99</f>
        <v>0</v>
      </c>
      <c r="D108" s="2897">
        <f t="shared" ref="D108:N108" si="31">D99</f>
        <v>0</v>
      </c>
      <c r="E108" s="2897">
        <f t="shared" si="31"/>
        <v>0</v>
      </c>
      <c r="F108" s="2897">
        <f t="shared" si="31"/>
        <v>0</v>
      </c>
      <c r="G108" s="2897">
        <f t="shared" si="31"/>
        <v>0</v>
      </c>
      <c r="H108" s="2897">
        <f t="shared" si="31"/>
        <v>0</v>
      </c>
      <c r="I108" s="2897">
        <f t="shared" si="31"/>
        <v>0</v>
      </c>
      <c r="J108" s="2897">
        <f t="shared" si="31"/>
        <v>0</v>
      </c>
      <c r="K108" s="2897">
        <f t="shared" si="31"/>
        <v>0</v>
      </c>
      <c r="L108" s="2897">
        <f t="shared" si="31"/>
        <v>0</v>
      </c>
      <c r="M108" s="2897">
        <f t="shared" si="31"/>
        <v>0</v>
      </c>
      <c r="N108" s="2897">
        <f t="shared" si="31"/>
        <v>0</v>
      </c>
    </row>
    <row r="109" spans="1:14">
      <c r="A109" s="3666"/>
      <c r="B109" s="3494"/>
      <c r="C109" s="2898">
        <f>(-0.163*(C108^2)-0.59*C108+7617)*(10^(-4))/C101</f>
        <v>0.10156000000000001</v>
      </c>
      <c r="D109" s="2898">
        <f>(-0.163*(D108^2)-0.59*D108+7617)*(10^(-4))/D101</f>
        <v>0.10156000000000001</v>
      </c>
      <c r="E109" s="2898">
        <f>(-0.161*(E108^2)-7.509*E108+6533)*(10^(-4))/E101</f>
        <v>8.7106666666666666E-2</v>
      </c>
      <c r="F109" s="2898">
        <f>(-0.161*(F108^2)-7.509*F108+6533)*(10^(-4))/F101</f>
        <v>8.7106666666666666E-2</v>
      </c>
      <c r="G109" s="2898">
        <f>(-0.161*(G108^2)-7.509*G108+6533)*(10^(-4))/G101</f>
        <v>8.7106666666666666E-2</v>
      </c>
      <c r="H109" s="2898">
        <f>(-0.161*(H108^2)-7.509*H108+6533)*(10^(-4))/H101</f>
        <v>8.7106666666666666E-2</v>
      </c>
      <c r="I109" s="2898">
        <f>(-0.161*(I108^2)-7.509*I108+6533)*(10^(-4))/I101</f>
        <v>8.7106666666666666E-2</v>
      </c>
      <c r="J109" s="2898">
        <f>(-0.214*(J108^2)-21.991*J108+4665)*(10^(-4))/J101</f>
        <v>6.2200000000000005E-2</v>
      </c>
      <c r="K109" s="2898">
        <f>(-0.214*(K108^2)-21.991*K108+4665)*(10^(-4))/K101</f>
        <v>6.2200000000000005E-2</v>
      </c>
      <c r="L109" s="2898">
        <f>(-0.214*(L108^2)-21.991*L108+4665)*(10^(-4))/L101</f>
        <v>6.2200000000000005E-2</v>
      </c>
      <c r="M109" s="2898">
        <f>(-0.214*(M108^2)-21.991*M108+4665)*(10^(-4))/M101</f>
        <v>6.2200000000000005E-2</v>
      </c>
      <c r="N109" s="2898">
        <f>(-0.214*(N108^2)-21.991*N108+4665)*(10^(-4))/N101</f>
        <v>6.2200000000000005E-2</v>
      </c>
    </row>
    <row r="110" spans="1:14">
      <c r="A110" s="3662" t="s">
        <v>2977</v>
      </c>
      <c r="B110" s="3662"/>
      <c r="C110" s="3662"/>
      <c r="D110" s="3662"/>
      <c r="E110" s="3662"/>
      <c r="F110" s="3662"/>
      <c r="G110" s="3662"/>
      <c r="H110" s="3662"/>
      <c r="I110" s="3662"/>
      <c r="J110" s="3662"/>
      <c r="K110" s="2901"/>
      <c r="L110" s="2901"/>
      <c r="M110" s="2901"/>
      <c r="N110" s="2901"/>
    </row>
    <row r="112" spans="1:14" ht="13.8" thickBot="1"/>
    <row r="113" spans="1:13" ht="25.8" thickBot="1">
      <c r="A113" s="901" t="s">
        <v>2978</v>
      </c>
      <c r="B113" s="1288">
        <f>G3</f>
        <v>7.5</v>
      </c>
      <c r="C113" s="902" t="s">
        <v>2979</v>
      </c>
      <c r="D113" s="903">
        <f>SUMPRODUCT((A115:A118=F113)*(B114:M114=H113)*B115:M118)</f>
        <v>0.86299999999999999</v>
      </c>
      <c r="E113" s="2724" t="s">
        <v>2811</v>
      </c>
      <c r="F113" s="2903" t="str">
        <f>E2</f>
        <v>商业</v>
      </c>
      <c r="G113" s="2724" t="s">
        <v>2812</v>
      </c>
      <c r="H113" s="2903" t="str">
        <f>G2</f>
        <v>二级</v>
      </c>
      <c r="I113" s="2724"/>
      <c r="J113" s="2904"/>
      <c r="K113" s="2904"/>
      <c r="L113" s="2904"/>
      <c r="M113" s="2904"/>
    </row>
    <row r="114" spans="1:13">
      <c r="A114" s="906"/>
      <c r="B114" s="2905" t="s">
        <v>2980</v>
      </c>
      <c r="C114" s="2905" t="s">
        <v>2981</v>
      </c>
      <c r="D114" s="2905" t="s">
        <v>2982</v>
      </c>
      <c r="E114" s="2906" t="s">
        <v>2983</v>
      </c>
      <c r="F114" s="2906" t="s">
        <v>2984</v>
      </c>
      <c r="G114" s="2906" t="s">
        <v>2985</v>
      </c>
      <c r="H114" s="2907" t="s">
        <v>2986</v>
      </c>
      <c r="I114" s="2907" t="s">
        <v>2987</v>
      </c>
      <c r="J114" s="2908" t="s">
        <v>2988</v>
      </c>
      <c r="K114" s="2908" t="s">
        <v>2989</v>
      </c>
      <c r="L114" s="2908" t="s">
        <v>2990</v>
      </c>
      <c r="M114" s="2909" t="s">
        <v>2991</v>
      </c>
    </row>
    <row r="115" spans="1:13">
      <c r="A115" s="907" t="s">
        <v>2875</v>
      </c>
      <c r="B115" s="908">
        <f>ROUND(0.9335-0.0094*B113,4)</f>
        <v>0.86299999999999999</v>
      </c>
      <c r="C115" s="908">
        <f>B115</f>
        <v>0.86299999999999999</v>
      </c>
      <c r="D115" s="908">
        <f>ROUND(0.8331-0.0109*B113,4)</f>
        <v>0.75139999999999996</v>
      </c>
      <c r="E115" s="908">
        <f>D115</f>
        <v>0.75139999999999996</v>
      </c>
      <c r="F115" s="908">
        <f>E115</f>
        <v>0.75139999999999996</v>
      </c>
      <c r="G115" s="908">
        <f>F115</f>
        <v>0.75139999999999996</v>
      </c>
      <c r="H115" s="908">
        <f>G115</f>
        <v>0.75139999999999996</v>
      </c>
      <c r="I115" s="908">
        <f>ROUND(0.689-0.0155*B113,4)</f>
        <v>0.57279999999999998</v>
      </c>
      <c r="J115" s="908">
        <f t="shared" ref="J115:M118" si="32">I115</f>
        <v>0.57279999999999998</v>
      </c>
      <c r="K115" s="908">
        <f t="shared" si="32"/>
        <v>0.57279999999999998</v>
      </c>
      <c r="L115" s="908">
        <f t="shared" si="32"/>
        <v>0.57279999999999998</v>
      </c>
      <c r="M115" s="909">
        <f t="shared" si="32"/>
        <v>0.57279999999999998</v>
      </c>
    </row>
    <row r="116" spans="1:13">
      <c r="A116" s="907" t="s">
        <v>2876</v>
      </c>
      <c r="B116" s="908">
        <f>ROUND(0.949-0.012*B113,4)</f>
        <v>0.85899999999999999</v>
      </c>
      <c r="C116" s="908">
        <f>B116</f>
        <v>0.85899999999999999</v>
      </c>
      <c r="D116" s="908">
        <f>ROUND(0.8567-0.013*B113,4)</f>
        <v>0.75919999999999999</v>
      </c>
      <c r="E116" s="908">
        <f t="shared" ref="E116:H117" si="33">D116</f>
        <v>0.75919999999999999</v>
      </c>
      <c r="F116" s="908">
        <f t="shared" si="33"/>
        <v>0.75919999999999999</v>
      </c>
      <c r="G116" s="908">
        <f t="shared" si="33"/>
        <v>0.75919999999999999</v>
      </c>
      <c r="H116" s="908">
        <f t="shared" si="33"/>
        <v>0.75919999999999999</v>
      </c>
      <c r="I116" s="908">
        <f>ROUND(0.7694-0.014*B113,4)</f>
        <v>0.66439999999999999</v>
      </c>
      <c r="J116" s="908">
        <f t="shared" si="32"/>
        <v>0.66439999999999999</v>
      </c>
      <c r="K116" s="908">
        <f t="shared" si="32"/>
        <v>0.66439999999999999</v>
      </c>
      <c r="L116" s="908">
        <f t="shared" si="32"/>
        <v>0.66439999999999999</v>
      </c>
      <c r="M116" s="909">
        <f t="shared" si="32"/>
        <v>0.66439999999999999</v>
      </c>
    </row>
    <row r="117" spans="1:13">
      <c r="A117" s="907" t="s">
        <v>2877</v>
      </c>
      <c r="B117" s="908">
        <f>ROUND(0.8808-0.006*B113,4)</f>
        <v>0.83579999999999999</v>
      </c>
      <c r="C117" s="908">
        <f>B117</f>
        <v>0.83579999999999999</v>
      </c>
      <c r="D117" s="908">
        <f>ROUND(0.8748-0.008*B113,4)</f>
        <v>0.81479999999999997</v>
      </c>
      <c r="E117" s="908">
        <f t="shared" si="33"/>
        <v>0.81479999999999997</v>
      </c>
      <c r="F117" s="908">
        <f t="shared" si="33"/>
        <v>0.81479999999999997</v>
      </c>
      <c r="G117" s="908">
        <f t="shared" si="33"/>
        <v>0.81479999999999997</v>
      </c>
      <c r="H117" s="908">
        <f t="shared" si="33"/>
        <v>0.81479999999999997</v>
      </c>
      <c r="I117" s="908">
        <f>ROUND(0.7412-0.0095*B113,4)</f>
        <v>0.67</v>
      </c>
      <c r="J117" s="908">
        <f t="shared" si="32"/>
        <v>0.67</v>
      </c>
      <c r="K117" s="908">
        <f t="shared" si="32"/>
        <v>0.67</v>
      </c>
      <c r="L117" s="908">
        <f t="shared" si="32"/>
        <v>0.67</v>
      </c>
      <c r="M117" s="909">
        <f t="shared" si="32"/>
        <v>0.67</v>
      </c>
    </row>
    <row r="118" spans="1:13" ht="13.8" thickBot="1">
      <c r="A118" s="714" t="s">
        <v>2878</v>
      </c>
      <c r="B118" s="910">
        <f>ROUND(0.7275-0.01*B113,4)</f>
        <v>0.65249999999999997</v>
      </c>
      <c r="C118" s="910">
        <f>B118</f>
        <v>0.65249999999999997</v>
      </c>
      <c r="D118" s="910">
        <f>ROUND(0.7043-0.012*B113,4)</f>
        <v>0.61429999999999996</v>
      </c>
      <c r="E118" s="910">
        <f>D118</f>
        <v>0.61429999999999996</v>
      </c>
      <c r="F118" s="910">
        <f>E118</f>
        <v>0.61429999999999996</v>
      </c>
      <c r="G118" s="910">
        <f>ROUND(0.6299-0.0122*B113,4)</f>
        <v>0.53839999999999999</v>
      </c>
      <c r="H118" s="910">
        <f>G118</f>
        <v>0.53839999999999999</v>
      </c>
      <c r="I118" s="910">
        <f>ROUND(0.5667-0.0136*B113,4)</f>
        <v>0.4647</v>
      </c>
      <c r="J118" s="910">
        <f t="shared" si="32"/>
        <v>0.4647</v>
      </c>
      <c r="K118" s="910">
        <f t="shared" si="32"/>
        <v>0.4647</v>
      </c>
      <c r="L118" s="910">
        <f t="shared" si="32"/>
        <v>0.4647</v>
      </c>
      <c r="M118" s="911">
        <f t="shared" si="32"/>
        <v>0.4647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12" zoomScaleNormal="100" zoomScaleSheetLayoutView="100" zoomScalePageLayoutView="80" workbookViewId="0">
      <selection activeCell="G118" sqref="G118"/>
    </sheetView>
  </sheetViews>
  <sheetFormatPr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09375" style="795" bestFit="1" customWidth="1"/>
    <col min="14" max="26" width="12.6640625" style="795"/>
    <col min="27" max="35" width="12.6640625" style="2421"/>
    <col min="36" max="16384" width="12.6640625" style="2422"/>
  </cols>
  <sheetData>
    <row r="1" spans="1:12" ht="21.75" customHeight="1" thickBot="1">
      <c r="A1" s="2224" t="s">
        <v>2115</v>
      </c>
      <c r="B1" s="2416"/>
      <c r="C1" s="2417" t="s">
        <v>3048</v>
      </c>
      <c r="D1" s="2416"/>
      <c r="E1" s="2416"/>
      <c r="F1" s="2418" t="s">
        <v>2116</v>
      </c>
      <c r="G1" s="2069" t="s">
        <v>3305</v>
      </c>
      <c r="H1" s="2419" t="str">
        <f>IF(G1="现房","——","估价对象范围")</f>
        <v>——</v>
      </c>
      <c r="I1" s="2420"/>
    </row>
    <row r="2" spans="1:12" ht="21.75" customHeight="1" thickBot="1">
      <c r="A2" s="3538" t="str">
        <f>项目基本情况!S2</f>
        <v>北京市东城区香河园街1号11号楼房地产</v>
      </c>
      <c r="B2" s="3539"/>
      <c r="C2" s="3539"/>
      <c r="D2" s="3539"/>
      <c r="E2" s="3539"/>
      <c r="F2" s="3539"/>
      <c r="G2" s="3539"/>
      <c r="H2" s="3539"/>
      <c r="I2" s="3540"/>
    </row>
    <row r="3" spans="1:12" ht="13.2">
      <c r="A3" s="3541" t="s">
        <v>2117</v>
      </c>
      <c r="B3" s="3542"/>
      <c r="C3" s="3542"/>
      <c r="D3" s="3542"/>
      <c r="E3" s="3542"/>
      <c r="F3" s="3542"/>
      <c r="G3" s="3542"/>
      <c r="H3" s="3542"/>
      <c r="I3" s="3542"/>
    </row>
    <row r="4" spans="1:12" ht="14.4">
      <c r="A4" s="2423" t="s">
        <v>2118</v>
      </c>
      <c r="B4" s="2424" t="s">
        <v>2119</v>
      </c>
      <c r="C4" s="2425" t="s">
        <v>3343</v>
      </c>
      <c r="D4" s="2425" t="s">
        <v>3076</v>
      </c>
      <c r="E4" s="3522" t="s">
        <v>2120</v>
      </c>
      <c r="F4" s="3535"/>
      <c r="G4" s="3535"/>
      <c r="H4" s="3535"/>
      <c r="I4" s="3523"/>
      <c r="K4" s="2426" t="str">
        <f>IF(ISNUMBER(FIND("比较法",'结果表 (3)'!C4)),"比较法",IF(ISNUMBER(FIND("成本法",'结果表 (3)'!C4)),"成本法",IF(ISNUMBER(FIND("假设开发法",'结果表 (3)'!C4)),"假设开发法",IF(ISNUMBER(FIND("收益法",'结果表 (3)'!C4)),"收益法","基准地价系数修正法"))))</f>
        <v>成本法</v>
      </c>
      <c r="L4" s="2426" t="str">
        <f>IF(ISNUMBER(FIND("比较法",'结果表 (3)'!D4)),"比较法",IF(ISNUMBER(FIND("成本法",'结果表 (3)'!D4)),"成本法",IF(ISNUMBER(FIND("假设开发法",'结果表 (3)'!D4)),"假设开发法",IF(ISNUMBER(FIND("收益法",'结果表 (3)'!D4)),"收益法","基准地价系数修正法"))))</f>
        <v>收益法</v>
      </c>
    </row>
    <row r="5" spans="1:12" ht="13.2">
      <c r="A5" s="3513" t="s">
        <v>2121</v>
      </c>
      <c r="B5" s="3439">
        <v>25</v>
      </c>
      <c r="C5" s="3543"/>
      <c r="D5" s="3531"/>
      <c r="E5" s="140" t="s">
        <v>2122</v>
      </c>
      <c r="F5" s="2427"/>
      <c r="G5" s="2427"/>
      <c r="H5" s="2427"/>
      <c r="I5" s="1832"/>
    </row>
    <row r="6" spans="1:12" ht="13.2">
      <c r="A6" s="3513"/>
      <c r="B6" s="3439"/>
      <c r="C6" s="3545"/>
      <c r="D6" s="3531"/>
      <c r="E6" s="140" t="s">
        <v>2123</v>
      </c>
      <c r="F6" s="2427"/>
      <c r="G6" s="2427"/>
      <c r="H6" s="2427"/>
      <c r="I6" s="1832"/>
    </row>
    <row r="7" spans="1:12" ht="13.2">
      <c r="A7" s="3513"/>
      <c r="B7" s="3439"/>
      <c r="C7" s="3544"/>
      <c r="D7" s="3531"/>
      <c r="E7" s="140" t="s">
        <v>2124</v>
      </c>
      <c r="F7" s="2427"/>
      <c r="G7" s="2427"/>
      <c r="H7" s="2427"/>
      <c r="I7" s="1832"/>
    </row>
    <row r="8" spans="1:12" ht="13.2">
      <c r="A8" s="3513" t="s">
        <v>2125</v>
      </c>
      <c r="B8" s="3439">
        <v>15</v>
      </c>
      <c r="C8" s="3543"/>
      <c r="D8" s="3531"/>
      <c r="E8" s="140" t="s">
        <v>2126</v>
      </c>
      <c r="F8" s="2427"/>
      <c r="G8" s="2427"/>
      <c r="H8" s="2427"/>
      <c r="I8" s="1832"/>
    </row>
    <row r="9" spans="1:12" ht="13.2">
      <c r="A9" s="3513"/>
      <c r="B9" s="3439"/>
      <c r="C9" s="3544"/>
      <c r="D9" s="3531"/>
      <c r="E9" s="140" t="s">
        <v>2127</v>
      </c>
      <c r="F9" s="2427"/>
      <c r="G9" s="2427"/>
      <c r="H9" s="2427"/>
      <c r="I9" s="1832"/>
    </row>
    <row r="10" spans="1:12" ht="13.2">
      <c r="A10" s="3513" t="s">
        <v>2128</v>
      </c>
      <c r="B10" s="3439">
        <v>15</v>
      </c>
      <c r="C10" s="3543"/>
      <c r="D10" s="3531"/>
      <c r="E10" s="140" t="s">
        <v>2129</v>
      </c>
      <c r="F10" s="2427"/>
      <c r="G10" s="2427"/>
      <c r="H10" s="2427"/>
      <c r="I10" s="1832"/>
    </row>
    <row r="11" spans="1:12" ht="13.2">
      <c r="A11" s="3513"/>
      <c r="B11" s="3439"/>
      <c r="C11" s="3544"/>
      <c r="D11" s="3531"/>
      <c r="E11" s="140" t="s">
        <v>2130</v>
      </c>
      <c r="F11" s="2427"/>
      <c r="G11" s="2427"/>
      <c r="H11" s="2427"/>
      <c r="I11" s="1832"/>
    </row>
    <row r="12" spans="1:12" ht="13.2">
      <c r="A12" s="3513" t="s">
        <v>2131</v>
      </c>
      <c r="B12" s="3439">
        <v>15</v>
      </c>
      <c r="C12" s="3543"/>
      <c r="D12" s="3531"/>
      <c r="E12" s="140" t="s">
        <v>2132</v>
      </c>
      <c r="F12" s="2427"/>
      <c r="G12" s="2427"/>
      <c r="H12" s="2427"/>
      <c r="I12" s="1832"/>
    </row>
    <row r="13" spans="1:12" ht="13.2">
      <c r="A13" s="3513"/>
      <c r="B13" s="3439"/>
      <c r="C13" s="3544"/>
      <c r="D13" s="3531"/>
      <c r="E13" s="140" t="s">
        <v>2133</v>
      </c>
      <c r="F13" s="2427"/>
      <c r="G13" s="2427"/>
      <c r="H13" s="2427"/>
      <c r="I13" s="1832"/>
    </row>
    <row r="14" spans="1:12" ht="13.2">
      <c r="A14" s="3513" t="s">
        <v>2134</v>
      </c>
      <c r="B14" s="3439">
        <v>30</v>
      </c>
      <c r="C14" s="3543">
        <v>4</v>
      </c>
      <c r="D14" s="3531">
        <v>6</v>
      </c>
      <c r="E14" s="140" t="s">
        <v>2135</v>
      </c>
      <c r="F14" s="2427"/>
      <c r="G14" s="2427"/>
      <c r="H14" s="2427"/>
      <c r="I14" s="1832"/>
    </row>
    <row r="15" spans="1:12" ht="13.2">
      <c r="A15" s="3513"/>
      <c r="B15" s="3439"/>
      <c r="C15" s="3545"/>
      <c r="D15" s="3531"/>
      <c r="E15" s="140" t="s">
        <v>2136</v>
      </c>
      <c r="F15" s="2427"/>
      <c r="G15" s="2427"/>
      <c r="H15" s="2427"/>
      <c r="I15" s="1832"/>
    </row>
    <row r="16" spans="1:12" ht="13.2">
      <c r="A16" s="3513"/>
      <c r="B16" s="3439"/>
      <c r="C16" s="3544"/>
      <c r="D16" s="3531"/>
      <c r="E16" s="140" t="s">
        <v>2137</v>
      </c>
      <c r="F16" s="2427"/>
      <c r="G16" s="2427"/>
      <c r="H16" s="2427"/>
      <c r="I16" s="1832"/>
    </row>
    <row r="17" spans="1:35" ht="14.4">
      <c r="A17" s="2428" t="s">
        <v>2138</v>
      </c>
      <c r="B17" s="64"/>
      <c r="C17" s="141">
        <f>SUM(C5:C16)</f>
        <v>4</v>
      </c>
      <c r="D17" s="141">
        <f>SUM(D5:D16)</f>
        <v>6</v>
      </c>
      <c r="E17" s="138"/>
      <c r="F17" s="138"/>
      <c r="G17" s="138"/>
      <c r="H17" s="138"/>
      <c r="I17" s="138"/>
      <c r="K17" s="2426"/>
      <c r="L17" s="2429" t="s">
        <v>2139</v>
      </c>
      <c r="M17" s="2429" t="s">
        <v>2140</v>
      </c>
    </row>
    <row r="18" spans="1:35" ht="15" thickBot="1">
      <c r="A18" s="2430" t="s">
        <v>2141</v>
      </c>
      <c r="B18" s="2431"/>
      <c r="C18" s="142">
        <f>ROUND(C17/SUM(C17:D17),2)</f>
        <v>0.4</v>
      </c>
      <c r="D18" s="142">
        <f>1-C18</f>
        <v>0.6</v>
      </c>
      <c r="E18" s="138"/>
      <c r="F18" s="138"/>
      <c r="G18" s="138"/>
      <c r="H18" s="138"/>
      <c r="I18" s="138"/>
      <c r="K18" s="2426" t="s">
        <v>2142</v>
      </c>
      <c r="L18" s="2426">
        <f>IF(C1="",'数据-汇总表'!E3,SUMIF(项目类型,C1,'数据-汇总表'!E17:E26)+SUMIF(项目类型,C1,'数据-汇总表'!I17:I26))</f>
        <v>6157.38</v>
      </c>
      <c r="M18" s="2426">
        <f>IF(C1="",'数据-汇总表'!E3,SUMIF(项目类型,C1,'数据-汇总表'!E17:E26))</f>
        <v>6074.74</v>
      </c>
    </row>
    <row r="19" spans="1:35" ht="14.4">
      <c r="A19" s="2432" t="s">
        <v>2143</v>
      </c>
      <c r="B19" s="2433" t="s">
        <v>2144</v>
      </c>
      <c r="C19" s="143">
        <f ca="1">SUMIF(INDIRECT("'"&amp;C4&amp;"'"&amp;"!A:A"),'结果表 (3)'!B19,INDIRECT("'"&amp;C4&amp;"'"&amp;"!B:B"))</f>
        <v>8906</v>
      </c>
      <c r="D19" s="144">
        <f ca="1">SUMIF(INDIRECT("'"&amp;D4&amp;"'"&amp;"!A:A"),'结果表 (3)'!B19,INDIRECT("'"&amp;D4&amp;"'"&amp;"!B:B"))</f>
        <v>2096</v>
      </c>
      <c r="E19" s="2432" t="s">
        <v>2145</v>
      </c>
      <c r="F19" s="2433" t="s">
        <v>2144</v>
      </c>
      <c r="G19" s="145">
        <f ca="1">ROUND(C19*$C$18+D19*$D$18,0)</f>
        <v>4820</v>
      </c>
      <c r="H19" s="2434" t="s">
        <v>2146</v>
      </c>
      <c r="I19" s="138"/>
      <c r="K19" s="2426" t="s">
        <v>2147</v>
      </c>
      <c r="L19" s="2426">
        <f>IF(C1="",'数据-汇总表'!D3,SUMIF(项目类型,C1,'数据-汇总表'!D17:D26)+SUMIF(项目类型,C1,'数据-汇总表'!H17:H27))</f>
        <v>643.15</v>
      </c>
      <c r="M19" s="2426">
        <f>IF(C1="",'数据-汇总表'!D3,SUMIF(项目类型,C1,'数据-汇总表'!D17:D26))</f>
        <v>634.52</v>
      </c>
    </row>
    <row r="20" spans="1:35" ht="14.4">
      <c r="A20" s="2435"/>
      <c r="B20" s="1248" t="s">
        <v>2148</v>
      </c>
      <c r="C20" s="146">
        <f ca="1">SUMIF(INDIRECT("'"&amp;C4&amp;"'"&amp;"!A:A"),'结果表 (3)'!B20,INDIRECT("'"&amp;C4&amp;"'"&amp;"!B:B"))</f>
        <v>14661</v>
      </c>
      <c r="D20" s="147">
        <f ca="1">SUMIF(INDIRECT("'"&amp;D4&amp;"'"&amp;"!A:A"),'结果表 (3)'!B20,INDIRECT("'"&amp;D4&amp;"'"&amp;"!B:B"))</f>
        <v>3450</v>
      </c>
      <c r="E20" s="2435"/>
      <c r="F20" s="1248" t="s">
        <v>2148</v>
      </c>
      <c r="G20" s="148">
        <f ca="1">ROUND(C20*$C$18+D20*$D$18,0)</f>
        <v>7934</v>
      </c>
      <c r="H20" s="981" t="s">
        <v>2149</v>
      </c>
      <c r="I20" s="138"/>
    </row>
    <row r="21" spans="1:35" ht="15" customHeight="1" thickBot="1">
      <c r="A21" s="1001"/>
      <c r="B21" s="2436" t="s">
        <v>2150</v>
      </c>
      <c r="C21" s="789">
        <f ca="1">ROUND(C19*10000/L19,0)</f>
        <v>138475</v>
      </c>
      <c r="D21" s="790">
        <f ca="1">ROUND(D19*10000/L19,0)</f>
        <v>32590</v>
      </c>
      <c r="E21" s="1001"/>
      <c r="F21" s="2436" t="s">
        <v>2150</v>
      </c>
      <c r="G21" s="149">
        <f ca="1">ROUND(G19*10000/L19,0)</f>
        <v>74944</v>
      </c>
      <c r="H21" s="2437" t="s">
        <v>2149</v>
      </c>
      <c r="I21" s="138"/>
    </row>
    <row r="22" spans="1:35" ht="15" thickBot="1">
      <c r="A22" s="2279" t="s">
        <v>2151</v>
      </c>
      <c r="B22" s="2438"/>
      <c r="C22" s="2439"/>
      <c r="D22" s="791">
        <f ca="1">IF(C19&lt;D19,D19/C19-1,C19/D19-1)</f>
        <v>3.2490458015267176</v>
      </c>
      <c r="E22" s="138"/>
      <c r="F22" s="138"/>
      <c r="G22" s="138"/>
      <c r="H22" s="138"/>
      <c r="I22" s="138"/>
    </row>
    <row r="23" spans="1:35" ht="13.8" thickBot="1">
      <c r="A23" s="2416"/>
      <c r="B23" s="2416"/>
      <c r="C23" s="2416"/>
      <c r="D23" s="2416"/>
      <c r="E23" s="138"/>
      <c r="F23" s="138"/>
      <c r="G23" s="138"/>
      <c r="H23" s="138"/>
      <c r="I23" s="138"/>
      <c r="J23" s="3234" t="s">
        <v>3336</v>
      </c>
      <c r="K23" s="795">
        <f ca="1">ROUND('结果表 (3)'!G19*('收益法（汇总）'!B8+'收益法（汇总）'!B9)/'收益法（汇总）'!B2,0)</f>
        <v>4050</v>
      </c>
      <c r="L23" s="795">
        <f ca="1">ROUND(K23*10000/('数据-汇总表'!F21+'数据-汇总表'!F22),0)</f>
        <v>1818</v>
      </c>
      <c r="M23" s="795">
        <v>62500</v>
      </c>
      <c r="N23" s="795">
        <f>ROUND(M23*('数据-汇总表'!F21+'数据-汇总表'!F22)/10000,0)</f>
        <v>139208</v>
      </c>
    </row>
    <row r="24" spans="1:35" ht="14.4">
      <c r="A24" s="3552" t="s">
        <v>2152</v>
      </c>
      <c r="B24" s="2433" t="s">
        <v>2144</v>
      </c>
      <c r="C24" s="145">
        <f>IF(B30=0,0,D30)</f>
        <v>0</v>
      </c>
      <c r="D24" s="2440"/>
      <c r="E24" s="138"/>
      <c r="F24" s="138"/>
      <c r="G24" s="138"/>
      <c r="H24" s="138"/>
      <c r="I24" s="138"/>
      <c r="J24" s="3234" t="s">
        <v>3337</v>
      </c>
      <c r="K24" s="795">
        <f ca="1">ROUND(G19*'收益法（汇总）'!B7/'收益法（汇总）'!B2,0)</f>
        <v>712</v>
      </c>
      <c r="L24" s="795">
        <f ca="1">ROUND(K24*10000/'数据-汇总表'!E20,0)</f>
        <v>337</v>
      </c>
      <c r="M24" s="795">
        <v>20000</v>
      </c>
      <c r="N24" s="795">
        <f>ROUND(M24*('数据-汇总表'!F20+'数据-汇总表'!G20)/10000,0)</f>
        <v>42199</v>
      </c>
    </row>
    <row r="25" spans="1:35" ht="14.4">
      <c r="A25" s="3553"/>
      <c r="B25" s="1248" t="s">
        <v>2148</v>
      </c>
      <c r="C25" s="150">
        <f>IF(B30=0,0,C30)</f>
        <v>0</v>
      </c>
      <c r="D25" s="2441"/>
      <c r="E25" s="138"/>
      <c r="F25" s="138"/>
      <c r="G25" s="138"/>
      <c r="H25" s="138"/>
      <c r="I25" s="138"/>
      <c r="J25" s="3234" t="s">
        <v>3338</v>
      </c>
      <c r="K25" s="795">
        <f ca="1">G19-K23-K24</f>
        <v>58</v>
      </c>
      <c r="L25" s="795">
        <f ca="1">ROUND(K25*10000/'数据-汇总表'!E19,0)</f>
        <v>95</v>
      </c>
      <c r="N25" s="795">
        <f ca="1">L25</f>
        <v>95</v>
      </c>
    </row>
    <row r="26" spans="1:35" ht="13.5" customHeight="1">
      <c r="A26" s="2442" t="s">
        <v>2153</v>
      </c>
      <c r="B26" s="151" t="s">
        <v>2154</v>
      </c>
      <c r="C26" s="151" t="s">
        <v>2155</v>
      </c>
      <c r="D26" s="152" t="s">
        <v>2156</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c r="J29" s="3234" t="s">
        <v>3337</v>
      </c>
      <c r="K29" s="795">
        <f>'数据-汇总表'!F20</f>
        <v>16984.89</v>
      </c>
      <c r="L29" s="795">
        <v>1</v>
      </c>
      <c r="M29" s="3235">
        <f ca="1">K24*10000/(K29+K30*L30)</f>
        <v>373.90510004981024</v>
      </c>
    </row>
    <row r="30" spans="1:35" ht="14.4">
      <c r="A30" s="151" t="s">
        <v>2157</v>
      </c>
      <c r="B30" s="151"/>
      <c r="C30" s="151"/>
      <c r="D30" s="151"/>
      <c r="E30" s="2925" t="s">
        <v>3032</v>
      </c>
      <c r="F30" s="138"/>
      <c r="G30" s="138"/>
      <c r="H30" s="138"/>
      <c r="I30" s="138"/>
      <c r="K30" s="795">
        <f>'数据-汇总表'!G20</f>
        <v>4114.75</v>
      </c>
      <c r="L30" s="795">
        <v>0.5</v>
      </c>
      <c r="M30" s="3235">
        <f ca="1">M29*L30</f>
        <v>186.95255002490512</v>
      </c>
    </row>
    <row r="31" spans="1:35" s="2444" customFormat="1" ht="14.4"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2158</v>
      </c>
      <c r="B32" s="2446"/>
      <c r="C32" s="153">
        <f ca="1">IF(D32="总价",G19-C24,G20-C25)</f>
        <v>4820</v>
      </c>
      <c r="D32" s="2447" t="s">
        <v>2159</v>
      </c>
      <c r="E32" s="138"/>
      <c r="F32" s="138"/>
      <c r="G32" s="138"/>
      <c r="H32" s="138"/>
      <c r="I32" s="138"/>
    </row>
    <row r="33" spans="1:15" ht="14.4">
      <c r="A33" s="958" t="s">
        <v>2160</v>
      </c>
      <c r="B33" s="2448"/>
      <c r="C33" s="2449" t="s">
        <v>3304</v>
      </c>
      <c r="D33" s="2450" t="s">
        <v>3343</v>
      </c>
      <c r="E33" s="2451" t="s">
        <v>2161</v>
      </c>
      <c r="F33" s="3219" t="str">
        <f>IF(D32="楼面单价","取值（单价）","取值（总价）")</f>
        <v>取值（总价）</v>
      </c>
      <c r="G33" s="138"/>
      <c r="H33" s="138"/>
      <c r="I33" s="138"/>
    </row>
    <row r="34" spans="1:15" ht="14.4">
      <c r="A34" s="2453"/>
      <c r="B34" s="2454" t="s">
        <v>2162</v>
      </c>
      <c r="C34" s="157">
        <f ca="1">IF(C33="自定义",F34,C32-C35)</f>
        <v>3360</v>
      </c>
      <c r="D34" s="1056">
        <f ca="1">IF(C33="自定义",ROUND(C34/C32,3),IF(C33="收益比率",SUMIF(INDIRECT("'"&amp;D33&amp;"'"&amp;"!b:b"),"土地收益比率",INDIRECT("'"&amp;D33&amp;"'"&amp;"!c:c")),SUMIF(INDIRECT("'"&amp;D33&amp;"'"&amp;"!b:b"),"土地成本比率",INDIRECT("'"&amp;D33&amp;"'"&amp;"!c:c"))))</f>
        <v>0.69700000000000006</v>
      </c>
      <c r="E34" s="2455" t="s">
        <v>2163</v>
      </c>
      <c r="F34" s="1737"/>
      <c r="G34" s="138"/>
      <c r="H34" s="138"/>
      <c r="I34" s="138"/>
    </row>
    <row r="35" spans="1:15" ht="15" thickBot="1">
      <c r="A35" s="2456"/>
      <c r="B35" s="2457" t="s">
        <v>2164</v>
      </c>
      <c r="C35" s="1442">
        <f ca="1">IF(C33="自定义",F35,ROUND(C32*D35,0))</f>
        <v>1460</v>
      </c>
      <c r="D35" s="1443">
        <f ca="1">IF(C33="自定义",ROUND(C35/C32,3),IF(C33="收益比率",SUMIF(INDIRECT("'"&amp;D33&amp;"'"&amp;"!b:b"),"建筑物收益比率",INDIRECT("'"&amp;D33&amp;"'"&amp;"!c:c")),SUMIF(INDIRECT("'"&amp;D33&amp;"'"&amp;"!b:b"),"建筑物成本比率",INDIRECT("'"&amp;D33&amp;"'"&amp;"!c:c"))))</f>
        <v>0.30299999999999999</v>
      </c>
      <c r="E35" s="2458" t="s">
        <v>2165</v>
      </c>
      <c r="F35" s="163"/>
      <c r="G35" s="138"/>
      <c r="H35" s="138"/>
      <c r="I35" s="138"/>
    </row>
    <row r="36" spans="1:15" ht="15" thickBot="1">
      <c r="A36" s="3532" t="s">
        <v>2166</v>
      </c>
      <c r="B36" s="2459" t="s">
        <v>2167</v>
      </c>
      <c r="C36" s="154"/>
      <c r="D36" s="2460"/>
      <c r="E36" s="2461"/>
      <c r="F36" s="2462"/>
      <c r="G36" s="138"/>
      <c r="H36" s="138"/>
      <c r="I36" s="138"/>
    </row>
    <row r="37" spans="1:15" ht="15" thickBot="1">
      <c r="A37" s="3533"/>
      <c r="B37" s="2265" t="s">
        <v>2168</v>
      </c>
      <c r="C37" s="156"/>
      <c r="D37" s="1393"/>
      <c r="E37" s="1393"/>
      <c r="F37" s="2462"/>
      <c r="G37" s="138"/>
      <c r="H37" s="138"/>
      <c r="I37" s="138"/>
    </row>
    <row r="38" spans="1:15" ht="15" thickBot="1">
      <c r="A38" s="3534"/>
      <c r="B38" s="2463" t="s">
        <v>2169</v>
      </c>
      <c r="C38" s="727"/>
      <c r="D38" s="2464" t="s">
        <v>2170</v>
      </c>
      <c r="E38" s="1393"/>
      <c r="F38" s="2462"/>
      <c r="G38" s="138"/>
      <c r="H38" s="138"/>
      <c r="I38" s="138"/>
    </row>
    <row r="39" spans="1:15" ht="14.4">
      <c r="A39" s="2435" t="s">
        <v>2171</v>
      </c>
      <c r="B39" s="2465" t="s">
        <v>2154</v>
      </c>
      <c r="C39" s="2466" t="s">
        <v>2155</v>
      </c>
      <c r="D39" s="2466" t="s">
        <v>2174</v>
      </c>
      <c r="E39" s="2467" t="s">
        <v>2156</v>
      </c>
      <c r="F39" s="2462"/>
      <c r="G39" s="138"/>
      <c r="H39" s="138"/>
      <c r="I39" s="138"/>
    </row>
    <row r="40" spans="1:15" ht="13.8">
      <c r="A40" s="2468" t="s">
        <v>2176</v>
      </c>
      <c r="B40" s="158"/>
      <c r="C40" s="159"/>
      <c r="D40" s="159"/>
      <c r="E40" s="160"/>
      <c r="F40" s="2462"/>
      <c r="G40" s="138"/>
      <c r="H40" s="138"/>
      <c r="I40" s="138"/>
    </row>
    <row r="41" spans="1:15" ht="13.8">
      <c r="A41" s="2468" t="s">
        <v>2177</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4"/>
      <c r="B43" s="2164"/>
      <c r="C43" s="2164"/>
      <c r="D43" s="2164"/>
      <c r="E43" s="2164"/>
      <c r="F43" s="2470"/>
      <c r="G43" s="2470"/>
      <c r="H43" s="2470"/>
      <c r="I43" s="2471"/>
    </row>
    <row r="44" spans="1:15" ht="17.399999999999999">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549" t="s">
        <v>2180</v>
      </c>
      <c r="B45" s="3550"/>
      <c r="C45" s="3551"/>
      <c r="D45" s="164">
        <f ca="1">ROUND(H101*F45,0)</f>
        <v>4820</v>
      </c>
      <c r="E45" s="165" t="s">
        <v>2181</v>
      </c>
      <c r="F45" s="166">
        <v>1</v>
      </c>
      <c r="G45" s="167" t="s">
        <v>2182</v>
      </c>
      <c r="H45" s="138"/>
      <c r="I45" s="138"/>
      <c r="J45" s="3468" t="s">
        <v>2183</v>
      </c>
      <c r="K45" s="3468"/>
      <c r="L45" s="3468"/>
      <c r="M45" s="3468"/>
      <c r="N45" s="3468"/>
      <c r="O45" s="3468"/>
    </row>
    <row r="46" spans="1:15" ht="14.25" customHeight="1">
      <c r="A46" s="3546" t="s">
        <v>2184</v>
      </c>
      <c r="B46" s="3547"/>
      <c r="C46" s="3547"/>
      <c r="D46" s="3547"/>
      <c r="E46" s="3547"/>
      <c r="F46" s="3547"/>
      <c r="G46" s="3548"/>
      <c r="H46" s="2478"/>
      <c r="I46" s="168"/>
      <c r="J46" s="3224">
        <v>1</v>
      </c>
      <c r="K46" s="3468" t="s">
        <v>2185</v>
      </c>
      <c r="L46" s="3468"/>
      <c r="M46" s="3469"/>
      <c r="N46" s="3469"/>
      <c r="O46" s="3469"/>
    </row>
    <row r="47" spans="1:15" ht="12" customHeight="1">
      <c r="A47" s="169" t="s">
        <v>2186</v>
      </c>
      <c r="B47" s="170"/>
      <c r="C47" s="171"/>
      <c r="D47" s="172" t="s">
        <v>2187</v>
      </c>
      <c r="E47" s="24" t="s">
        <v>2188</v>
      </c>
      <c r="F47" s="173" t="s">
        <v>2189</v>
      </c>
      <c r="G47" s="174" t="s">
        <v>2190</v>
      </c>
      <c r="H47" s="2478"/>
      <c r="I47" s="168"/>
      <c r="J47" s="3224">
        <v>2</v>
      </c>
      <c r="K47" s="3468" t="s">
        <v>2191</v>
      </c>
      <c r="L47" s="3468"/>
      <c r="M47" s="3470">
        <f>'数据-取费表'!B2</f>
        <v>43458</v>
      </c>
      <c r="N47" s="3470"/>
      <c r="O47" s="3470"/>
    </row>
    <row r="48" spans="1:15" ht="26.4">
      <c r="A48" s="3536" t="s">
        <v>2192</v>
      </c>
      <c r="B48" s="3537"/>
      <c r="C48" s="3537"/>
      <c r="D48" s="140">
        <f>IF(H48="情况1",0,IF(H48="情况2",D52,IF(H48="情况3",D53,IF(H48="情况4",D54))))</f>
        <v>0</v>
      </c>
      <c r="E48" s="3233" t="str">
        <f>IF(H48="情况4","(销售额-原购置价)×税（费）率","销售额×税（费）率")</f>
        <v>销售额×税（费）率</v>
      </c>
      <c r="F48" s="175" t="str">
        <f>IF(H48="情况1","免征",'数据-取费表'!B41)</f>
        <v>免征</v>
      </c>
      <c r="G48" s="2479" t="s">
        <v>2193</v>
      </c>
      <c r="H48" s="2480" t="s">
        <v>2194</v>
      </c>
      <c r="I48" s="2478"/>
      <c r="J48" s="3224">
        <v>3</v>
      </c>
      <c r="K48" s="3468" t="s">
        <v>2195</v>
      </c>
      <c r="L48" s="3468"/>
      <c r="M48" s="3471">
        <f ca="1">H101</f>
        <v>4820</v>
      </c>
      <c r="N48" s="3471"/>
      <c r="O48" s="3471"/>
    </row>
    <row r="49" spans="1:35" ht="25.5" customHeight="1">
      <c r="A49" s="176" t="s">
        <v>2196</v>
      </c>
      <c r="B49" s="3516" t="s">
        <v>2197</v>
      </c>
      <c r="C49" s="3516"/>
      <c r="D49" s="177">
        <v>0</v>
      </c>
      <c r="E49" s="23" t="s">
        <v>2198</v>
      </c>
      <c r="F49" s="28" t="s">
        <v>34</v>
      </c>
      <c r="G49" s="3497"/>
      <c r="H49" s="138"/>
      <c r="I49" s="2481"/>
      <c r="J49" s="3224">
        <v>4</v>
      </c>
      <c r="K49" s="3468" t="str">
        <f>IF(项目基本情况!E8="房地产抵押价值","房地产抵押价值","抵押担保权已注销时的房地产抵押价值")</f>
        <v>房地产抵押价值</v>
      </c>
      <c r="L49" s="3468"/>
      <c r="M49" s="3471">
        <f ca="1">IF(项目基本情况!E8="房地产抵押价值",H107,H109)</f>
        <v>4820</v>
      </c>
      <c r="N49" s="3471"/>
      <c r="O49" s="3471"/>
    </row>
    <row r="50" spans="1:35" ht="25.5" customHeight="1">
      <c r="A50" s="178"/>
      <c r="B50" s="3516" t="s">
        <v>2199</v>
      </c>
      <c r="C50" s="3516"/>
      <c r="D50" s="179"/>
      <c r="E50" s="31"/>
      <c r="F50" s="180"/>
      <c r="G50" s="3498"/>
      <c r="H50" s="138"/>
      <c r="I50" s="2481"/>
      <c r="J50" s="3468" t="s">
        <v>2200</v>
      </c>
      <c r="K50" s="3468"/>
      <c r="L50" s="3468"/>
      <c r="M50" s="3468"/>
      <c r="N50" s="3468"/>
      <c r="O50" s="3468"/>
    </row>
    <row r="51" spans="1:35" ht="12" customHeight="1">
      <c r="A51" s="181"/>
      <c r="B51" s="3516" t="s">
        <v>2201</v>
      </c>
      <c r="C51" s="3516"/>
      <c r="D51" s="182"/>
      <c r="E51" s="30"/>
      <c r="F51" s="180"/>
      <c r="G51" s="3499"/>
      <c r="H51" s="138"/>
      <c r="I51" s="2481"/>
      <c r="J51" s="3221" t="s">
        <v>2202</v>
      </c>
      <c r="K51" s="3468" t="s">
        <v>2203</v>
      </c>
      <c r="L51" s="3468"/>
      <c r="M51" s="3221" t="s">
        <v>2204</v>
      </c>
      <c r="N51" s="3221" t="s">
        <v>2205</v>
      </c>
      <c r="O51" s="3221" t="s">
        <v>2206</v>
      </c>
    </row>
    <row r="52" spans="1:35" ht="24" customHeight="1">
      <c r="A52" s="183" t="s">
        <v>2207</v>
      </c>
      <c r="B52" s="3516" t="s">
        <v>2208</v>
      </c>
      <c r="C52" s="3516"/>
      <c r="D52" s="182">
        <f ca="1">ROUND(D45*'数据-取费表'!B41/(1+'数据-取费表'!C42),0)</f>
        <v>257</v>
      </c>
      <c r="E52" s="11" t="s">
        <v>2209</v>
      </c>
      <c r="F52" s="184">
        <f>'数据-取费表'!B41</f>
        <v>5.6000000000000001E-2</v>
      </c>
      <c r="G52" s="2483"/>
      <c r="H52" s="138"/>
      <c r="I52" s="2481"/>
      <c r="J52" s="3224">
        <v>1</v>
      </c>
      <c r="K52" s="3491" t="s">
        <v>2210</v>
      </c>
      <c r="L52" s="3491"/>
      <c r="M52" s="1752">
        <f>D48</f>
        <v>0</v>
      </c>
      <c r="N52" s="3224" t="str">
        <f>E48</f>
        <v>销售额×税（费）率</v>
      </c>
      <c r="O52" s="1753" t="str">
        <f>F48</f>
        <v>免征</v>
      </c>
    </row>
    <row r="53" spans="1:35" ht="12" customHeight="1">
      <c r="A53" s="183" t="s">
        <v>2211</v>
      </c>
      <c r="B53" s="3517" t="s">
        <v>2212</v>
      </c>
      <c r="C53" s="3518"/>
      <c r="D53" s="182">
        <f ca="1">ROUND(D45*'数据-取费表'!B41/(1+'数据-取费表'!C42),0)</f>
        <v>257</v>
      </c>
      <c r="E53" s="11" t="s">
        <v>2209</v>
      </c>
      <c r="F53" s="184">
        <f>'数据-取费表'!B41</f>
        <v>5.6000000000000001E-2</v>
      </c>
      <c r="G53" s="2483"/>
      <c r="H53" s="138"/>
      <c r="I53" s="2481"/>
      <c r="J53" s="3224">
        <v>2</v>
      </c>
      <c r="K53" s="3491" t="s">
        <v>2213</v>
      </c>
      <c r="L53" s="3491"/>
      <c r="M53" s="1752">
        <f t="shared" ref="M53:O54" ca="1" si="0">D55</f>
        <v>2</v>
      </c>
      <c r="N53" s="3224" t="str">
        <f t="shared" si="0"/>
        <v>销售额×税（费）率</v>
      </c>
      <c r="O53" s="1753">
        <f t="shared" si="0"/>
        <v>5.0000000000000001E-4</v>
      </c>
    </row>
    <row r="54" spans="1:35" ht="12" customHeight="1">
      <c r="A54" s="183" t="s">
        <v>2214</v>
      </c>
      <c r="B54" s="3517" t="s">
        <v>2215</v>
      </c>
      <c r="C54" s="3518"/>
      <c r="D54" s="182">
        <f ca="1">C68</f>
        <v>257</v>
      </c>
      <c r="E54" s="30" t="s">
        <v>2216</v>
      </c>
      <c r="F54" s="184">
        <f>'数据-取费表'!B41</f>
        <v>5.6000000000000001E-2</v>
      </c>
      <c r="G54" s="2483"/>
      <c r="H54" s="2484"/>
      <c r="I54" s="2481"/>
      <c r="J54" s="3224">
        <v>3</v>
      </c>
      <c r="K54" s="3491" t="s">
        <v>2217</v>
      </c>
      <c r="L54" s="3491"/>
      <c r="M54" s="1752">
        <f t="shared" ca="1" si="0"/>
        <v>2727</v>
      </c>
      <c r="N54" s="3224" t="str">
        <f t="shared" si="0"/>
        <v>增值额×税（费）率</v>
      </c>
      <c r="O54" s="1754" t="str">
        <f t="shared" si="0"/>
        <v>——</v>
      </c>
    </row>
    <row r="55" spans="1:35" ht="24" customHeight="1">
      <c r="A55" s="3555" t="s">
        <v>2218</v>
      </c>
      <c r="B55" s="3537"/>
      <c r="C55" s="3537"/>
      <c r="D55" s="185">
        <f ca="1">IF(H55="个人住宅",0,ROUND(D45*I55,0))</f>
        <v>2</v>
      </c>
      <c r="E55" s="11" t="s">
        <v>2219</v>
      </c>
      <c r="F55" s="184">
        <f>IF(H55="正常",I55,"免征")</f>
        <v>5.0000000000000001E-4</v>
      </c>
      <c r="G55" s="2483"/>
      <c r="H55" s="2480" t="s">
        <v>2220</v>
      </c>
      <c r="I55" s="186">
        <f>'数据-取费表'!B49</f>
        <v>5.0000000000000001E-4</v>
      </c>
      <c r="J55" s="3224" t="str">
        <f>IF(H59="非个人房产","",4)</f>
        <v/>
      </c>
      <c r="K55" s="3491" t="str">
        <f>IF(H59="非个人房产","——","个人所得税")</f>
        <v>——</v>
      </c>
      <c r="L55" s="3491"/>
      <c r="M55" s="1755" t="str">
        <f>D59</f>
        <v>——</v>
      </c>
      <c r="N55" s="3225" t="str">
        <f>E59</f>
        <v>——</v>
      </c>
      <c r="O55" s="1756" t="str">
        <f>F59</f>
        <v>——</v>
      </c>
    </row>
    <row r="56" spans="1:35" ht="25.2">
      <c r="A56" s="3555" t="s">
        <v>2221</v>
      </c>
      <c r="B56" s="3537"/>
      <c r="C56" s="3537"/>
      <c r="D56" s="185">
        <f ca="1">IF(H56="个人住宅",D57,D58)</f>
        <v>2727</v>
      </c>
      <c r="E56" s="11" t="s">
        <v>2222</v>
      </c>
      <c r="F56" s="184" t="str">
        <f>IF(H56="正常",F58,"免征")</f>
        <v>——</v>
      </c>
      <c r="G56" s="2485" t="s">
        <v>2223</v>
      </c>
      <c r="H56" s="2486" t="s">
        <v>2220</v>
      </c>
      <c r="I56" s="2487"/>
      <c r="J56" s="3224" t="str">
        <f>IF(项目基本情况!K6="上海银行",IF(J55="",4,J55+1),"")</f>
        <v/>
      </c>
      <c r="K56" s="3474" t="str">
        <f>IF(项目基本情况!K6="上海银行","其他处置费用","")</f>
        <v/>
      </c>
      <c r="L56" s="3475"/>
      <c r="M56" s="1752" t="str">
        <f>IF(项目基本情况!K6="上海银行",M69,"")</f>
        <v/>
      </c>
      <c r="N56" s="3477" t="str">
        <f>IF(项目基本情况!K6="上海银行","包含处置中涉及的律师、诉讼、拍卖、评估等费用","")</f>
        <v/>
      </c>
      <c r="O56" s="3478"/>
    </row>
    <row r="57" spans="1:35" ht="13.2">
      <c r="A57" s="183" t="s">
        <v>2196</v>
      </c>
      <c r="B57" s="3522" t="s">
        <v>2224</v>
      </c>
      <c r="C57" s="3523"/>
      <c r="D57" s="187">
        <v>0</v>
      </c>
      <c r="E57" s="23" t="s">
        <v>2198</v>
      </c>
      <c r="F57" s="155"/>
      <c r="G57" s="2483"/>
      <c r="H57" s="2487"/>
      <c r="I57" s="2487"/>
      <c r="J57" s="3491">
        <f>IF(AND(J55="",J56=""),4,IF(项目基本情况!K6="上海银行",'结果表 (3)'!J56+1,'结果表 (3)'!J55+1))</f>
        <v>4</v>
      </c>
      <c r="K57" s="3491" t="s">
        <v>2225</v>
      </c>
      <c r="L57" s="2488" t="s">
        <v>2226</v>
      </c>
      <c r="M57" s="1757"/>
      <c r="N57" s="1758">
        <f ca="1">SUMIF(M52:M56,"&lt;9e307")</f>
        <v>2729</v>
      </c>
      <c r="O57" s="2489"/>
      <c r="P57" s="1751">
        <f ca="1">N57/M49</f>
        <v>0.56618257261410787</v>
      </c>
    </row>
    <row r="58" spans="1:35" ht="25.2">
      <c r="A58" s="183" t="s">
        <v>2207</v>
      </c>
      <c r="B58" s="3522" t="s">
        <v>2227</v>
      </c>
      <c r="C58" s="3535"/>
      <c r="D58" s="185">
        <f ca="1">IF(H58="转让取得",C81,C97)</f>
        <v>2727</v>
      </c>
      <c r="E58" s="11" t="s">
        <v>2222</v>
      </c>
      <c r="F58" s="24" t="s">
        <v>34</v>
      </c>
      <c r="G58" s="2483"/>
      <c r="H58" s="2486" t="s">
        <v>2228</v>
      </c>
      <c r="I58" s="2487"/>
      <c r="J58" s="3491"/>
      <c r="K58" s="3491"/>
      <c r="L58" s="2488" t="s">
        <v>2229</v>
      </c>
      <c r="M58" s="1759"/>
      <c r="N58" s="2490" t="str">
        <f ca="1">NUMBERSTRING(INT(N57*10000),2)&amp;"元整"</f>
        <v>贰仟柒佰贰拾玖万元整</v>
      </c>
      <c r="O58" s="2491"/>
    </row>
    <row r="59" spans="1:35" ht="24.6" thickBot="1">
      <c r="A59" s="3495" t="s">
        <v>2230</v>
      </c>
      <c r="B59" s="3496"/>
      <c r="C59" s="349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493">
        <f>J57+1</f>
        <v>5</v>
      </c>
      <c r="K59" s="3491" t="s">
        <v>2232</v>
      </c>
      <c r="L59" s="3224" t="s">
        <v>2226</v>
      </c>
      <c r="M59" s="1760"/>
      <c r="N59" s="1761">
        <f ca="1">M49-N57</f>
        <v>2091</v>
      </c>
      <c r="O59" s="2493"/>
    </row>
    <row r="60" spans="1:35" ht="12" customHeight="1">
      <c r="A60" s="2494"/>
      <c r="B60" s="2416"/>
      <c r="C60" s="2416"/>
      <c r="D60" s="2416"/>
      <c r="E60" s="2165"/>
      <c r="F60" s="2487"/>
      <c r="G60" s="2487"/>
      <c r="H60" s="2495"/>
      <c r="I60" s="138"/>
      <c r="J60" s="3494"/>
      <c r="K60" s="3491"/>
      <c r="L60" s="2488" t="s">
        <v>2229</v>
      </c>
      <c r="M60" s="1759"/>
      <c r="N60" s="2490" t="str">
        <f ca="1">NUMBERSTRING(INT(N59*10000),2)&amp;"元整"</f>
        <v>贰仟零玖拾壹万元整</v>
      </c>
      <c r="O60" s="2491"/>
    </row>
    <row r="61" spans="1:35" ht="13.8" thickBot="1">
      <c r="A61" s="3554" t="s">
        <v>2233</v>
      </c>
      <c r="B61" s="3554"/>
      <c r="C61" s="3554"/>
      <c r="D61" s="3554"/>
      <c r="E61" s="3554"/>
      <c r="F61" s="2487"/>
      <c r="G61" s="2487"/>
      <c r="H61" s="2495"/>
      <c r="I61" s="138"/>
      <c r="J61" s="3224">
        <f>J59+1</f>
        <v>6</v>
      </c>
      <c r="K61" s="3491" t="s">
        <v>2234</v>
      </c>
      <c r="L61" s="3491"/>
      <c r="M61" s="1762"/>
      <c r="N61" s="1763">
        <f ca="1">ROUND(N59*10000/'数据-汇总表'!E3,0)</f>
        <v>417</v>
      </c>
      <c r="O61" s="2496"/>
    </row>
    <row r="62" spans="1:35" ht="13.2">
      <c r="A62" s="3511" t="s">
        <v>2235</v>
      </c>
      <c r="B62" s="3512"/>
      <c r="C62" s="3229"/>
      <c r="D62" s="3229" t="s">
        <v>2236</v>
      </c>
      <c r="E62" s="192" t="s">
        <v>2237</v>
      </c>
      <c r="F62" s="2487"/>
      <c r="G62" s="2487"/>
      <c r="H62" s="2495"/>
      <c r="I62" s="138"/>
    </row>
    <row r="63" spans="1:35" ht="13.2">
      <c r="A63" s="203" t="s">
        <v>775</v>
      </c>
      <c r="B63" s="193" t="s">
        <v>2238</v>
      </c>
      <c r="C63" s="194">
        <f ca="1">ROUND((C64+C65)/(1+'数据-取费表'!C42),0)</f>
        <v>4590</v>
      </c>
      <c r="D63" s="195"/>
      <c r="E63" s="196"/>
      <c r="F63" s="2487"/>
      <c r="G63" s="2487"/>
      <c r="H63" s="2495"/>
      <c r="I63" s="138"/>
      <c r="J63" s="3476" t="s">
        <v>2239</v>
      </c>
      <c r="K63" s="3222" t="s">
        <v>2240</v>
      </c>
      <c r="L63" s="1750">
        <f ca="1">IF(M49&gt;10000,M49*0.5%,IF(AND(M49&gt;1000,M49&lt;=10000),M49*1%,IF(AND(M49&gt;100,M49&lt;=1000),M49*3%,IF(AND(M49&gt;10,M49&lt;=100),M49*5%,M49*8%))))</f>
        <v>48.2</v>
      </c>
      <c r="M63" s="24">
        <f ca="1">ROUND(L63,1)</f>
        <v>48.2</v>
      </c>
      <c r="Z63" s="2421"/>
      <c r="AI63" s="2422"/>
    </row>
    <row r="64" spans="1:35" ht="14.25" customHeight="1">
      <c r="A64" s="197" t="s">
        <v>770</v>
      </c>
      <c r="B64" s="198" t="s">
        <v>2241</v>
      </c>
      <c r="C64" s="199">
        <f ca="1">D45</f>
        <v>4820</v>
      </c>
      <c r="D64" s="200" t="s">
        <v>32</v>
      </c>
      <c r="E64" s="201"/>
      <c r="F64" s="2487"/>
      <c r="G64" s="2487"/>
      <c r="H64" s="2495"/>
      <c r="I64" s="138"/>
      <c r="J64" s="3476"/>
      <c r="K64" s="3222" t="s">
        <v>2242</v>
      </c>
      <c r="L64" s="1750">
        <f ca="1">IF(M49&gt;2000,M49*0.5%,IF(AND(M49&gt;1000,M49&lt;=2000),M49*0.6%,IF(AND(M49&gt;500,M49&lt;=1000),M49*0.7%,IF(AND(M49&gt;200,M49&lt;=500),M49*0.8%,IF(AND(M49&gt;100,M49&lt;=200),M49*0.9%,IF(AND(M49&gt;50,M49&lt;=100),M49*1%,IF(AND(M49&gt;20,M49&lt;=50),M49*1.5%,IF(AND(M49&gt;10,M49&lt;=20),M49*2%,IF(AND(M49&gt;1,M49&lt;=10),M49*2.5%)))))))))</f>
        <v>24.1</v>
      </c>
      <c r="M64" s="24">
        <f ca="1">ROUND(L64,1)</f>
        <v>24.1</v>
      </c>
      <c r="N64" s="138" t="s">
        <v>2243</v>
      </c>
      <c r="Z64" s="2421"/>
      <c r="AI64" s="2422"/>
    </row>
    <row r="65" spans="1:35" ht="14.25" customHeight="1">
      <c r="A65" s="197" t="s">
        <v>771</v>
      </c>
      <c r="B65" s="198" t="s">
        <v>2244</v>
      </c>
      <c r="C65" s="202"/>
      <c r="D65" s="200"/>
      <c r="E65" s="201"/>
      <c r="F65" s="2487"/>
      <c r="G65" s="2487"/>
      <c r="H65" s="2495"/>
      <c r="I65" s="138"/>
      <c r="J65" s="3476"/>
      <c r="K65" s="3222" t="s">
        <v>2245</v>
      </c>
      <c r="L65" s="1750">
        <f ca="1">IF(M49&gt;1000,M49*0.1%,IF(AND(M49&gt;500,M49&lt;=1000),M49*0.5%,IF(AND(M49&gt;50,M49&lt;=500),M49*1%,IF(AND(M49&gt;1,M49&lt;=50),M49*1.5%))))</f>
        <v>4.82</v>
      </c>
      <c r="M65" s="24">
        <f ca="1">ROUND(L65,1)</f>
        <v>4.8</v>
      </c>
      <c r="N65" s="138" t="s">
        <v>2243</v>
      </c>
      <c r="Z65" s="2421"/>
      <c r="AI65" s="2422"/>
    </row>
    <row r="66" spans="1:35" ht="14.25" customHeight="1">
      <c r="A66" s="203" t="s">
        <v>772</v>
      </c>
      <c r="B66" s="204" t="s">
        <v>2246</v>
      </c>
      <c r="C66" s="205"/>
      <c r="D66" s="206" t="s">
        <v>32</v>
      </c>
      <c r="E66" s="1774" t="s">
        <v>1371</v>
      </c>
      <c r="F66" s="2487"/>
      <c r="G66" s="2487"/>
      <c r="H66" s="2495"/>
      <c r="I66" s="138"/>
      <c r="J66" s="3476"/>
      <c r="K66" s="3222" t="s">
        <v>2247</v>
      </c>
      <c r="L66" s="1750">
        <f ca="1">M49*0.5%</f>
        <v>24.1</v>
      </c>
      <c r="M66" s="24">
        <f ca="1">IF(L66&gt;0.5,0.5,ROUND(L66,0))</f>
        <v>0.5</v>
      </c>
      <c r="N66" s="138" t="s">
        <v>2248</v>
      </c>
      <c r="Z66" s="2421"/>
      <c r="AI66" s="2422"/>
    </row>
    <row r="67" spans="1:35" ht="14.25" customHeight="1">
      <c r="A67" s="203" t="s">
        <v>773</v>
      </c>
      <c r="B67" s="204" t="s">
        <v>2249</v>
      </c>
      <c r="C67" s="207">
        <f ca="1">C63-C66</f>
        <v>4590</v>
      </c>
      <c r="D67" s="200" t="s">
        <v>32</v>
      </c>
      <c r="E67" s="201"/>
      <c r="F67" s="2487"/>
      <c r="G67" s="2487"/>
      <c r="H67" s="2495"/>
      <c r="I67" s="138"/>
      <c r="J67" s="3476"/>
      <c r="K67" s="3222" t="s">
        <v>2250</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2251</v>
      </c>
      <c r="C68" s="210">
        <f ca="1">IF(C67&lt;=0,0,ROUND(C67*D68,0))</f>
        <v>257</v>
      </c>
      <c r="D68" s="211">
        <f>'数据-取费表'!B41</f>
        <v>5.6000000000000001E-2</v>
      </c>
      <c r="E68" s="212"/>
      <c r="F68" s="2487"/>
      <c r="G68" s="2487"/>
      <c r="H68" s="2495"/>
      <c r="I68" s="138"/>
      <c r="J68" s="3476"/>
      <c r="K68" s="3222" t="s">
        <v>2252</v>
      </c>
      <c r="L68" s="1750">
        <f ca="1">IF(M49&gt;10000,M49*0.5%,IF(AND(M49&gt;5000,M49&lt;=10000),M49*1%,IF(AND(M49&gt;1000,M49&lt;=5000),M49*2%,IF(AND(M49&gt;200,M49&lt;=1000),M49*3%,M49*5%))))</f>
        <v>96.4</v>
      </c>
      <c r="M68" s="24">
        <f ca="1">ROUND(L68,1)</f>
        <v>96.4</v>
      </c>
      <c r="Z68" s="2421"/>
      <c r="AI68" s="2422"/>
    </row>
    <row r="69" spans="1:35" s="2444" customFormat="1" ht="16.5" customHeight="1">
      <c r="A69" s="2498"/>
      <c r="B69" s="2499"/>
      <c r="C69" s="2500"/>
      <c r="D69" s="2501"/>
      <c r="E69" s="2502"/>
      <c r="F69" s="2165"/>
      <c r="G69" s="2165"/>
      <c r="H69" s="2164"/>
      <c r="I69" s="2416"/>
      <c r="J69" s="3476"/>
      <c r="K69" s="3222" t="s">
        <v>2253</v>
      </c>
      <c r="L69" s="2503"/>
      <c r="M69" s="24">
        <f ca="1">ROUND(SUM(M63:M68),0)</f>
        <v>176</v>
      </c>
      <c r="N69" s="1751">
        <f ca="1">M69/M49</f>
        <v>3.6514522821576766E-2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4" thickBot="1">
      <c r="A70" s="3520" t="s">
        <v>2254</v>
      </c>
      <c r="B70" s="3521"/>
      <c r="C70" s="3521"/>
      <c r="D70" s="3521"/>
      <c r="E70" s="3521"/>
      <c r="F70" s="3521"/>
      <c r="G70" s="3521"/>
      <c r="H70" s="352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511" t="s">
        <v>2235</v>
      </c>
      <c r="B71" s="3512"/>
      <c r="C71" s="3229"/>
      <c r="D71" s="3229"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775</v>
      </c>
      <c r="B72" s="204" t="s">
        <v>2255</v>
      </c>
      <c r="C72" s="207">
        <f ca="1">ROUND(D45/(1+'数据-取费表'!C42),0)</f>
        <v>4590</v>
      </c>
      <c r="D72" s="200" t="s">
        <v>32</v>
      </c>
      <c r="E72" s="3231"/>
      <c r="F72" s="3230"/>
      <c r="G72" s="323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772</v>
      </c>
      <c r="B73" s="173" t="s">
        <v>2256</v>
      </c>
      <c r="C73" s="207">
        <f ca="1">C74+C78</f>
        <v>28</v>
      </c>
      <c r="D73" s="200" t="s">
        <v>32</v>
      </c>
      <c r="E73" s="3231"/>
      <c r="F73" s="3230"/>
      <c r="G73" s="323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3231"/>
      <c r="F74" s="3230"/>
      <c r="G74" s="323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517" t="s">
        <v>2263</v>
      </c>
      <c r="F76" s="3516"/>
      <c r="G76" s="3516"/>
      <c r="H76" s="351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3223" t="s">
        <v>2265</v>
      </c>
      <c r="F77" s="224"/>
      <c r="G77" s="2511" t="s">
        <v>2266</v>
      </c>
      <c r="H77" s="323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28</v>
      </c>
      <c r="D78" s="226">
        <f>'数据-取费表'!B43</f>
        <v>6.000000000000001E-3</v>
      </c>
      <c r="E78" s="3508" t="s">
        <v>2268</v>
      </c>
      <c r="F78" s="3509"/>
      <c r="G78" s="3509"/>
      <c r="H78" s="351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779</v>
      </c>
      <c r="B79" s="204" t="s">
        <v>2269</v>
      </c>
      <c r="C79" s="207">
        <f ca="1">C72-C73</f>
        <v>4562</v>
      </c>
      <c r="D79" s="200" t="s">
        <v>32</v>
      </c>
      <c r="E79" s="3231"/>
      <c r="F79" s="3230"/>
      <c r="G79" s="323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162.92857142857142</v>
      </c>
      <c r="D80" s="200" t="s">
        <v>32</v>
      </c>
      <c r="E80" s="3223" t="str">
        <f ca="1">IF(C80&gt;=200%,"增值额超过扣除项目金额200%",IF(C80&gt;=100%,"增值额超过扣除项目金额100%，未超过200%",IF(C80&gt;=50%,"增值额超过扣除项目金额50%，未超过100%",IF(C80&lt;50%,"增值额未超过扣除项目金额50%"))))</f>
        <v>增值额超过扣除项目金额200%</v>
      </c>
      <c r="F80" s="3230"/>
      <c r="G80" s="323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781</v>
      </c>
      <c r="B81" s="209" t="s">
        <v>2271</v>
      </c>
      <c r="C81" s="228">
        <f ca="1">ROUND(IF(C79&lt;=0,0,IF(C80&gt;=200%,C79*60%-C73*35%,IF(C80&gt;=100%,C79*50%-C73*15%,IF(C80&gt;=50%,C79*40%-C73*5%,IF(C80&lt;50%,C79*30%,0))))),0)</f>
        <v>2727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520" t="s">
        <v>2272</v>
      </c>
      <c r="B83" s="3521"/>
      <c r="C83" s="3521"/>
      <c r="D83" s="3521"/>
      <c r="E83" s="3521"/>
      <c r="F83" s="3521"/>
      <c r="G83" s="3521"/>
      <c r="H83" s="352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511" t="s">
        <v>2235</v>
      </c>
      <c r="B84" s="3512"/>
      <c r="C84" s="3229"/>
      <c r="D84" s="3229"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c r="A85" s="203" t="s">
        <v>775</v>
      </c>
      <c r="B85" s="204" t="s">
        <v>2255</v>
      </c>
      <c r="C85" s="207">
        <f ca="1">ROUND(D45/(1+'数据-取费表'!C42),0)</f>
        <v>4590</v>
      </c>
      <c r="D85" s="200" t="s">
        <v>32</v>
      </c>
      <c r="E85" s="3231"/>
      <c r="F85" s="3230"/>
      <c r="G85" s="323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c r="A86" s="203" t="s">
        <v>772</v>
      </c>
      <c r="B86" s="173" t="s">
        <v>2256</v>
      </c>
      <c r="C86" s="207">
        <f ca="1">IF(H88="仅含出让金",C87+C90+C91+C92+C93+C94,C87+C91+C92+C93+C94)</f>
        <v>28</v>
      </c>
      <c r="D86" s="235"/>
      <c r="E86" s="3231"/>
      <c r="F86" s="3230"/>
      <c r="G86" s="323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770</v>
      </c>
      <c r="B87" s="198" t="s">
        <v>2273</v>
      </c>
      <c r="C87" s="225">
        <f>C88+C89</f>
        <v>0</v>
      </c>
      <c r="D87" s="226"/>
      <c r="E87" s="3226"/>
      <c r="F87" s="3227"/>
      <c r="G87" s="3227"/>
      <c r="H87" s="322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c r="A88" s="217" t="s">
        <v>776</v>
      </c>
      <c r="B88" s="198" t="s">
        <v>2274</v>
      </c>
      <c r="C88" s="236"/>
      <c r="D88" s="226"/>
      <c r="E88" s="237" t="s">
        <v>2275</v>
      </c>
      <c r="F88" s="3227"/>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777</v>
      </c>
      <c r="B89" s="198" t="s">
        <v>2264</v>
      </c>
      <c r="C89" s="225">
        <f>ROUND(C88*D89,0)</f>
        <v>0</v>
      </c>
      <c r="D89" s="226">
        <f>'数据-取费表'!B48+'数据-取费表'!B49</f>
        <v>3.0499999999999999E-2</v>
      </c>
      <c r="E89" s="237" t="s">
        <v>2277</v>
      </c>
      <c r="F89" s="3227"/>
      <c r="G89" s="3227"/>
      <c r="H89" s="322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771</v>
      </c>
      <c r="B90" s="198" t="s">
        <v>2278</v>
      </c>
      <c r="C90" s="236"/>
      <c r="D90" s="226"/>
      <c r="E90" s="237" t="str">
        <f>IF(H88="-","土地取得成本中已包含该笔费用"," ")</f>
        <v xml:space="preserve"> </v>
      </c>
      <c r="F90" s="3227"/>
      <c r="G90" s="3227"/>
      <c r="H90" s="322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508" t="s">
        <v>2281</v>
      </c>
      <c r="F91" s="3509"/>
      <c r="G91" s="3509"/>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508" t="s">
        <v>2285</v>
      </c>
      <c r="F92" s="3509"/>
      <c r="G92" s="3509"/>
      <c r="H92" s="351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28</v>
      </c>
      <c r="D93" s="226">
        <f>'数据-取费表'!B43</f>
        <v>6.000000000000001E-3</v>
      </c>
      <c r="E93" s="3508" t="s">
        <v>2268</v>
      </c>
      <c r="F93" s="3509"/>
      <c r="G93" s="3509"/>
      <c r="H93" s="351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556" t="s">
        <v>2289</v>
      </c>
      <c r="F94" s="3557"/>
      <c r="G94" s="3557"/>
      <c r="H94" s="355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779</v>
      </c>
      <c r="B95" s="204" t="s">
        <v>2269</v>
      </c>
      <c r="C95" s="207">
        <f ca="1">ROUND(C85-C86,0)</f>
        <v>4562</v>
      </c>
      <c r="D95" s="200" t="s">
        <v>32</v>
      </c>
      <c r="E95" s="3231"/>
      <c r="F95" s="3230"/>
      <c r="G95" s="323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162.92857142857142</v>
      </c>
      <c r="D96" s="200" t="s">
        <v>32</v>
      </c>
      <c r="E96" s="3223" t="str">
        <f ca="1">IF(C96&gt;=200%,"增值额超过扣除项目金额200%",IF(C96&gt;=100%,"增值额超过扣除项目金额100%，未超过200%",IF(C96&gt;=50%,"增值额超过扣除项目金额50%，未超过100%",IF(C96&lt;50%,"增值额未超过扣除项目金额50%"))))</f>
        <v>增值额超过扣除项目金额200%</v>
      </c>
      <c r="F96" s="3230"/>
      <c r="G96" s="323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781</v>
      </c>
      <c r="B97" s="209" t="s">
        <v>2271</v>
      </c>
      <c r="C97" s="228">
        <f ca="1">ROUND(IF(C95&lt;=0,0,IF(C96&gt;=200%,C95*60%-C86*35%,IF(C96&gt;=100%,C95*50%-C86*15%,IF(C96&gt;=50%,C95*40%-C86*5%,IF(C96&lt;50%,C95*30%,0))))),0)</f>
        <v>2727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460" t="s">
        <v>2291</v>
      </c>
      <c r="B100" s="3461"/>
      <c r="C100" s="3461"/>
      <c r="D100" s="3492"/>
      <c r="E100" s="3461" t="s">
        <v>2292</v>
      </c>
      <c r="F100" s="3461"/>
      <c r="G100" s="3461"/>
      <c r="H100" s="3492"/>
      <c r="I100" s="138"/>
    </row>
    <row r="101" spans="1:35" ht="18.75" customHeight="1">
      <c r="A101" s="3500" t="s">
        <v>2293</v>
      </c>
      <c r="B101" s="3501"/>
      <c r="C101" s="736" t="str">
        <f>C4</f>
        <v>成本法 (3)</v>
      </c>
      <c r="D101" s="737" t="str">
        <f>D4</f>
        <v>收益法-车库</v>
      </c>
      <c r="E101" s="3472" t="s">
        <v>2294</v>
      </c>
      <c r="F101" s="3473"/>
      <c r="G101" s="2518" t="s">
        <v>2295</v>
      </c>
      <c r="H101" s="1046">
        <f ca="1">H118</f>
        <v>4820</v>
      </c>
      <c r="I101" s="138"/>
    </row>
    <row r="102" spans="1:35" ht="18.75" customHeight="1">
      <c r="A102" s="3502" t="s">
        <v>2296</v>
      </c>
      <c r="B102" s="2518" t="s">
        <v>2295</v>
      </c>
      <c r="C102" s="736">
        <f ca="1">C19</f>
        <v>8906</v>
      </c>
      <c r="D102" s="737">
        <f ca="1">D19</f>
        <v>2096</v>
      </c>
      <c r="E102" s="3472"/>
      <c r="F102" s="3473"/>
      <c r="G102" s="2518" t="s">
        <v>2297</v>
      </c>
      <c r="H102" s="371">
        <f ca="1">I118</f>
        <v>7934</v>
      </c>
      <c r="I102" s="138"/>
    </row>
    <row r="103" spans="1:35" ht="42.75" customHeight="1">
      <c r="A103" s="3502"/>
      <c r="B103" s="2518" t="s">
        <v>2297</v>
      </c>
      <c r="C103" s="738">
        <f ca="1">C20</f>
        <v>14661</v>
      </c>
      <c r="D103" s="739">
        <f ca="1">D20</f>
        <v>3450</v>
      </c>
      <c r="E103" s="3466" t="s">
        <v>2298</v>
      </c>
      <c r="F103" s="3467"/>
      <c r="G103" s="2519" t="s">
        <v>2299</v>
      </c>
      <c r="H103" s="1046">
        <f>IF(D36="正常操作",H104+H105+H106,H105+H106)</f>
        <v>0</v>
      </c>
      <c r="I103" s="138"/>
    </row>
    <row r="104" spans="1:35" ht="18.75" customHeight="1">
      <c r="A104" s="3502" t="s">
        <v>2300</v>
      </c>
      <c r="B104" s="2520" t="s">
        <v>2295</v>
      </c>
      <c r="C104" s="740">
        <f ca="1">H118</f>
        <v>4820</v>
      </c>
      <c r="D104" s="741"/>
      <c r="E104" s="2265" t="s">
        <v>2301</v>
      </c>
      <c r="F104" s="2257"/>
      <c r="G104" s="2519" t="s">
        <v>2299</v>
      </c>
      <c r="H104" s="1047">
        <f>IF(D36="同一抵押权人同一抵押物续贷",C36&amp;"（未扣减，详见特别提示）",C36)</f>
        <v>0</v>
      </c>
      <c r="I104" s="138"/>
    </row>
    <row r="105" spans="1:35" ht="18.75" customHeight="1" thickBot="1">
      <c r="A105" s="3514"/>
      <c r="B105" s="2521" t="s">
        <v>2297</v>
      </c>
      <c r="C105" s="742">
        <f ca="1">I118</f>
        <v>7934</v>
      </c>
      <c r="D105" s="743"/>
      <c r="E105" s="2265" t="s">
        <v>2302</v>
      </c>
      <c r="F105" s="2257"/>
      <c r="G105" s="2519" t="s">
        <v>2299</v>
      </c>
      <c r="H105" s="1047">
        <f>C37</f>
        <v>0</v>
      </c>
      <c r="I105" s="138"/>
    </row>
    <row r="106" spans="1:35" ht="18.75" customHeight="1">
      <c r="A106" s="2416" t="s">
        <v>2303</v>
      </c>
      <c r="B106" s="2416"/>
      <c r="C106" s="2416"/>
      <c r="D106" s="2416"/>
      <c r="E106" s="2522" t="s">
        <v>2304</v>
      </c>
      <c r="F106" s="2257"/>
      <c r="G106" s="2519" t="s">
        <v>2299</v>
      </c>
      <c r="H106" s="1047">
        <f>C38</f>
        <v>0</v>
      </c>
      <c r="I106" s="138"/>
    </row>
    <row r="107" spans="1:35" ht="18.75" customHeight="1">
      <c r="A107" s="138"/>
      <c r="B107" s="138"/>
      <c r="C107" s="138"/>
      <c r="D107" s="138"/>
      <c r="E107" s="3503" t="str">
        <f>IF(项目基本情况!E8="已注销","——","3.房地产抵押价值")</f>
        <v>3.房地产抵押价值</v>
      </c>
      <c r="F107" s="3473"/>
      <c r="G107" s="2518" t="s">
        <v>2295</v>
      </c>
      <c r="H107" s="1046">
        <f ca="1">IF(E107="——","——",H101-H103)</f>
        <v>4820</v>
      </c>
      <c r="I107" s="138"/>
    </row>
    <row r="108" spans="1:35" ht="18.75" customHeight="1">
      <c r="A108" s="138"/>
      <c r="B108" s="138"/>
      <c r="C108" s="138"/>
      <c r="D108" s="138"/>
      <c r="E108" s="3503"/>
      <c r="F108" s="3473"/>
      <c r="G108" s="2518" t="s">
        <v>2297</v>
      </c>
      <c r="H108" s="371">
        <f ca="1">ROUND(H107*10000/'数据-汇总表'!E3,0)</f>
        <v>962</v>
      </c>
      <c r="I108" s="138"/>
    </row>
    <row r="109" spans="1:35" ht="18.75" customHeight="1">
      <c r="A109" s="138"/>
      <c r="B109" s="138"/>
      <c r="C109" s="138"/>
      <c r="D109" s="138"/>
      <c r="E109" s="3503" t="str">
        <f>IF(项目基本情况!E8="已注销及未注销","4.抵押担保权已注销时的房地产抵押价值",IF(项目基本情况!E8="已注销","3.抵押担保权已注销时的房地产抵押价值","——"))</f>
        <v>——</v>
      </c>
      <c r="F109" s="3473"/>
      <c r="G109" s="2518" t="s">
        <v>2295</v>
      </c>
      <c r="H109" s="348" t="str">
        <f>IF(E109="——","——",H101-H105-H106)</f>
        <v>——</v>
      </c>
      <c r="I109" s="138"/>
    </row>
    <row r="110" spans="1:35" ht="18.75" customHeight="1">
      <c r="A110" s="138"/>
      <c r="B110" s="138"/>
      <c r="C110" s="138"/>
      <c r="D110" s="138"/>
      <c r="E110" s="3503"/>
      <c r="F110" s="3473"/>
      <c r="G110" s="2518" t="s">
        <v>2297</v>
      </c>
      <c r="H110" s="371" t="str">
        <f>IF(H109="——","——",ROUND(H109*10000/'数据-汇总表'!E3,0))</f>
        <v>——</v>
      </c>
      <c r="I110" s="138"/>
    </row>
    <row r="111" spans="1:35" ht="18.75" customHeight="1">
      <c r="A111" s="138"/>
      <c r="B111" s="138"/>
      <c r="C111" s="138"/>
      <c r="D111" s="138"/>
      <c r="E111" s="3504" t="str">
        <f>IF(项目基本情况!E9="抵押净值",IF(OR(项目基本情况!E8="已注销",项目基本情况!E8="房地产抵押价值"),"4.抵押净值","5.抵押净值"),"——")</f>
        <v>——</v>
      </c>
      <c r="F111" s="3505"/>
      <c r="G111" s="2518" t="s">
        <v>2295</v>
      </c>
      <c r="H111" s="1046" t="str">
        <f>IF(E111="——","——",N59)</f>
        <v>——</v>
      </c>
      <c r="I111" s="138"/>
    </row>
    <row r="112" spans="1:35" ht="18.75" customHeight="1" thickBot="1">
      <c r="A112" s="138"/>
      <c r="B112" s="138"/>
      <c r="C112" s="138"/>
      <c r="D112" s="138"/>
      <c r="E112" s="3506"/>
      <c r="F112" s="3507"/>
      <c r="G112" s="2523" t="s">
        <v>2297</v>
      </c>
      <c r="H112" s="790" t="str">
        <f>IF(E111="——","——",N61)</f>
        <v>——</v>
      </c>
      <c r="I112" s="138"/>
    </row>
    <row r="113" spans="1:11" ht="18.75" customHeight="1">
      <c r="A113" s="138"/>
      <c r="B113" s="138"/>
      <c r="C113" s="138"/>
      <c r="D113" s="138"/>
      <c r="E113" s="3515" t="s">
        <v>2303</v>
      </c>
      <c r="F113" s="3515"/>
      <c r="G113" s="3515"/>
      <c r="H113" s="3515"/>
      <c r="I113" s="138"/>
    </row>
    <row r="114" spans="1:11" ht="3.75" customHeight="1">
      <c r="A114" s="2416"/>
      <c r="B114" s="2416"/>
      <c r="C114" s="2416"/>
      <c r="D114" s="2416"/>
      <c r="E114" s="2494"/>
      <c r="F114" s="2494"/>
      <c r="G114" s="2494"/>
      <c r="H114" s="2494"/>
      <c r="I114" s="2416"/>
    </row>
    <row r="115" spans="1:11" ht="18.75" customHeight="1">
      <c r="A115" s="3528" t="s">
        <v>2305</v>
      </c>
      <c r="B115" s="3529"/>
      <c r="C115" s="3529"/>
      <c r="D115" s="3529"/>
      <c r="E115" s="3529"/>
      <c r="F115" s="3529"/>
      <c r="G115" s="3529"/>
      <c r="H115" s="3529"/>
      <c r="I115" s="3530"/>
    </row>
    <row r="116" spans="1:11" ht="27" customHeight="1">
      <c r="A116" s="3439" t="s">
        <v>2306</v>
      </c>
      <c r="B116" s="3482" t="s">
        <v>2307</v>
      </c>
      <c r="C116" s="3482" t="s">
        <v>2308</v>
      </c>
      <c r="D116" s="3488" t="s">
        <v>2309</v>
      </c>
      <c r="E116" s="3489"/>
      <c r="F116" s="3524" t="s">
        <v>2310</v>
      </c>
      <c r="G116" s="3524"/>
      <c r="H116" s="3439" t="s">
        <v>2311</v>
      </c>
      <c r="I116" s="3439"/>
    </row>
    <row r="117" spans="1:11" ht="18.75" customHeight="1">
      <c r="A117" s="3439"/>
      <c r="B117" s="3483"/>
      <c r="C117" s="3483"/>
      <c r="D117" s="3220" t="s">
        <v>2312</v>
      </c>
      <c r="E117" s="3220" t="s">
        <v>2313</v>
      </c>
      <c r="F117" s="3220" t="s">
        <v>2312</v>
      </c>
      <c r="G117" s="3220" t="s">
        <v>2314</v>
      </c>
      <c r="H117" s="3220" t="s">
        <v>2312</v>
      </c>
      <c r="I117" s="3220" t="s">
        <v>2314</v>
      </c>
    </row>
    <row r="118" spans="1:11" ht="24.75" customHeight="1">
      <c r="A118" s="2524" t="str">
        <f>项目基本情况!S2</f>
        <v>北京市东城区香河园街1号11号楼房地产</v>
      </c>
      <c r="B118" s="3220">
        <f>M18</f>
        <v>6074.74</v>
      </c>
      <c r="C118" s="3220">
        <f>M19</f>
        <v>634.52</v>
      </c>
      <c r="D118" s="3220">
        <f ca="1">ROUND(IF(D32="总价",C34,E118*B118/10000),0)</f>
        <v>3360</v>
      </c>
      <c r="E118" s="3220">
        <f ca="1">ROUND(IF(C33="自定义",IF(D32="楼面单价",C34,D118*10000/B118),I118-G118),0)</f>
        <v>5531</v>
      </c>
      <c r="F118" s="3220">
        <f ca="1">ROUND(IF(D32="总价",C35,G118*B118/10000),0)</f>
        <v>1460</v>
      </c>
      <c r="G118" s="3220">
        <f ca="1">ROUND(IF(D32="楼面单价",C35,F118*10000/B118),0)</f>
        <v>2403</v>
      </c>
      <c r="H118" s="3220">
        <f ca="1">ROUND(IF(D32="总价",C32,I118*B118/10000),0)</f>
        <v>4820</v>
      </c>
      <c r="I118" s="3220">
        <f ca="1">ROUND(IF(D32="楼面单价",C32,H118*10000/B118),0)</f>
        <v>7934</v>
      </c>
    </row>
    <row r="119" spans="1:11" ht="27.75" customHeight="1">
      <c r="A119" s="3439" t="s">
        <v>2315</v>
      </c>
      <c r="B119" s="3439"/>
      <c r="C119" s="3439"/>
      <c r="D119" s="3484" t="str">
        <f ca="1">NUMBERSTRING(INT(D118*10000),2)&amp;"元整"</f>
        <v>叁仟叁佰陆拾万元整</v>
      </c>
      <c r="E119" s="3485"/>
      <c r="F119" s="3484" t="str">
        <f ca="1">NUMBERSTRING(INT(F118*10000),2)&amp;"元整"</f>
        <v>壹仟肆佰陆拾万元整</v>
      </c>
      <c r="G119" s="3485"/>
      <c r="H119" s="3484" t="str">
        <f ca="1">NUMBERSTRING(INT(H118*10000),2)&amp;"元整"</f>
        <v>肆仟捌佰贰拾万元整</v>
      </c>
      <c r="I119" s="3485"/>
    </row>
    <row r="120" spans="1:11" ht="18.75" customHeight="1">
      <c r="A120" s="3479" t="str">
        <f>IF(项目基本情况!B9="房地产市场价值","",MID(E103,3,LEN(E103)-2))</f>
        <v>估价师知悉的法定优先受偿款</v>
      </c>
      <c r="B120" s="3480"/>
      <c r="C120" s="3481"/>
      <c r="D120" s="3479">
        <f>H103</f>
        <v>0</v>
      </c>
      <c r="E120" s="3480"/>
      <c r="F120" s="3480"/>
      <c r="G120" s="3480"/>
      <c r="H120" s="3480"/>
      <c r="I120" s="3481"/>
      <c r="K120" s="2421" t="str">
        <f>IF(D120=0,"故，本次评估不存在"&amp;A120,"故，本次评估"&amp;A120&amp;"为人民币"&amp;D120&amp;"万元整。")</f>
        <v>故，本次评估不存在估价师知悉的法定优先受偿款</v>
      </c>
    </row>
    <row r="121" spans="1:11" ht="18.75" customHeight="1">
      <c r="A121" s="3525" t="s">
        <v>2315</v>
      </c>
      <c r="B121" s="3526"/>
      <c r="C121" s="3527"/>
      <c r="D121" s="3484" t="str">
        <f>IF(D120=0,"零元整",NUMBERSTRING(INT(D120*10000),2)&amp;"元整")</f>
        <v>零元整</v>
      </c>
      <c r="E121" s="3486"/>
      <c r="F121" s="3486"/>
      <c r="G121" s="3486"/>
      <c r="H121" s="3486"/>
      <c r="I121" s="3485"/>
    </row>
    <row r="122" spans="1:11" ht="18.75" customHeight="1">
      <c r="A122" s="3490" t="str">
        <f>IF(项目基本情况!B9="房地产市场价值","",MID(E107,3,LEN(E107)-2))</f>
        <v>房地产抵押价值</v>
      </c>
      <c r="B122" s="3490"/>
      <c r="C122" s="3490"/>
      <c r="D122" s="3479">
        <f ca="1">H107</f>
        <v>4820</v>
      </c>
      <c r="E122" s="3480"/>
      <c r="F122" s="3480"/>
      <c r="G122" s="3480"/>
      <c r="H122" s="3480"/>
      <c r="I122" s="3481"/>
    </row>
    <row r="123" spans="1:11" ht="18.75" customHeight="1">
      <c r="A123" s="3439" t="s">
        <v>2315</v>
      </c>
      <c r="B123" s="3439"/>
      <c r="C123" s="3439"/>
      <c r="D123" s="3484" t="str">
        <f ca="1">NUMBERSTRING(INT(D122*10000),2)&amp;"元整"</f>
        <v>肆仟捌佰贰拾万元整</v>
      </c>
      <c r="E123" s="3486"/>
      <c r="F123" s="3486"/>
      <c r="G123" s="3486"/>
      <c r="H123" s="3486"/>
      <c r="I123" s="3485"/>
    </row>
    <row r="124" spans="1:11" ht="18.75" customHeight="1">
      <c r="A124" s="3490" t="str">
        <f>IF(项目基本情况!B9="房地产市场价值","",MID(E109,3,LEN(E109)-2))</f>
        <v/>
      </c>
      <c r="B124" s="3490"/>
      <c r="C124" s="3490"/>
      <c r="D124" s="3479" t="str">
        <f>H109</f>
        <v>——</v>
      </c>
      <c r="E124" s="3480"/>
      <c r="F124" s="3480"/>
      <c r="G124" s="3480"/>
      <c r="H124" s="3480"/>
      <c r="I124" s="3481"/>
    </row>
    <row r="125" spans="1:11" ht="18.75" customHeight="1">
      <c r="A125" s="3439" t="s">
        <v>2315</v>
      </c>
      <c r="B125" s="3439"/>
      <c r="C125" s="3439"/>
      <c r="D125" s="3484" t="e">
        <f>NUMBERSTRING(INT(D124*10000),2)&amp;"元整"</f>
        <v>#VALUE!</v>
      </c>
      <c r="E125" s="3486"/>
      <c r="F125" s="3486"/>
      <c r="G125" s="3486"/>
      <c r="H125" s="3486"/>
      <c r="I125" s="3485"/>
    </row>
    <row r="126" spans="1:11" ht="18.75" customHeight="1">
      <c r="A126" s="3490" t="str">
        <f>IF(项目基本情况!B9="房地产市场价值","",MID(E111,3,LEN(E111)-2))</f>
        <v/>
      </c>
      <c r="B126" s="3490"/>
      <c r="C126" s="3490"/>
      <c r="D126" s="3479" t="str">
        <f>H111</f>
        <v>——</v>
      </c>
      <c r="E126" s="3480"/>
      <c r="F126" s="3480"/>
      <c r="G126" s="3480"/>
      <c r="H126" s="3480"/>
      <c r="I126" s="3481"/>
    </row>
    <row r="127" spans="1:11" ht="18.75" customHeight="1">
      <c r="A127" s="3439" t="s">
        <v>2315</v>
      </c>
      <c r="B127" s="3439"/>
      <c r="C127" s="3439"/>
      <c r="D127" s="3484" t="e">
        <f>NUMBERSTRING(INT(D126*10000),2)&amp;"元整"</f>
        <v>#VALUE!</v>
      </c>
      <c r="E127" s="3486"/>
      <c r="F127" s="3486"/>
      <c r="G127" s="3486"/>
      <c r="H127" s="3486"/>
      <c r="I127" s="3485"/>
    </row>
    <row r="128" spans="1:11" ht="21.75" customHeight="1">
      <c r="A128" s="3487" t="s">
        <v>2316</v>
      </c>
      <c r="B128" s="3487"/>
      <c r="C128" s="3487"/>
      <c r="D128" s="3487"/>
      <c r="E128" s="3487"/>
      <c r="F128" s="3487"/>
      <c r="G128" s="3487"/>
      <c r="H128" s="3487"/>
      <c r="I128" s="3487"/>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 priority="7" stopIfTrue="1" operator="equal">
      <formula>25</formula>
    </cfRule>
  </conditionalFormatting>
  <conditionalFormatting sqref="C8:C9">
    <cfRule type="cellIs" dxfId="12" priority="6" stopIfTrue="1" operator="equal">
      <formula>15</formula>
    </cfRule>
  </conditionalFormatting>
  <conditionalFormatting sqref="C14:C16">
    <cfRule type="cellIs" dxfId="11" priority="5" stopIfTrue="1" operator="equal">
      <formula>30</formula>
    </cfRule>
  </conditionalFormatting>
  <conditionalFormatting sqref="D5:D7">
    <cfRule type="cellIs" dxfId="10" priority="4" stopIfTrue="1" operator="equal">
      <formula>25</formula>
    </cfRule>
  </conditionalFormatting>
  <conditionalFormatting sqref="D8:D9">
    <cfRule type="cellIs" dxfId="9" priority="3" stopIfTrue="1" operator="equal">
      <formula>15</formula>
    </cfRule>
  </conditionalFormatting>
  <conditionalFormatting sqref="C10:D13">
    <cfRule type="cellIs" dxfId="8" priority="2" stopIfTrue="1" operator="equal">
      <formula>15</formula>
    </cfRule>
  </conditionalFormatting>
  <conditionalFormatting sqref="D14:D16">
    <cfRule type="cellIs" dxfId="7" priority="1" stopIfTrue="1" operator="equal">
      <formula>30</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4" sqref="I3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6" customWidth="1"/>
    <col min="12" max="12" width="16.33203125" style="302" customWidth="1"/>
    <col min="13" max="13" width="13" style="302" customWidth="1"/>
    <col min="14" max="14" width="13.77734375" style="1843" customWidth="1"/>
    <col min="15" max="15" width="5.109375" style="1843" customWidth="1"/>
    <col min="16" max="16" width="25.77734375" style="1843" customWidth="1"/>
    <col min="17" max="17" width="13.77734375" style="1843" customWidth="1"/>
    <col min="18" max="18" width="20.44140625" style="1843" customWidth="1"/>
    <col min="19" max="19" width="13.21875" style="1843" customWidth="1"/>
    <col min="20" max="37" width="9" style="1843"/>
    <col min="38" max="16384" width="9" style="302"/>
  </cols>
  <sheetData>
    <row r="1" spans="1:37" s="337" customFormat="1" ht="21.6">
      <c r="A1" s="1834" t="s">
        <v>1589</v>
      </c>
      <c r="B1" s="782"/>
      <c r="C1" s="1838" t="s">
        <v>3048</v>
      </c>
      <c r="D1" s="1821" t="s">
        <v>70</v>
      </c>
      <c r="E1" s="1822" t="s">
        <v>1387</v>
      </c>
      <c r="F1" s="1284">
        <f ca="1">J53</f>
        <v>38.15</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2096</v>
      </c>
      <c r="C2" s="1846" t="s">
        <v>1516</v>
      </c>
      <c r="D2" s="1846"/>
      <c r="E2" s="1847"/>
      <c r="F2" s="1848"/>
      <c r="G2" s="1849"/>
      <c r="H2" s="1841"/>
      <c r="I2" s="1841"/>
      <c r="J2" s="1841"/>
      <c r="K2" s="1842"/>
      <c r="L2" s="1841"/>
      <c r="M2" s="1841"/>
    </row>
    <row r="3" spans="1:37" ht="18" customHeight="1" thickBot="1">
      <c r="A3" s="1850" t="s">
        <v>1517</v>
      </c>
      <c r="B3" s="1851">
        <f ca="1">IF(ISERROR(B2*10000/F43),0,ROUND(B2*10000/F43,0))</f>
        <v>3450</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166</v>
      </c>
      <c r="D5" s="1823" t="s">
        <v>1402</v>
      </c>
      <c r="E5" s="1294"/>
      <c r="F5" s="1295"/>
      <c r="G5" s="1852"/>
      <c r="H5" s="344">
        <v>1</v>
      </c>
      <c r="I5" s="345" t="s">
        <v>1401</v>
      </c>
      <c r="J5" s="1293">
        <f ca="1">J6+J10+J12</f>
        <v>0</v>
      </c>
      <c r="K5" s="1823" t="s">
        <v>1402</v>
      </c>
      <c r="L5" s="1294"/>
      <c r="M5" s="1295"/>
    </row>
    <row r="6" spans="1:37" ht="18" customHeight="1">
      <c r="A6" s="1292" t="s">
        <v>1035</v>
      </c>
      <c r="B6" s="3563" t="s">
        <v>1403</v>
      </c>
      <c r="C6" s="1297">
        <f ca="1">ROUND(F6*F8*F7*(1-F9)/10000,0)</f>
        <v>166</v>
      </c>
      <c r="D6" s="164" t="s">
        <v>3028</v>
      </c>
      <c r="E6" s="347" t="s">
        <v>1405</v>
      </c>
      <c r="F6" s="348">
        <f ca="1">INDIRECT("'数据-取费表'!u"&amp;$G$1)</f>
        <v>1200</v>
      </c>
      <c r="G6" s="1852"/>
      <c r="H6" s="1292" t="s">
        <v>1035</v>
      </c>
      <c r="I6" s="3563" t="s">
        <v>1403</v>
      </c>
      <c r="J6" s="346">
        <f ca="1">ROUND(M6*M8*M7*(1-M9)/10000,0)</f>
        <v>0</v>
      </c>
      <c r="K6" s="164" t="s">
        <v>3027</v>
      </c>
      <c r="L6" s="347" t="s">
        <v>1405</v>
      </c>
      <c r="M6" s="348">
        <f ca="1">INDIRECT("'数据-取费表'!z"&amp;$G$1)</f>
        <v>0</v>
      </c>
    </row>
    <row r="7" spans="1:37" ht="18" customHeight="1">
      <c r="A7" s="1296"/>
      <c r="B7" s="3564"/>
      <c r="C7" s="1298"/>
      <c r="D7" s="352"/>
      <c r="E7" s="2953" t="s">
        <v>1406</v>
      </c>
      <c r="F7" s="348">
        <f ca="1">IF(INDIRECT("'数据-取费表'!ah"&amp;$G$1)="",INDIRECT("'数据-取费表'!k"&amp;$G$1),INDIRECT("'数据-取费表'!ah"&amp;$G$1))</f>
        <v>128</v>
      </c>
      <c r="G7" s="1852"/>
      <c r="H7" s="349"/>
      <c r="I7" s="3564"/>
      <c r="J7" s="351"/>
      <c r="K7" s="352"/>
      <c r="L7" s="347" t="s">
        <v>1406</v>
      </c>
      <c r="M7" s="348">
        <f ca="1">F7</f>
        <v>128</v>
      </c>
    </row>
    <row r="8" spans="1:37" ht="18" customHeight="1">
      <c r="A8" s="349"/>
      <c r="B8" s="3564"/>
      <c r="C8" s="351"/>
      <c r="D8" s="352"/>
      <c r="E8" s="347" t="s">
        <v>1407</v>
      </c>
      <c r="F8" s="348">
        <f ca="1">INDIRECT("'数据-取费表'!ai"&amp;$G$1)</f>
        <v>12</v>
      </c>
      <c r="G8" s="1852"/>
      <c r="H8" s="349"/>
      <c r="I8" s="3564"/>
      <c r="J8" s="351"/>
      <c r="K8" s="352"/>
      <c r="L8" s="347" t="s">
        <v>1407</v>
      </c>
      <c r="M8" s="348">
        <f ca="1">INDIRECT("'数据-取费表'!ai"&amp;$G$1)</f>
        <v>12</v>
      </c>
    </row>
    <row r="9" spans="1:37" ht="18" customHeight="1">
      <c r="A9" s="349"/>
      <c r="B9" s="3565"/>
      <c r="C9" s="351"/>
      <c r="D9" s="352"/>
      <c r="E9" s="347" t="s">
        <v>1408</v>
      </c>
      <c r="F9" s="357">
        <f ca="1">INDIRECT("'数据-取费表'!w"&amp;$G$1)</f>
        <v>0.1</v>
      </c>
      <c r="G9" s="1852"/>
      <c r="H9" s="349"/>
      <c r="I9" s="3565"/>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3036</v>
      </c>
      <c r="E10" s="358" t="s">
        <v>1410</v>
      </c>
      <c r="F10" s="1367" t="s">
        <v>3080</v>
      </c>
      <c r="G10" s="1852"/>
      <c r="H10" s="1292" t="s">
        <v>1039</v>
      </c>
      <c r="I10" s="1824" t="s">
        <v>1409</v>
      </c>
      <c r="J10" s="346">
        <f ca="1">ROUND(IF(M10="押一",J6/12*M11,IF(M10="押二",J6/12*2*M11,IF(M10="押三",J6/12*3*M11,J11*M11))),0)</f>
        <v>0</v>
      </c>
      <c r="K10" s="1825" t="s">
        <v>3036</v>
      </c>
      <c r="L10" s="358" t="s">
        <v>1410</v>
      </c>
      <c r="M10" s="1367" t="s">
        <v>1411</v>
      </c>
    </row>
    <row r="11" spans="1:37" ht="18" customHeight="1">
      <c r="A11" s="353"/>
      <c r="B11" s="1826" t="s">
        <v>1388</v>
      </c>
      <c r="C11" s="1179"/>
      <c r="D11" s="1827"/>
      <c r="E11" s="358" t="s">
        <v>1412</v>
      </c>
      <c r="F11" s="359">
        <f ca="1">'数据-取费表'!B39</f>
        <v>1.4999999999999999E-2</v>
      </c>
      <c r="G11" s="1852"/>
      <c r="H11" s="1300"/>
      <c r="I11" s="1826" t="s">
        <v>1388</v>
      </c>
      <c r="J11" s="1179"/>
      <c r="K11" s="748"/>
      <c r="L11" s="358"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2697</v>
      </c>
      <c r="D13" s="1332" t="s">
        <v>1415</v>
      </c>
      <c r="E13" s="1332" t="s">
        <v>1416</v>
      </c>
      <c r="F13" s="1333">
        <f ca="1">INDIRECT("'数据-取费表'!y"&amp;$G$1)</f>
        <v>0.93</v>
      </c>
      <c r="G13" s="1852"/>
      <c r="H13" s="1330">
        <v>2</v>
      </c>
      <c r="I13" s="1331" t="s">
        <v>1414</v>
      </c>
      <c r="J13" s="1291">
        <f ca="1">ROUND(J14*J15,0)</f>
        <v>0</v>
      </c>
      <c r="K13" s="1338" t="s">
        <v>1415</v>
      </c>
      <c r="L13" s="1853"/>
      <c r="M13" s="1854"/>
    </row>
    <row r="14" spans="1:37" ht="18" customHeight="1">
      <c r="A14" s="1202" t="s">
        <v>1034</v>
      </c>
      <c r="B14" s="347" t="s">
        <v>1417</v>
      </c>
      <c r="C14" s="363">
        <f ca="1">INDIRECT("'数据-取费表'!m"&amp;$G$1)+INDIRECT("'数据-取费表'!t"&amp;$G$1)</f>
        <v>2155</v>
      </c>
      <c r="D14" s="2944" t="s">
        <v>1418</v>
      </c>
      <c r="E14" s="2942"/>
      <c r="F14" s="364"/>
      <c r="G14" s="1852"/>
      <c r="H14" s="1202" t="s">
        <v>1035</v>
      </c>
      <c r="I14" s="347" t="s">
        <v>1419</v>
      </c>
      <c r="J14" s="24">
        <f ca="1">C29</f>
        <v>2900</v>
      </c>
      <c r="K14" s="2952"/>
      <c r="L14" s="980"/>
      <c r="M14" s="981"/>
    </row>
    <row r="15" spans="1:37" s="1859" customFormat="1" ht="18" customHeight="1" thickBot="1">
      <c r="A15" s="1202" t="s">
        <v>1036</v>
      </c>
      <c r="B15" s="347" t="s">
        <v>1420</v>
      </c>
      <c r="C15" s="24">
        <f ca="1">ROUND(C14*F15,0)</f>
        <v>86</v>
      </c>
      <c r="D15" s="365" t="s">
        <v>1421</v>
      </c>
      <c r="E15" s="365" t="s">
        <v>1422</v>
      </c>
      <c r="F15" s="366">
        <f>'数据-取费表'!B33</f>
        <v>0.04</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69</v>
      </c>
      <c r="K16" s="1338" t="s">
        <v>1425</v>
      </c>
      <c r="L16" s="2946"/>
      <c r="M16" s="1295"/>
    </row>
    <row r="17" spans="1:37" s="1859" customFormat="1" ht="18" customHeight="1">
      <c r="A17" s="1202" t="s">
        <v>1390</v>
      </c>
      <c r="B17" s="347" t="s">
        <v>1426</v>
      </c>
      <c r="C17" s="24">
        <f ca="1">ROUND(F17*(F43+INDIRECT("'数据-取费表'!S"&amp;$G$1))/10000,0)</f>
        <v>123</v>
      </c>
      <c r="D17" s="347" t="s">
        <v>1427</v>
      </c>
      <c r="E17" s="347" t="s">
        <v>1428</v>
      </c>
      <c r="F17" s="26">
        <f>'数据-取费表'!B35</f>
        <v>200</v>
      </c>
      <c r="G17" s="1855"/>
      <c r="H17" s="1202" t="s">
        <v>1035</v>
      </c>
      <c r="I17" s="347" t="s">
        <v>1429</v>
      </c>
      <c r="J17" s="24">
        <f ca="1">ROUND(IF(项目基本情况!B11="自然人",J5*M17,J18+J19+J20),1)</f>
        <v>25.1</v>
      </c>
      <c r="K17" s="2944" t="s">
        <v>1430</v>
      </c>
      <c r="L17" s="2943"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7" t="s">
        <v>1432</v>
      </c>
      <c r="C18" s="24">
        <f ca="1">ROUND(C14*F18,0)</f>
        <v>32</v>
      </c>
      <c r="D18" s="347" t="s">
        <v>1421</v>
      </c>
      <c r="E18" s="347" t="s">
        <v>1422</v>
      </c>
      <c r="F18" s="367">
        <f>'数据-取费表'!B36</f>
        <v>1.4999999999999999E-2</v>
      </c>
      <c r="G18" s="1855"/>
      <c r="H18" s="1202" t="s">
        <v>1034</v>
      </c>
      <c r="I18" s="347" t="s">
        <v>1433</v>
      </c>
      <c r="J18" s="24">
        <f ca="1">ROUND(J5*M18/(1+'数据-取费表'!C42),2)</f>
        <v>0</v>
      </c>
      <c r="K18" s="2943" t="s">
        <v>1434</v>
      </c>
      <c r="L18" s="347" t="s">
        <v>1422</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7" t="s">
        <v>1435</v>
      </c>
      <c r="C19" s="24">
        <f ca="1">SUM(C14:C18)</f>
        <v>2396</v>
      </c>
      <c r="D19" s="140" t="s">
        <v>1436</v>
      </c>
      <c r="E19" s="2951"/>
      <c r="F19" s="26"/>
      <c r="G19" s="1852"/>
      <c r="H19" s="1202" t="s">
        <v>1036</v>
      </c>
      <c r="I19" s="347" t="s">
        <v>1437</v>
      </c>
      <c r="J19" s="24">
        <f ca="1">IF(K19="按租金收入计税",ROUND(J5*M19,2),ROUND(C29*M19*0.7,2))</f>
        <v>24.36</v>
      </c>
      <c r="K19" s="1829" t="s">
        <v>1438</v>
      </c>
      <c r="L19" s="347" t="s">
        <v>1422</v>
      </c>
      <c r="M19" s="367">
        <f>IF(K19="按租金收入计税",'数据-取费表'!B51,'数据-取费表'!B50)</f>
        <v>1.2E-2</v>
      </c>
    </row>
    <row r="20" spans="1:37" s="1859" customFormat="1" ht="18" customHeight="1">
      <c r="A20" s="1202" t="s">
        <v>1039</v>
      </c>
      <c r="B20" s="347" t="s">
        <v>1439</v>
      </c>
      <c r="C20" s="24">
        <f ca="1">ROUND(C19*F20,0)</f>
        <v>48</v>
      </c>
      <c r="D20" s="369" t="s">
        <v>1440</v>
      </c>
      <c r="E20" s="347" t="s">
        <v>1422</v>
      </c>
      <c r="F20" s="367">
        <f>'数据-取费表'!B37</f>
        <v>0.02</v>
      </c>
      <c r="G20" s="1855"/>
      <c r="H20" s="1202" t="s">
        <v>1389</v>
      </c>
      <c r="I20" s="164" t="s">
        <v>1441</v>
      </c>
      <c r="J20" s="25">
        <f ca="1">ROUND(M20*M21/10000,2)</f>
        <v>0.77</v>
      </c>
      <c r="K20" s="370" t="s">
        <v>1442</v>
      </c>
      <c r="L20" s="347" t="s">
        <v>1443</v>
      </c>
      <c r="M20" s="371">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643.15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2951"/>
      <c r="F22" s="26"/>
      <c r="G22" s="1852"/>
      <c r="H22" s="1202" t="s">
        <v>1039</v>
      </c>
      <c r="I22" s="347" t="s">
        <v>1449</v>
      </c>
      <c r="J22" s="24">
        <f ca="1">ROUND(J14*M22,1)</f>
        <v>43.5</v>
      </c>
      <c r="K22" s="2943" t="s">
        <v>1450</v>
      </c>
      <c r="L22" s="347" t="s">
        <v>1422</v>
      </c>
      <c r="M22" s="374">
        <f ca="1">INDIRECT("'数据-取费表'!Ak"&amp;$G$1)</f>
        <v>1.4999999999999999E-2</v>
      </c>
    </row>
    <row r="23" spans="1:37" s="1859" customFormat="1" ht="18" customHeight="1">
      <c r="A23" s="1202" t="s">
        <v>1034</v>
      </c>
      <c r="B23" s="347" t="s">
        <v>1451</v>
      </c>
      <c r="C23" s="24">
        <f ca="1">IF('数据-取费表'!B22&lt;=1,ROUND(C19*F24*F23/2,0)+ROUND(C20*F24*F23/2,0),ROUND(C19*(POWER((1+F24),F23/2)-1),0)+ROUND(C20*(POWER((1+F24),F23/2)-1),0))</f>
        <v>116</v>
      </c>
      <c r="D23" s="375" t="str">
        <f>IF(F23&lt;=1,"(建造成本+管理费用)×利率×(建设周期÷2)","(建造成本+管理费用)×((1+利率)^(建设周期÷2)-1)")</f>
        <v>(建造成本+管理费用)×((1+利率)^(建设周期÷2)-1)</v>
      </c>
      <c r="E23" s="347" t="s">
        <v>1452</v>
      </c>
      <c r="F23" s="371">
        <f>'数据-取费表'!B20</f>
        <v>2</v>
      </c>
      <c r="G23" s="1855"/>
      <c r="H23" s="1202" t="s">
        <v>1075</v>
      </c>
      <c r="I23" s="347" t="s">
        <v>1453</v>
      </c>
      <c r="J23" s="24">
        <f ca="1">ROUND(J13*M23,1)</f>
        <v>0</v>
      </c>
      <c r="K23" s="2943"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0" t="s">
        <v>1392</v>
      </c>
      <c r="I24" s="1341" t="s">
        <v>1439</v>
      </c>
      <c r="J24" s="1342">
        <f ca="1">ROUND(J5*M24,1)</f>
        <v>0</v>
      </c>
      <c r="K24" s="1343" t="s">
        <v>1459</v>
      </c>
      <c r="L24" s="1341" t="s">
        <v>1422</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7" t="s">
        <v>1461</v>
      </c>
      <c r="C25" s="24"/>
      <c r="D25" s="140" t="s">
        <v>1462</v>
      </c>
      <c r="E25" s="2951"/>
      <c r="F25" s="26"/>
      <c r="G25" s="1852"/>
      <c r="H25" s="1330" t="s">
        <v>1031</v>
      </c>
      <c r="I25" s="1345" t="s">
        <v>1463</v>
      </c>
      <c r="J25" s="355">
        <f ca="1">J5-J16</f>
        <v>-69</v>
      </c>
      <c r="K25" s="1346" t="s">
        <v>1464</v>
      </c>
      <c r="L25" s="1347"/>
      <c r="M25" s="1348"/>
    </row>
    <row r="26" spans="1:37">
      <c r="A26" s="1202" t="s">
        <v>1034</v>
      </c>
      <c r="B26" s="347" t="s">
        <v>1465</v>
      </c>
      <c r="C26" s="24">
        <f ca="1">ROUND((C19+C20)*F26,0)</f>
        <v>122</v>
      </c>
      <c r="D26" s="369" t="s">
        <v>1466</v>
      </c>
      <c r="E26" s="358" t="s">
        <v>1467</v>
      </c>
      <c r="F26" s="357">
        <f ca="1">INDIRECT("'数据-取费表'!q"&amp;$G$1)</f>
        <v>0.05</v>
      </c>
      <c r="G26" s="1852"/>
      <c r="H26" s="344" t="s">
        <v>1032</v>
      </c>
      <c r="I26" s="345" t="s">
        <v>1468</v>
      </c>
      <c r="J26" s="346">
        <f ca="1">IF(J5&lt;&gt;0,ROUND(J25*(1-((1+M28)/(1+M26))^M27)/(M26-M28),0),0)</f>
        <v>0</v>
      </c>
      <c r="K26" s="370" t="s">
        <v>1469</v>
      </c>
      <c r="L26" s="347" t="s">
        <v>1470</v>
      </c>
      <c r="M26" s="357">
        <f ca="1">INDIRECT("'数据-取费表'!I"&amp;$G$1)</f>
        <v>5.6000000000000001E-2</v>
      </c>
    </row>
    <row r="27" spans="1:37" ht="18" customHeight="1">
      <c r="A27" s="1202" t="s">
        <v>1036</v>
      </c>
      <c r="B27" s="347" t="s">
        <v>1471</v>
      </c>
      <c r="C27" s="24">
        <f ca="1">ROUND(F21*F26,4)</f>
        <v>1E-3</v>
      </c>
      <c r="D27" s="369" t="s">
        <v>1472</v>
      </c>
      <c r="E27" s="365"/>
      <c r="F27" s="366"/>
      <c r="G27" s="1852"/>
      <c r="H27" s="349"/>
      <c r="I27" s="350"/>
      <c r="J27" s="351"/>
      <c r="K27" s="378" t="s">
        <v>1473</v>
      </c>
      <c r="L27" s="347" t="s">
        <v>1474</v>
      </c>
      <c r="M27" s="379">
        <f ca="1">INDIRECT("'数据-取费表'!ag"&amp;$G$1)</f>
        <v>0</v>
      </c>
    </row>
    <row r="28" spans="1:37" s="1859" customFormat="1" ht="18" customHeight="1">
      <c r="A28" s="1202" t="s">
        <v>1037</v>
      </c>
      <c r="B28" s="347" t="s">
        <v>1475</v>
      </c>
      <c r="C28" s="24">
        <f>ROUND(F28/(1+'数据-取费表'!C42),4)</f>
        <v>5.33E-2</v>
      </c>
      <c r="D28" s="369" t="s">
        <v>1476</v>
      </c>
      <c r="E28" s="347" t="s">
        <v>1422</v>
      </c>
      <c r="F28" s="367">
        <f>'数据-取费表'!B41</f>
        <v>5.6000000000000001E-2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2900</v>
      </c>
      <c r="D29" s="1343"/>
      <c r="E29" s="1341"/>
      <c r="F29" s="1344"/>
      <c r="G29" s="1855"/>
      <c r="H29" s="380" t="s">
        <v>1033</v>
      </c>
      <c r="I29" s="381" t="s">
        <v>1479</v>
      </c>
      <c r="J29" s="382">
        <f ca="1">ROUND(J26/(1+F40)^F41,0)</f>
        <v>0</v>
      </c>
      <c r="K29" s="383" t="s">
        <v>1480</v>
      </c>
      <c r="L29" s="384"/>
      <c r="M29" s="385">
        <f ca="1">INDIRECT("'数据-取费表'!k"&amp;$G$1)</f>
        <v>6074.74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79</v>
      </c>
      <c r="D30" s="1338" t="s">
        <v>1425</v>
      </c>
      <c r="E30" s="2946"/>
      <c r="F30" s="1295"/>
      <c r="G30" s="1852"/>
      <c r="H30" s="745"/>
      <c r="I30" s="746"/>
      <c r="J30" s="747"/>
      <c r="K30" s="748"/>
      <c r="L30" s="749"/>
      <c r="M30" s="750"/>
    </row>
    <row r="31" spans="1:37" ht="18" customHeight="1">
      <c r="A31" s="1202" t="s">
        <v>1035</v>
      </c>
      <c r="B31" s="347" t="s">
        <v>1429</v>
      </c>
      <c r="C31" s="24">
        <f ca="1">ROUND(IF(项目基本情况!B11="自然人",C5*F31,C32+C33+C34),1)</f>
        <v>29.5</v>
      </c>
      <c r="D31" s="2944" t="s">
        <v>1430</v>
      </c>
      <c r="E31" s="2943"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2" t="s">
        <v>1034</v>
      </c>
      <c r="B32" s="347" t="s">
        <v>1433</v>
      </c>
      <c r="C32" s="24">
        <f ca="1">IF(项目基本情况!B11="自然人","——",ROUND(C5*F32/(1+'数据-取费表'!C42),2))</f>
        <v>8.85</v>
      </c>
      <c r="D32" s="2943" t="s">
        <v>1434</v>
      </c>
      <c r="E32" s="347" t="s">
        <v>1422</v>
      </c>
      <c r="F32" s="377">
        <f>'数据-取费表'!B41</f>
        <v>5.6000000000000001E-2</v>
      </c>
      <c r="G32" s="1852"/>
      <c r="H32" s="745"/>
      <c r="I32" s="746"/>
      <c r="J32" s="747"/>
      <c r="K32" s="748"/>
      <c r="L32" s="749"/>
      <c r="M32" s="750"/>
    </row>
    <row r="33" spans="1:18" ht="18" customHeight="1">
      <c r="A33" s="1202" t="s">
        <v>1036</v>
      </c>
      <c r="B33" s="347" t="s">
        <v>1437</v>
      </c>
      <c r="C33" s="24">
        <f ca="1">IF(项目基本情况!B11="自然人","——",IF(D33="按租金收入计税",ROUND(C5*F33,2),IF(D33="按房产原值计税",ROUND(C29*F33*0.7,2),INDIRECT("'数据-取费表'!Aj"&amp;$G$1))))</f>
        <v>19.920000000000002</v>
      </c>
      <c r="D33" s="1829" t="s">
        <v>3081</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0.77</v>
      </c>
      <c r="D34" s="370" t="s">
        <v>1442</v>
      </c>
      <c r="E34" s="347" t="s">
        <v>1443</v>
      </c>
      <c r="F34" s="371">
        <f>'数据-取费表'!B52</f>
        <v>12</v>
      </c>
      <c r="G34" s="1852"/>
      <c r="H34" s="745"/>
      <c r="I34" s="1861"/>
      <c r="J34" s="1862"/>
      <c r="K34" s="1864"/>
      <c r="L34" s="1865"/>
      <c r="M34" s="1865"/>
    </row>
    <row r="35" spans="1:18" ht="18" customHeight="1">
      <c r="A35" s="1354"/>
      <c r="B35" s="1352"/>
      <c r="C35" s="29"/>
      <c r="D35" s="373"/>
      <c r="E35" s="347" t="s">
        <v>1447</v>
      </c>
      <c r="F35" s="348">
        <f ca="1">INDIRECT("'数据-取费表'!r"&amp;$G$1)</f>
        <v>643.15</v>
      </c>
      <c r="G35" s="1852"/>
      <c r="H35" s="745"/>
      <c r="I35" s="1861"/>
      <c r="J35" s="1862"/>
      <c r="K35" s="1863"/>
      <c r="L35" s="1860"/>
      <c r="M35" s="1860"/>
    </row>
    <row r="36" spans="1:18" ht="18" customHeight="1">
      <c r="A36" s="1353" t="s">
        <v>1039</v>
      </c>
      <c r="B36" s="347" t="s">
        <v>1449</v>
      </c>
      <c r="C36" s="24">
        <f ca="1">ROUND(C29*F36,1)</f>
        <v>43.5</v>
      </c>
      <c r="D36" s="2943" t="s">
        <v>1482</v>
      </c>
      <c r="E36" s="347" t="s">
        <v>1422</v>
      </c>
      <c r="F36" s="374">
        <f ca="1">INDIRECT("'数据-取费表'!Ak"&amp;$G$1)</f>
        <v>1.4999999999999999E-2</v>
      </c>
      <c r="G36" s="1852"/>
      <c r="H36" s="1860"/>
      <c r="I36" s="1861"/>
      <c r="J36" s="1862"/>
      <c r="K36" s="751"/>
      <c r="L36" s="1860"/>
      <c r="M36" s="1860"/>
    </row>
    <row r="37" spans="1:18" ht="18" customHeight="1">
      <c r="A37" s="1202" t="s">
        <v>1075</v>
      </c>
      <c r="B37" s="347" t="s">
        <v>1453</v>
      </c>
      <c r="C37" s="24">
        <f ca="1">ROUND(C13*F37,1)</f>
        <v>4</v>
      </c>
      <c r="D37" s="2943" t="s">
        <v>1454</v>
      </c>
      <c r="E37" s="347" t="s">
        <v>1422</v>
      </c>
      <c r="F37" s="376">
        <f ca="1">INDIRECT("'数据-取费表'!Al"&amp;$G$1)</f>
        <v>1.5E-3</v>
      </c>
      <c r="G37" s="1852"/>
      <c r="H37" s="1860"/>
      <c r="I37" s="1861"/>
      <c r="J37" s="1862"/>
      <c r="K37" s="751"/>
      <c r="L37" s="1860"/>
      <c r="M37" s="1860"/>
    </row>
    <row r="38" spans="1:18" ht="18" customHeight="1" thickBot="1">
      <c r="A38" s="1340" t="s">
        <v>1392</v>
      </c>
      <c r="B38" s="1341" t="s">
        <v>1439</v>
      </c>
      <c r="C38" s="1342">
        <f ca="1">ROUND(C5*F38,1)</f>
        <v>1.7</v>
      </c>
      <c r="D38" s="1343" t="s">
        <v>1459</v>
      </c>
      <c r="E38" s="1341" t="s">
        <v>1422</v>
      </c>
      <c r="F38" s="1337">
        <f ca="1">INDIRECT("'数据-取费表'!Am"&amp;$G$1)</f>
        <v>0.01</v>
      </c>
      <c r="G38" s="1852"/>
      <c r="H38" s="1860"/>
      <c r="I38" s="1861"/>
      <c r="J38" s="1862"/>
      <c r="K38" s="1866"/>
      <c r="L38" s="1860"/>
      <c r="M38" s="1860"/>
    </row>
    <row r="39" spans="1:18" ht="24.6" customHeight="1" thickTop="1">
      <c r="A39" s="1330" t="s">
        <v>1031</v>
      </c>
      <c r="B39" s="1345" t="s">
        <v>1463</v>
      </c>
      <c r="C39" s="355">
        <f ca="1">C5-C30</f>
        <v>87</v>
      </c>
      <c r="D39" s="1346" t="s">
        <v>1464</v>
      </c>
      <c r="E39" s="1347"/>
      <c r="F39" s="1348"/>
      <c r="G39" s="1852"/>
      <c r="H39" s="1860"/>
      <c r="I39" s="1861"/>
      <c r="J39" s="1862"/>
      <c r="K39" s="1866"/>
      <c r="L39" s="1860"/>
      <c r="M39" s="1860"/>
    </row>
    <row r="40" spans="1:18" ht="18" customHeight="1">
      <c r="A40" s="344" t="s">
        <v>1032</v>
      </c>
      <c r="B40" s="345" t="s">
        <v>1485</v>
      </c>
      <c r="C40" s="346">
        <f ca="1">ROUND(C39*(1-((1+F42)/(1+F40))^F41)/(F40-F42),0)</f>
        <v>2053</v>
      </c>
      <c r="D40" s="370" t="s">
        <v>1469</v>
      </c>
      <c r="E40" s="347" t="s">
        <v>1470</v>
      </c>
      <c r="F40" s="357">
        <f ca="1">INDIRECT("'数据-取费表'!I"&amp;$G$1)</f>
        <v>5.6000000000000001E-2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38.15</v>
      </c>
      <c r="G41" s="1852"/>
      <c r="H41" s="732"/>
      <c r="I41" s="1861"/>
      <c r="J41" s="1862"/>
      <c r="K41" s="751"/>
      <c r="L41" s="732"/>
      <c r="M41" s="732"/>
    </row>
    <row r="42" spans="1:18" ht="18" customHeight="1">
      <c r="A42" s="353"/>
      <c r="B42" s="354"/>
      <c r="C42" s="355"/>
      <c r="D42" s="373"/>
      <c r="E42" s="347" t="s">
        <v>1477</v>
      </c>
      <c r="F42" s="357">
        <f ca="1">INDIRECT("'数据-取费表'!v"&amp;$G$1)</f>
        <v>0.03</v>
      </c>
      <c r="G42" s="1852"/>
      <c r="H42" s="732"/>
      <c r="I42" s="1861"/>
      <c r="J42" s="1862"/>
      <c r="K42" s="751"/>
      <c r="L42" s="732"/>
      <c r="M42" s="732"/>
    </row>
    <row r="43" spans="1:18" ht="18" customHeight="1" thickBot="1">
      <c r="A43" s="380" t="s">
        <v>1033</v>
      </c>
      <c r="B43" s="381" t="s">
        <v>1487</v>
      </c>
      <c r="C43" s="382">
        <f ca="1">ROUND(C40*10000/F43,0)</f>
        <v>3380</v>
      </c>
      <c r="D43" s="383" t="s">
        <v>1488</v>
      </c>
      <c r="E43" s="384" t="s">
        <v>1489</v>
      </c>
      <c r="F43" s="385">
        <f ca="1">INDIRECT("'数据-取费表'!k"&amp;$G$1)</f>
        <v>6074.74</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8" thickBot="1">
      <c r="A46" s="1871" t="s">
        <v>1520</v>
      </c>
      <c r="C46" s="1872">
        <f ca="1">C68-C40</f>
        <v>-6615</v>
      </c>
      <c r="D46" s="1873" t="str">
        <f>C2</f>
        <v>万元</v>
      </c>
      <c r="E46" s="1867"/>
      <c r="F46" s="1867"/>
      <c r="I46" s="1874" t="s">
        <v>1521</v>
      </c>
      <c r="J46" s="1875"/>
      <c r="K46" s="1876"/>
      <c r="L46" s="1877">
        <f ca="1">IF(M47="住宅",0,IF(L48&gt;J51,L60,J60))</f>
        <v>43</v>
      </c>
      <c r="O46" s="1878" t="s">
        <v>1522</v>
      </c>
      <c r="P46" s="1879" t="s">
        <v>1523</v>
      </c>
      <c r="Q46" s="1880" t="s">
        <v>1524</v>
      </c>
      <c r="R46" s="1880" t="s">
        <v>1525</v>
      </c>
    </row>
    <row r="47" spans="1:18" s="1843" customFormat="1" ht="13.8" thickBot="1">
      <c r="A47" s="1166" t="s">
        <v>1396</v>
      </c>
      <c r="B47" s="1198" t="s">
        <v>1397</v>
      </c>
      <c r="C47" s="1368" t="s">
        <v>1398</v>
      </c>
      <c r="D47" s="1198" t="s">
        <v>1399</v>
      </c>
      <c r="E47" s="1280" t="s">
        <v>1400</v>
      </c>
      <c r="F47" s="1281"/>
      <c r="G47" s="792"/>
      <c r="I47" s="1881" t="s">
        <v>1526</v>
      </c>
      <c r="J47" s="1882" t="s">
        <v>3082</v>
      </c>
      <c r="K47" s="1883" t="s">
        <v>1527</v>
      </c>
      <c r="L47" s="1884">
        <f ca="1">INDIRECT("'数据-取费表'!d"&amp;$G$1)</f>
        <v>50</v>
      </c>
      <c r="M47" s="1839" t="str">
        <f>IF(ISNUMBER(FIND("住宅",C1)),"住宅","非住宅")</f>
        <v>非住宅</v>
      </c>
      <c r="O47" s="1885" t="s">
        <v>1040</v>
      </c>
      <c r="P47" s="1886" t="s">
        <v>1528</v>
      </c>
      <c r="Q47" s="1887">
        <f ca="1">C40+J29</f>
        <v>2053</v>
      </c>
      <c r="R47" s="1887" t="s">
        <v>1529</v>
      </c>
    </row>
    <row r="48" spans="1:18" s="1843" customFormat="1" ht="40.200000000000003" thickBot="1">
      <c r="A48" s="1361" t="s">
        <v>1135</v>
      </c>
      <c r="B48" s="345" t="s">
        <v>1401</v>
      </c>
      <c r="C48" s="2950">
        <f ca="1">C49+C53+C55</f>
        <v>0</v>
      </c>
      <c r="D48" s="1363"/>
      <c r="E48" s="1364"/>
      <c r="F48" s="1182"/>
      <c r="G48" s="792"/>
      <c r="H48" s="793"/>
      <c r="I48" s="1888" t="s">
        <v>1530</v>
      </c>
      <c r="J48" s="1889" t="s">
        <v>3083</v>
      </c>
      <c r="K48" s="1890" t="s">
        <v>1531</v>
      </c>
      <c r="L48" s="1891">
        <f ca="1">INDIRECT("'数据-取费表'!f"&amp;$G$1)</f>
        <v>38.15</v>
      </c>
      <c r="O48" s="1885" t="s">
        <v>1041</v>
      </c>
      <c r="P48" s="1886" t="s">
        <v>1532</v>
      </c>
      <c r="Q48" s="1887">
        <f ca="1">J60</f>
        <v>43</v>
      </c>
      <c r="R48" s="1887" t="s">
        <v>1533</v>
      </c>
    </row>
    <row r="49" spans="1:18" s="1843" customFormat="1" ht="13.8" thickBot="1">
      <c r="A49" s="1195" t="s">
        <v>1136</v>
      </c>
      <c r="B49" s="1830" t="s">
        <v>1490</v>
      </c>
      <c r="C49" s="1365">
        <f ca="1">ROUND(F49*F51*F50*(1-F52)/10000,0)</f>
        <v>0</v>
      </c>
      <c r="D49" s="1277" t="s">
        <v>3027</v>
      </c>
      <c r="E49" s="1831" t="s">
        <v>1491</v>
      </c>
      <c r="F49" s="1282"/>
      <c r="G49" s="1892"/>
      <c r="H49" s="793"/>
      <c r="I49" s="1888" t="s">
        <v>1534</v>
      </c>
      <c r="J49" s="1893">
        <v>2014</v>
      </c>
      <c r="K49" s="1890" t="s">
        <v>1535</v>
      </c>
      <c r="L49" s="1894"/>
      <c r="O49" s="1895" t="s">
        <v>1042</v>
      </c>
      <c r="P49" s="1886" t="s">
        <v>1536</v>
      </c>
      <c r="Q49" s="1887">
        <f ca="1">C29</f>
        <v>2900</v>
      </c>
      <c r="R49" s="1887" t="s">
        <v>1529</v>
      </c>
    </row>
    <row r="50" spans="1:18" s="1843" customFormat="1" ht="13.8" thickBot="1">
      <c r="A50" s="1196"/>
      <c r="B50" s="1199"/>
      <c r="C50" s="1369"/>
      <c r="D50" s="1173"/>
      <c r="E50" s="1278" t="s">
        <v>1406</v>
      </c>
      <c r="F50" s="1279">
        <f ca="1">F7</f>
        <v>128</v>
      </c>
      <c r="H50" s="793"/>
      <c r="I50" s="1888" t="s">
        <v>1537</v>
      </c>
      <c r="J50" s="1896">
        <f>SUMPRODUCT((I63:I65=J47)*(J62:L62=J48)*(J63:L65))</f>
        <v>60</v>
      </c>
      <c r="K50" s="1890" t="s">
        <v>1538</v>
      </c>
      <c r="L50" s="1894"/>
      <c r="M50" s="1897"/>
      <c r="O50" s="1895" t="s">
        <v>1043</v>
      </c>
      <c r="P50" s="1886" t="s">
        <v>1539</v>
      </c>
      <c r="Q50" s="1898">
        <f ca="1">J58</f>
        <v>0.4</v>
      </c>
      <c r="R50" s="1887"/>
    </row>
    <row r="51" spans="1:18" s="1843" customFormat="1" ht="13.8" thickBot="1">
      <c r="A51" s="1197"/>
      <c r="B51" s="1199"/>
      <c r="C51" s="1200"/>
      <c r="D51" s="1173"/>
      <c r="E51" s="1201" t="s">
        <v>1407</v>
      </c>
      <c r="F51" s="348">
        <f ca="1">F8</f>
        <v>12</v>
      </c>
      <c r="I51" s="1899" t="s">
        <v>1540</v>
      </c>
      <c r="J51" s="1900">
        <f>IF(J49="",J50,J49+J50-YEAR('数据-取费表'!B2))</f>
        <v>56</v>
      </c>
      <c r="K51" s="1901" t="s">
        <v>1541</v>
      </c>
      <c r="L51" s="1902">
        <f ca="1">ROUND(-PV(INDIRECT("'数据-取费表'!h"&amp;$G$1),L48,(C39-C13*C76),0),0)</f>
        <v>-2340</v>
      </c>
      <c r="M51" s="1903"/>
      <c r="O51" s="1895" t="s">
        <v>1044</v>
      </c>
      <c r="P51" s="1886" t="s">
        <v>1542</v>
      </c>
      <c r="Q51" s="1898">
        <f>J52</f>
        <v>0.09</v>
      </c>
      <c r="R51" s="1887"/>
    </row>
    <row r="52" spans="1:18" s="1843" customFormat="1" ht="13.8" thickBot="1">
      <c r="A52" s="1197"/>
      <c r="B52" s="1199"/>
      <c r="C52" s="1200"/>
      <c r="D52" s="1173"/>
      <c r="E52" s="1201" t="s">
        <v>1408</v>
      </c>
      <c r="F52" s="1276"/>
      <c r="I52" s="1904" t="s">
        <v>1543</v>
      </c>
      <c r="J52" s="1905">
        <v>0.09</v>
      </c>
      <c r="K52" s="1904" t="s">
        <v>1544</v>
      </c>
      <c r="L52" s="1905"/>
      <c r="O52" s="1895" t="s">
        <v>1045</v>
      </c>
      <c r="P52" s="1886" t="s">
        <v>1545</v>
      </c>
      <c r="Q52" s="1887">
        <f ca="1">J53</f>
        <v>38.15</v>
      </c>
      <c r="R52" s="1887" t="s">
        <v>1546</v>
      </c>
    </row>
    <row r="53" spans="1:18" s="1843" customFormat="1" ht="36.6" thickBot="1">
      <c r="A53" s="1406" t="s">
        <v>1137</v>
      </c>
      <c r="B53" s="1832" t="s">
        <v>1409</v>
      </c>
      <c r="C53" s="361">
        <f ca="1">ROUND(IF(F53="押一",C49/12*F11,IF(F53="押二",C49/12*2*F11,IF(F53="押三",C49/12*3*F11,C54*F11))),0)</f>
        <v>0</v>
      </c>
      <c r="D53" s="1825" t="s">
        <v>3036</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38.15</v>
      </c>
      <c r="K53" s="3566" t="s">
        <v>1548</v>
      </c>
      <c r="L53" s="3567"/>
      <c r="O53" s="1885" t="s">
        <v>1046</v>
      </c>
      <c r="P53" s="1886" t="s">
        <v>1549</v>
      </c>
      <c r="Q53" s="1887">
        <f ca="1">Q47+Q48</f>
        <v>2096</v>
      </c>
      <c r="R53" s="1887" t="s">
        <v>1047</v>
      </c>
    </row>
    <row r="54" spans="1:18" s="1843" customFormat="1" ht="24.6" thickBot="1">
      <c r="A54" s="1407"/>
      <c r="B54" s="1826" t="s">
        <v>1388</v>
      </c>
      <c r="C54" s="1179"/>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8" thickBot="1">
      <c r="A55" s="1334" t="s">
        <v>1075</v>
      </c>
      <c r="B55" s="1828" t="s">
        <v>1413</v>
      </c>
      <c r="C55" s="1335"/>
      <c r="D55" s="1825"/>
      <c r="E55" s="2947"/>
      <c r="F55" s="1908"/>
      <c r="I55" s="1911" t="s">
        <v>1551</v>
      </c>
      <c r="J55" s="1912">
        <f ca="1">ROUND(IF(J47="钢混",J57/J50,1-(1-2%)*(J50-J57)/J50),3)</f>
        <v>0.29799999999999999</v>
      </c>
      <c r="K55" s="1913" t="s">
        <v>1552</v>
      </c>
      <c r="L55" s="1914" t="s">
        <v>1553</v>
      </c>
      <c r="O55" s="1878" t="s">
        <v>1522</v>
      </c>
      <c r="P55" s="1879" t="s">
        <v>1523</v>
      </c>
      <c r="Q55" s="1880" t="s">
        <v>1524</v>
      </c>
      <c r="R55" s="1880" t="s">
        <v>1525</v>
      </c>
    </row>
    <row r="56" spans="1:18" s="1843" customFormat="1" ht="37.200000000000003" thickTop="1" thickBot="1">
      <c r="A56" s="1177">
        <v>2</v>
      </c>
      <c r="B56" s="1178" t="s">
        <v>1414</v>
      </c>
      <c r="C56" s="276">
        <f ca="1">C13</f>
        <v>2697</v>
      </c>
      <c r="D56" s="1915"/>
      <c r="E56" s="1916"/>
      <c r="F56" s="1908"/>
      <c r="I56" s="1917" t="s">
        <v>1554</v>
      </c>
      <c r="J56" s="1918" t="s">
        <v>3084</v>
      </c>
      <c r="K56" s="1888" t="s">
        <v>1555</v>
      </c>
      <c r="L56" s="1891" t="str">
        <f ca="1">IF(L48&lt;J51,"——",L48-J53)</f>
        <v>——</v>
      </c>
      <c r="O56" s="1885" t="s">
        <v>1040</v>
      </c>
      <c r="P56" s="1886" t="s">
        <v>1528</v>
      </c>
      <c r="Q56" s="1887">
        <f ca="1">C40+J29</f>
        <v>2053</v>
      </c>
      <c r="R56" s="1887" t="s">
        <v>1529</v>
      </c>
    </row>
    <row r="57" spans="1:18" s="1843" customFormat="1" ht="24.6" thickBot="1">
      <c r="A57" s="1919"/>
      <c r="B57" s="1170" t="s">
        <v>1478</v>
      </c>
      <c r="C57" s="282">
        <f ca="1">C29</f>
        <v>2900</v>
      </c>
      <c r="D57" s="1920"/>
      <c r="E57" s="1921"/>
      <c r="F57" s="1922"/>
      <c r="I57" s="1923" t="s">
        <v>1556</v>
      </c>
      <c r="J57" s="1924">
        <f ca="1">IF(OR(M47="住宅",J51&lt;L48,J56="是"),"——",J51-L48)</f>
        <v>17.850000000000001</v>
      </c>
      <c r="K57" s="1888" t="s">
        <v>1557</v>
      </c>
      <c r="L57" s="1891" t="str">
        <f ca="1">IF(L48&lt;J51,"——",IF(L55="比较法",L49,IF(L55="基准地价",L50,L51)))</f>
        <v>——</v>
      </c>
      <c r="O57" s="1885" t="s">
        <v>1041</v>
      </c>
      <c r="P57" s="1886" t="s">
        <v>1558</v>
      </c>
      <c r="Q57" s="1887">
        <f ca="1">L60</f>
        <v>0</v>
      </c>
      <c r="R57" s="1887" t="s">
        <v>1559</v>
      </c>
    </row>
    <row r="58" spans="1:18" s="1843" customFormat="1" ht="24.6" thickBot="1">
      <c r="A58" s="360" t="s">
        <v>1030</v>
      </c>
      <c r="B58" s="1178" t="s">
        <v>1424</v>
      </c>
      <c r="C58" s="361">
        <f ca="1">ROUND(C59+C64+C65+C66,0)</f>
        <v>292</v>
      </c>
      <c r="D58" s="1180" t="s">
        <v>1425</v>
      </c>
      <c r="E58" s="1181"/>
      <c r="F58" s="1182"/>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6" thickBot="1">
      <c r="A59" s="1202" t="s">
        <v>1035</v>
      </c>
      <c r="B59" s="1170" t="s">
        <v>1429</v>
      </c>
      <c r="C59" s="24">
        <f ca="1">ROUND(IF(项目基本情况!B11="自然人",C48*F59,C60+C61+C62),1)</f>
        <v>244.4</v>
      </c>
      <c r="D59" s="1183" t="s">
        <v>1430</v>
      </c>
      <c r="E59" s="1184" t="s">
        <v>1431</v>
      </c>
      <c r="F59" s="368" t="str">
        <f ca="1">IF(项目基本情况!B11="企业","",IF(INDIRECT("'数据-取费表'!c"&amp;$G$1)="住宅",5%,IF(F49*F50*F51/12/(1+'数据-取费表'!C42)&gt;20000,12%,7%)))</f>
        <v/>
      </c>
      <c r="I59" s="1923" t="s">
        <v>1563</v>
      </c>
      <c r="J59" s="1924">
        <f ca="1">IF(OR(M47="住宅",J51&lt;L48,J56="是"),"——",ROUND(C29*J58,0))</f>
        <v>1160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2" thickBot="1">
      <c r="A60" s="1202" t="s">
        <v>1034</v>
      </c>
      <c r="B60" s="1170" t="s">
        <v>1433</v>
      </c>
      <c r="C60" s="24">
        <f ca="1">IF(项目基本情况!B11="自然人","——",ROUND(C48*F60/(1+'数据-取费表'!C42),2))</f>
        <v>0</v>
      </c>
      <c r="D60" s="1184" t="s">
        <v>1434</v>
      </c>
      <c r="E60" s="1170" t="s">
        <v>1422</v>
      </c>
      <c r="F60" s="377">
        <f t="shared" ref="F60:F66" si="0">F32</f>
        <v>5.6000000000000001E-2</v>
      </c>
      <c r="I60" s="1926" t="s">
        <v>1565</v>
      </c>
      <c r="J60" s="1927">
        <f ca="1">IF(OR(M47="住宅",J51&lt;L48,J56="是"),"0",ROUND(J59/(1+J52)^J53,0))</f>
        <v>43</v>
      </c>
      <c r="K60" s="1928" t="s">
        <v>1566</v>
      </c>
      <c r="L60" s="1927">
        <f ca="1">IF(OR(M47="住宅",L48&lt;J51),0,ROUND(L57*(L58/L59-1),0))</f>
        <v>0</v>
      </c>
      <c r="O60" s="1895" t="s">
        <v>1044</v>
      </c>
      <c r="P60" s="1886" t="s">
        <v>1567</v>
      </c>
      <c r="Q60" s="1887" t="e">
        <f ca="1">L58</f>
        <v>#DIV/0!</v>
      </c>
      <c r="R60" s="1887" t="s">
        <v>1568</v>
      </c>
    </row>
    <row r="61" spans="1:18" s="1843" customFormat="1" ht="13.8" thickBot="1">
      <c r="A61" s="1202" t="s">
        <v>1492</v>
      </c>
      <c r="B61" s="1170" t="s">
        <v>1437</v>
      </c>
      <c r="C61" s="24">
        <f ca="1">IF(项目基本情况!B11="自然人","——",IF(D61="按租金收入计税",ROUND(C48*F61,2),IF(D61="按房产原值计税",ROUND(C57*F61*0.7,2),INDIRECT("'数据-取费表'!Aj"&amp;$G$1))))</f>
        <v>243.6</v>
      </c>
      <c r="D61" s="1829" t="s">
        <v>1438</v>
      </c>
      <c r="E61" s="1170"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8" thickBot="1">
      <c r="A62" s="1202" t="s">
        <v>1495</v>
      </c>
      <c r="B62" s="1169" t="s">
        <v>1441</v>
      </c>
      <c r="C62" s="25">
        <f ca="1">IF(项目基本情况!B11="自然人","——",ROUND(F62*F63/10000,2))</f>
        <v>0.77</v>
      </c>
      <c r="D62" s="1185" t="s">
        <v>1442</v>
      </c>
      <c r="E62" s="1170" t="s">
        <v>1443</v>
      </c>
      <c r="F62" s="371">
        <f t="shared" si="0"/>
        <v>12</v>
      </c>
      <c r="I62" s="1930" t="s">
        <v>1570</v>
      </c>
      <c r="J62" s="1931" t="s">
        <v>1571</v>
      </c>
      <c r="K62" s="1931" t="s">
        <v>1572</v>
      </c>
      <c r="L62" s="1931" t="s">
        <v>1573</v>
      </c>
      <c r="M62" s="1932" t="s">
        <v>1574</v>
      </c>
      <c r="O62" s="1885" t="s">
        <v>1046</v>
      </c>
      <c r="P62" s="1886" t="s">
        <v>1549</v>
      </c>
      <c r="Q62" s="1887">
        <f ca="1">Q56+Q57</f>
        <v>2053</v>
      </c>
      <c r="R62" s="1887" t="s">
        <v>1047</v>
      </c>
    </row>
    <row r="63" spans="1:18" s="1843" customFormat="1" ht="13.8" thickBot="1">
      <c r="A63" s="372"/>
      <c r="B63" s="1176"/>
      <c r="C63" s="29"/>
      <c r="D63" s="1186"/>
      <c r="E63" s="1170" t="s">
        <v>1447</v>
      </c>
      <c r="F63" s="348">
        <f t="shared" ca="1" si="0"/>
        <v>643.15</v>
      </c>
      <c r="I63" s="1930" t="s">
        <v>1576</v>
      </c>
      <c r="J63" s="1931">
        <v>70</v>
      </c>
      <c r="K63" s="1931">
        <v>50</v>
      </c>
      <c r="L63" s="1931">
        <v>80</v>
      </c>
      <c r="M63" s="1933">
        <v>0.02</v>
      </c>
      <c r="O63" s="1870" t="s">
        <v>1577</v>
      </c>
      <c r="P63" s="1840"/>
      <c r="Q63" s="1840"/>
      <c r="R63" s="1840"/>
    </row>
    <row r="64" spans="1:18" s="1843" customFormat="1" ht="13.8" thickBot="1">
      <c r="A64" s="1202" t="s">
        <v>1039</v>
      </c>
      <c r="B64" s="1170" t="s">
        <v>1449</v>
      </c>
      <c r="C64" s="24">
        <f ca="1">ROUND(C57*F64,1)</f>
        <v>43.5</v>
      </c>
      <c r="D64" s="1184" t="s">
        <v>1482</v>
      </c>
      <c r="E64" s="1170"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8" thickBot="1">
      <c r="A65" s="1202" t="s">
        <v>1503</v>
      </c>
      <c r="B65" s="1170" t="s">
        <v>1453</v>
      </c>
      <c r="C65" s="24">
        <f ca="1">ROUND(C56*F65,1)</f>
        <v>4</v>
      </c>
      <c r="D65" s="1184" t="s">
        <v>1454</v>
      </c>
      <c r="E65" s="1170" t="s">
        <v>1422</v>
      </c>
      <c r="F65" s="376">
        <f t="shared" ca="1" si="0"/>
        <v>1.5E-3</v>
      </c>
      <c r="I65" s="1930" t="s">
        <v>1579</v>
      </c>
      <c r="J65" s="1931">
        <v>40</v>
      </c>
      <c r="K65" s="1931">
        <v>30</v>
      </c>
      <c r="L65" s="1931">
        <v>50</v>
      </c>
      <c r="M65" s="1933">
        <v>0.02</v>
      </c>
      <c r="O65" s="1885" t="s">
        <v>1040</v>
      </c>
      <c r="P65" s="1886" t="s">
        <v>1528</v>
      </c>
      <c r="Q65" s="1887">
        <f ca="1">C40+J29</f>
        <v>2053</v>
      </c>
      <c r="R65" s="1887" t="s">
        <v>1529</v>
      </c>
    </row>
    <row r="66" spans="1:18" s="1843" customFormat="1" ht="16.2" thickBot="1">
      <c r="A66" s="1202" t="s">
        <v>1504</v>
      </c>
      <c r="B66" s="1170" t="s">
        <v>1439</v>
      </c>
      <c r="C66" s="24">
        <f ca="1">ROUND(C48*F66,1)</f>
        <v>0</v>
      </c>
      <c r="D66" s="1184" t="s">
        <v>1459</v>
      </c>
      <c r="E66" s="1170" t="s">
        <v>1422</v>
      </c>
      <c r="F66" s="357">
        <f t="shared" ca="1" si="0"/>
        <v>0.01</v>
      </c>
      <c r="O66" s="1885" t="s">
        <v>1041</v>
      </c>
      <c r="P66" s="1886" t="s">
        <v>1558</v>
      </c>
      <c r="Q66" s="1887">
        <f ca="1">L60</f>
        <v>0</v>
      </c>
      <c r="R66" s="1887" t="s">
        <v>1581</v>
      </c>
    </row>
    <row r="67" spans="1:18" s="1843" customFormat="1" ht="24.6" thickBot="1">
      <c r="A67" s="1177" t="s">
        <v>1031</v>
      </c>
      <c r="B67" s="1187" t="s">
        <v>1463</v>
      </c>
      <c r="C67" s="361">
        <f ca="1">C48-C58</f>
        <v>-292</v>
      </c>
      <c r="D67" s="1183" t="s">
        <v>1464</v>
      </c>
      <c r="E67" s="1188"/>
      <c r="F67" s="1189"/>
      <c r="O67" s="1895" t="s">
        <v>1042</v>
      </c>
      <c r="P67" s="1886" t="s">
        <v>1562</v>
      </c>
      <c r="Q67" s="1934">
        <f ca="1">L51</f>
        <v>-2340</v>
      </c>
      <c r="R67" s="1887" t="s">
        <v>1582</v>
      </c>
    </row>
    <row r="68" spans="1:18" s="1843" customFormat="1" ht="16.2" thickBot="1">
      <c r="A68" s="1167" t="s">
        <v>1032</v>
      </c>
      <c r="B68" s="1168" t="s">
        <v>1485</v>
      </c>
      <c r="C68" s="346">
        <f ca="1">ROUND(C67*(1-((1+F70)/(1+F68))^F69)/(F68-F70),0)</f>
        <v>-4562</v>
      </c>
      <c r="D68" s="1185" t="s">
        <v>1469</v>
      </c>
      <c r="E68" s="1170" t="s">
        <v>1470</v>
      </c>
      <c r="F68" s="357">
        <f ca="1">F40</f>
        <v>5.6000000000000001E-2</v>
      </c>
      <c r="O68" s="1895" t="s">
        <v>1043</v>
      </c>
      <c r="P68" s="1935" t="s">
        <v>1583</v>
      </c>
      <c r="Q68" s="1887">
        <f ca="1">ROUND(Q69-Q70*Q71,0)</f>
        <v>-142</v>
      </c>
      <c r="R68" s="1887" t="s">
        <v>1051</v>
      </c>
    </row>
    <row r="69" spans="1:18" s="1843" customFormat="1" ht="13.8" thickBot="1">
      <c r="A69" s="1171"/>
      <c r="B69" s="1172"/>
      <c r="C69" s="351"/>
      <c r="D69" s="1190" t="s">
        <v>1473</v>
      </c>
      <c r="E69" s="1170" t="s">
        <v>1474</v>
      </c>
      <c r="F69" s="379">
        <f ca="1">F41</f>
        <v>38.15</v>
      </c>
      <c r="O69" s="1895" t="s">
        <v>1048</v>
      </c>
      <c r="P69" s="1935" t="s">
        <v>1584</v>
      </c>
      <c r="Q69" s="1887">
        <f ca="1">C39</f>
        <v>87</v>
      </c>
      <c r="R69" s="1887" t="s">
        <v>1529</v>
      </c>
    </row>
    <row r="70" spans="1:18" s="1843" customFormat="1" ht="13.8" thickBot="1">
      <c r="A70" s="1174"/>
      <c r="B70" s="1175"/>
      <c r="C70" s="355"/>
      <c r="D70" s="1186"/>
      <c r="E70" s="1170" t="s">
        <v>1477</v>
      </c>
      <c r="F70" s="1276"/>
      <c r="O70" s="1895" t="s">
        <v>1049</v>
      </c>
      <c r="P70" s="1935" t="s">
        <v>1585</v>
      </c>
      <c r="Q70" s="1887">
        <f ca="1">C13</f>
        <v>2697</v>
      </c>
      <c r="R70" s="1887" t="s">
        <v>1529</v>
      </c>
    </row>
    <row r="71" spans="1:18" s="1843" customFormat="1" ht="13.8" thickBot="1">
      <c r="A71" s="1191" t="s">
        <v>1033</v>
      </c>
      <c r="B71" s="1192" t="s">
        <v>1487</v>
      </c>
      <c r="C71" s="382">
        <f ca="1">ROUND(C68*10000/F71,0)</f>
        <v>-7510</v>
      </c>
      <c r="D71" s="1193" t="s">
        <v>1488</v>
      </c>
      <c r="E71" s="1194" t="s">
        <v>1489</v>
      </c>
      <c r="F71" s="385">
        <f ca="1">F43</f>
        <v>6074.74</v>
      </c>
      <c r="O71" s="1895" t="s">
        <v>1050</v>
      </c>
      <c r="P71" s="1935" t="s">
        <v>1586</v>
      </c>
      <c r="Q71" s="1898">
        <f ca="1">C76</f>
        <v>8.5000000000000006E-2</v>
      </c>
      <c r="R71" s="1887"/>
    </row>
    <row r="72" spans="1:18" s="1843" customFormat="1" ht="13.8" thickBot="1">
      <c r="B72" s="796"/>
      <c r="C72" s="796"/>
      <c r="O72" s="1895" t="s">
        <v>1044</v>
      </c>
      <c r="P72" s="1886" t="s">
        <v>1564</v>
      </c>
      <c r="Q72" s="1898">
        <f>L52</f>
        <v>0</v>
      </c>
      <c r="R72" s="1887"/>
    </row>
    <row r="73" spans="1:18" ht="16.2" thickBot="1">
      <c r="A73" s="1843"/>
      <c r="B73" s="796"/>
      <c r="C73" s="796"/>
      <c r="D73" s="1843"/>
      <c r="E73" s="1843"/>
      <c r="F73" s="1843"/>
      <c r="O73" s="1895" t="s">
        <v>1045</v>
      </c>
      <c r="P73" s="1886" t="s">
        <v>1567</v>
      </c>
      <c r="Q73" s="1887" t="e">
        <f ca="1">L58</f>
        <v>#DIV/0!</v>
      </c>
      <c r="R73" s="1887" t="s">
        <v>1568</v>
      </c>
    </row>
    <row r="74" spans="1:18" ht="13.8"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8" thickBot="1">
      <c r="A75" s="1843"/>
      <c r="B75" s="386" t="s">
        <v>1506</v>
      </c>
      <c r="C75" s="387">
        <f ca="1">ROUND(C13*C76,0)</f>
        <v>229</v>
      </c>
      <c r="D75" s="1843"/>
      <c r="E75" s="1843"/>
      <c r="F75" s="1843"/>
      <c r="K75" s="1869"/>
      <c r="L75" s="1843"/>
      <c r="O75" s="1885" t="s">
        <v>1046</v>
      </c>
      <c r="P75" s="1886" t="s">
        <v>1549</v>
      </c>
      <c r="Q75" s="1887">
        <f ca="1">Q65+Q66</f>
        <v>2053</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-1.6320000000000001</v>
      </c>
    </row>
    <row r="80" spans="1:18">
      <c r="B80" s="386" t="s">
        <v>1511</v>
      </c>
      <c r="C80" s="318">
        <f ca="1">ROUND(C75/C39,3)</f>
        <v>2.6320000000000001</v>
      </c>
    </row>
    <row r="81" spans="2:3">
      <c r="B81" s="314" t="s">
        <v>1512</v>
      </c>
      <c r="C81" s="282"/>
    </row>
    <row r="82" spans="2:3">
      <c r="B82" s="317" t="s">
        <v>1513</v>
      </c>
      <c r="C82" s="319">
        <f ca="1">1-C83</f>
        <v>-0.31400000000000006</v>
      </c>
    </row>
    <row r="83" spans="2:3">
      <c r="B83" s="317" t="s">
        <v>1514</v>
      </c>
      <c r="C83" s="318">
        <f ca="1">ROUND(C13/C40,3)</f>
        <v>1.3140000000000001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 priority="1">
      <formula>$L$48&gt;$J$51</formula>
    </cfRule>
  </conditionalFormatting>
  <conditionalFormatting sqref="I55 I60">
    <cfRule type="expression" dxfId="5" priority="2">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6"/>
  <sheetViews>
    <sheetView workbookViewId="0">
      <selection activeCell="B36" sqref="B3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38" t="s">
        <v>3048</v>
      </c>
      <c r="C1" s="242"/>
      <c r="D1" s="242"/>
      <c r="E1" s="242"/>
      <c r="F1" s="242"/>
      <c r="G1" s="1380">
        <f>MATCH(B1,'数据-取费表'!A6:A16,0)+5</f>
        <v>6</v>
      </c>
    </row>
    <row r="2" spans="1:9" s="244" customFormat="1" ht="18" customHeight="1">
      <c r="A2" s="245" t="s">
        <v>1394</v>
      </c>
      <c r="B2" s="246">
        <f ca="1">IF(D2="——",C52,C52-E2)</f>
        <v>8906</v>
      </c>
      <c r="C2" s="243" t="s">
        <v>2326</v>
      </c>
      <c r="D2" s="2547" t="s">
        <v>70</v>
      </c>
      <c r="E2" s="1441">
        <f ca="1">SUMIF(INDIRECT("'"&amp;G2&amp;"'"&amp;"!A:A"),"承租人权益价值",INDIRECT("'"&amp;G2&amp;"'"&amp;"!c:c"))</f>
        <v>2425</v>
      </c>
      <c r="F2" s="2548" t="s">
        <v>2326</v>
      </c>
      <c r="G2" s="2549" t="s">
        <v>3300</v>
      </c>
    </row>
    <row r="3" spans="1:9" s="244" customFormat="1" ht="18" customHeight="1" thickBot="1">
      <c r="A3" s="247" t="s">
        <v>2327</v>
      </c>
      <c r="B3" s="248">
        <f ca="1">ROUND(B2*10000/(IF(B1="",'数据-汇总表'!E3,INDIRECT("'数据-取费表'!k"&amp;$G$1))),0)</f>
        <v>14661</v>
      </c>
      <c r="C3" s="243" t="s">
        <v>2328</v>
      </c>
      <c r="D3" s="243"/>
      <c r="E3" s="243"/>
      <c r="F3" s="243"/>
      <c r="G3" s="243"/>
    </row>
    <row r="4" spans="1:9" s="252" customFormat="1" ht="16.2">
      <c r="A4" s="249" t="s">
        <v>2329</v>
      </c>
      <c r="B4" s="250"/>
      <c r="C4" s="250"/>
      <c r="D4" s="250"/>
      <c r="E4" s="250"/>
      <c r="F4" s="250"/>
      <c r="G4" s="251"/>
    </row>
    <row r="5" spans="1:9" s="258" customFormat="1" ht="13.5" customHeight="1">
      <c r="A5" s="299" t="s">
        <v>782</v>
      </c>
      <c r="B5" s="254" t="s">
        <v>2331</v>
      </c>
      <c r="C5" s="255">
        <f ca="1">C6+C7+C8</f>
        <v>4910</v>
      </c>
      <c r="D5" s="255" t="s">
        <v>2332</v>
      </c>
      <c r="E5" s="256" t="s">
        <v>2333</v>
      </c>
      <c r="F5" s="256" t="s">
        <v>2334</v>
      </c>
      <c r="G5" s="257"/>
    </row>
    <row r="6" spans="1:9" s="258" customFormat="1" ht="13.5" customHeight="1">
      <c r="A6" s="950" t="s">
        <v>794</v>
      </c>
      <c r="B6" s="259" t="s">
        <v>2336</v>
      </c>
      <c r="C6" s="260">
        <f>[1]基准地价修正办公!$E$39</f>
        <v>4645</v>
      </c>
      <c r="D6" s="261"/>
      <c r="E6" s="262"/>
      <c r="F6" s="262"/>
      <c r="G6" s="263"/>
    </row>
    <row r="7" spans="1:9" s="258" customFormat="1" ht="13.5" customHeight="1">
      <c r="A7" s="950" t="s">
        <v>792</v>
      </c>
      <c r="B7" s="259" t="s">
        <v>2338</v>
      </c>
      <c r="C7" s="264">
        <f>ROUND(C6*F7,0)</f>
        <v>142</v>
      </c>
      <c r="D7" s="264"/>
      <c r="E7" s="262"/>
      <c r="F7" s="265">
        <f>'数据-取费表'!B48+'数据-取费表'!B49</f>
        <v>3.0499999999999999E-2</v>
      </c>
      <c r="G7" s="263"/>
    </row>
    <row r="8" spans="1:9" s="267" customFormat="1">
      <c r="A8" s="950" t="s">
        <v>2339</v>
      </c>
      <c r="B8" s="259" t="s">
        <v>2340</v>
      </c>
      <c r="C8" s="264">
        <f ca="1">IF(G8="已包含在土地购买价格中","0",IF(B1="",'数据-取费表'!B29,IF(G9="全部缴纳",C9+C10,H9)))</f>
        <v>123</v>
      </c>
      <c r="D8" s="266"/>
      <c r="E8" s="264"/>
      <c r="F8" s="265"/>
      <c r="G8" s="2550" t="s">
        <v>3349</v>
      </c>
    </row>
    <row r="9" spans="1:9" s="258" customFormat="1" ht="13.5" customHeight="1">
      <c r="A9" s="951" t="s">
        <v>800</v>
      </c>
      <c r="B9" s="268" t="s">
        <v>2341</v>
      </c>
      <c r="C9" s="269">
        <f ca="1">ROUND(D9*E9/10000,0)</f>
        <v>0</v>
      </c>
      <c r="D9" s="1033">
        <f ca="1">IF(B1="",'数据-汇总表'!E5,IF(INDIRECT("'数据-取费表'!c"&amp;$G$1)="住宅",INDIRECT("'数据-取费表'!k"&amp;$G$1),0))</f>
        <v>0</v>
      </c>
      <c r="E9" s="269">
        <f>'数据-取费表'!B27</f>
        <v>160</v>
      </c>
      <c r="F9" s="265"/>
      <c r="G9" s="2551" t="s">
        <v>3072</v>
      </c>
      <c r="H9" s="1391"/>
      <c r="I9" s="2552" t="s">
        <v>2342</v>
      </c>
    </row>
    <row r="10" spans="1:9" s="258" customFormat="1" ht="13.5" customHeight="1">
      <c r="A10" s="951" t="s">
        <v>801</v>
      </c>
      <c r="B10" s="268" t="s">
        <v>2343</v>
      </c>
      <c r="C10" s="269">
        <f ca="1">ROUND(D10*E10/10000,0)</f>
        <v>123</v>
      </c>
      <c r="D10" s="1033">
        <f ca="1">IF(B1="",'数据-汇总表'!E6,IF(INDIRECT("'数据-取费表'!c"&amp;$G$1)="住宅",INDIRECT("'数据-取费表'!s"&amp;$G$1),INDIRECT("'数据-取费表'!k"&amp;$G$1)+INDIRECT("'数据-取费表'!s"&amp;$G$1)))</f>
        <v>6157.38</v>
      </c>
      <c r="E10" s="269">
        <f>'数据-取费表'!B28</f>
        <v>200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2340</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2340</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t="str">
        <f>IF(G19="已包含在土地取得成本中","0",ROUND(D19*E19/10000,0))</f>
        <v>0</v>
      </c>
      <c r="D19" s="1037">
        <f ca="1">D9+D10</f>
        <v>6157.38</v>
      </c>
      <c r="E19" s="255">
        <f>'数据-取费表'!B31</f>
        <v>200</v>
      </c>
      <c r="F19" s="275"/>
      <c r="G19" s="2550" t="s">
        <v>3073</v>
      </c>
    </row>
    <row r="20" spans="1:7" s="258" customFormat="1" ht="13.5" customHeight="1">
      <c r="A20" s="299" t="s">
        <v>2356</v>
      </c>
      <c r="B20" s="254" t="s">
        <v>2357</v>
      </c>
      <c r="C20" s="276">
        <f ca="1">ROUND((C5+C19)*F20,0)</f>
        <v>98</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5">
        <f ca="1">ROUND(SUM(C23:C25),0)</f>
        <v>483</v>
      </c>
      <c r="D22" s="279">
        <f ca="1">C26</f>
        <v>1E-3</v>
      </c>
      <c r="E22" s="280" t="s">
        <v>2361</v>
      </c>
      <c r="F22" s="281">
        <f ca="1">'数据-取费表'!B40</f>
        <v>4.7500000000000001E-2</v>
      </c>
      <c r="G22" s="278" t="str">
        <f>IF('数据-取费表'!B22&lt;=1,"单利计息","复利计息")</f>
        <v>复利计息</v>
      </c>
    </row>
    <row r="23" spans="1:7" s="258" customFormat="1" ht="13.5" customHeight="1">
      <c r="A23" s="952" t="s">
        <v>794</v>
      </c>
      <c r="B23" s="259" t="s">
        <v>2366</v>
      </c>
      <c r="C23" s="1356">
        <f ca="1">ROUND(IF('数据-取费表'!B22&lt;=1,C5*F22*'数据-取费表'!B23,C5*(POWER((1+F22),'数据-取费表'!B23)-1)),0)</f>
        <v>478</v>
      </c>
      <c r="D23" s="282"/>
      <c r="E23" s="282"/>
      <c r="F23" s="283"/>
      <c r="G23" s="284" t="s">
        <v>2367</v>
      </c>
    </row>
    <row r="24" spans="1:7" s="258" customFormat="1" ht="13.5" customHeight="1">
      <c r="A24" s="952" t="s">
        <v>792</v>
      </c>
      <c r="B24" s="259" t="s">
        <v>2369</v>
      </c>
      <c r="C24" s="1356">
        <f ca="1">ROUND(IF('数据-取费表'!B22&lt;=1,C19*F22*('数据-取费表'!B19/2+'数据-取费表'!B21),C19*(POWER((1+F22),('数据-取费表'!B19/2+'数据-取费表'!B21))-1)),0)</f>
        <v>0</v>
      </c>
      <c r="D24" s="282"/>
      <c r="E24" s="282"/>
      <c r="F24" s="283"/>
      <c r="G24" s="284" t="s">
        <v>2370</v>
      </c>
    </row>
    <row r="25" spans="1:7" s="258" customFormat="1" ht="24">
      <c r="A25" s="952" t="s">
        <v>2339</v>
      </c>
      <c r="B25" s="259" t="s">
        <v>2372</v>
      </c>
      <c r="C25" s="1356">
        <f ca="1">ROUND(IF('数据-取费表'!B22&lt;=1,C20*F22*'数据-取费表'!B23/2,C20*(POWER((1+F22),'数据-取费表'!B23/2)-1)),0)</f>
        <v>5</v>
      </c>
      <c r="D25" s="282"/>
      <c r="E25" s="285"/>
      <c r="F25" s="283"/>
      <c r="G25" s="286" t="s">
        <v>2373</v>
      </c>
    </row>
    <row r="26" spans="1:7" s="258" customFormat="1">
      <c r="A26" s="952" t="s">
        <v>795</v>
      </c>
      <c r="B26" s="259" t="s">
        <v>2374</v>
      </c>
      <c r="C26" s="282">
        <f ca="1">ROUND(IF('数据-取费表'!B22&lt;=1,F21*F22*'数据-取费表'!B23/2,F21*(POWER((1+F22),'数据-取费表'!B23/2)-1)),4)</f>
        <v>1E-3</v>
      </c>
      <c r="D26" s="282"/>
      <c r="E26" s="285"/>
      <c r="F26" s="283"/>
      <c r="G26" s="287"/>
    </row>
    <row r="27" spans="1:7" s="258" customFormat="1" ht="26.4">
      <c r="A27" s="299" t="s">
        <v>2375</v>
      </c>
      <c r="B27" s="288" t="s">
        <v>2376</v>
      </c>
      <c r="C27" s="289">
        <f ca="1">C28</f>
        <v>250</v>
      </c>
      <c r="D27" s="279">
        <f ca="1">C29</f>
        <v>1E-3</v>
      </c>
      <c r="E27" s="280" t="s">
        <v>2361</v>
      </c>
      <c r="F27" s="290">
        <f ca="1">IF(B1="",'数据-取费表'!Q16,INDIRECT("'数据-取费表'!q"&amp;$G$1))</f>
        <v>0.05</v>
      </c>
      <c r="G27" s="291" t="s">
        <v>2378</v>
      </c>
    </row>
    <row r="28" spans="1:7" s="258" customFormat="1" ht="13.5" customHeight="1">
      <c r="A28" s="952" t="s">
        <v>791</v>
      </c>
      <c r="B28" s="292" t="s">
        <v>2379</v>
      </c>
      <c r="C28" s="293">
        <f ca="1">ROUND((C5+C19+C20)*F27*'数据-取费表'!B21/'数据-取费表'!B20,0)</f>
        <v>250</v>
      </c>
      <c r="D28" s="279"/>
      <c r="E28" s="280"/>
      <c r="F28" s="290"/>
      <c r="G28" s="291"/>
    </row>
    <row r="29" spans="1:7" s="258" customFormat="1" ht="13.5" customHeight="1">
      <c r="A29" s="952" t="s">
        <v>792</v>
      </c>
      <c r="B29" s="292" t="s">
        <v>2380</v>
      </c>
      <c r="C29" s="282">
        <f ca="1">ROUND(C21*F27*'数据-取费表'!B21/'数据-取费表'!B20,4)</f>
        <v>1E-3</v>
      </c>
      <c r="D29" s="279"/>
      <c r="E29" s="280"/>
      <c r="F29" s="290"/>
      <c r="G29" s="291"/>
    </row>
    <row r="30" spans="1:7" s="258" customFormat="1" ht="13.5" customHeight="1">
      <c r="A30" s="299" t="s">
        <v>2381</v>
      </c>
      <c r="B30" s="254" t="s">
        <v>2382</v>
      </c>
      <c r="C30" s="279">
        <f>ROUND(F30/(1+'数据-取费表'!C42),4)</f>
        <v>5.33E-2</v>
      </c>
      <c r="D30" s="280" t="s">
        <v>2361</v>
      </c>
      <c r="E30" s="285"/>
      <c r="F30" s="281">
        <f>'数据-取费表'!B41</f>
        <v>5.6000000000000001E-2</v>
      </c>
      <c r="G30" s="278" t="s">
        <v>2383</v>
      </c>
    </row>
    <row r="31" spans="1:7" ht="16.5" customHeight="1">
      <c r="A31" s="253">
        <v>1</v>
      </c>
      <c r="B31" s="254" t="s">
        <v>2384</v>
      </c>
      <c r="C31" s="255">
        <f ca="1">ROUND((C5+C19+C20+C22+C27)/(1-C21-D22-D27-C30),0)</f>
        <v>6209</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2396</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2155</v>
      </c>
      <c r="D34" s="261"/>
      <c r="E34" s="264"/>
      <c r="F34" s="301">
        <f ca="1">IF('数据-取费表'!B24=0,1,IF(B1="",'数据-取费表'!N16,INDIRECT("'数据-取费表'!n"&amp;$G$1)))</f>
        <v>1</v>
      </c>
      <c r="G34" s="263" t="s">
        <v>2389</v>
      </c>
    </row>
    <row r="35" spans="1:7" ht="13.5" customHeight="1">
      <c r="A35" s="952" t="s">
        <v>796</v>
      </c>
      <c r="B35" s="259" t="s">
        <v>2390</v>
      </c>
      <c r="C35" s="264">
        <f ca="1">ROUND(C34*F35,0)</f>
        <v>86</v>
      </c>
      <c r="D35" s="264"/>
      <c r="E35" s="264"/>
      <c r="F35" s="303">
        <f>'数据-取费表'!B33</f>
        <v>0.04</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2" t="s">
        <v>798</v>
      </c>
      <c r="B37" s="259" t="s">
        <v>2394</v>
      </c>
      <c r="C37" s="293">
        <f ca="1">ROUND(E37*D37*F34/10000,0)</f>
        <v>123</v>
      </c>
      <c r="D37" s="261">
        <f ca="1">D19</f>
        <v>6157.38</v>
      </c>
      <c r="E37" s="293">
        <f>'数据-取费表'!B35</f>
        <v>200</v>
      </c>
      <c r="F37" s="303"/>
      <c r="G37" s="305" t="s">
        <v>2395</v>
      </c>
    </row>
    <row r="38" spans="1:7" ht="13.5" customHeight="1">
      <c r="A38" s="952" t="s">
        <v>799</v>
      </c>
      <c r="B38" s="259" t="s">
        <v>2396</v>
      </c>
      <c r="C38" s="264">
        <f ca="1">ROUND(C34*F38,0)</f>
        <v>32</v>
      </c>
      <c r="D38" s="264"/>
      <c r="E38" s="264"/>
      <c r="F38" s="303">
        <f>'数据-取费表'!B36</f>
        <v>1.4999999999999999E-2</v>
      </c>
      <c r="G38" s="263" t="s">
        <v>2391</v>
      </c>
    </row>
    <row r="39" spans="1:7" s="258" customFormat="1" ht="13.5" customHeight="1">
      <c r="A39" s="299" t="s">
        <v>2354</v>
      </c>
      <c r="B39" s="254" t="s">
        <v>2357</v>
      </c>
      <c r="C39" s="276">
        <f ca="1">ROUND(C33*F20,0)</f>
        <v>48</v>
      </c>
      <c r="D39" s="276"/>
      <c r="E39" s="276"/>
      <c r="F39" s="277"/>
      <c r="G39" s="278" t="s">
        <v>2399</v>
      </c>
    </row>
    <row r="40" spans="1:7" s="258" customFormat="1" ht="13.5" customHeight="1">
      <c r="A40" s="299" t="s">
        <v>2356</v>
      </c>
      <c r="B40" s="254" t="s">
        <v>2360</v>
      </c>
      <c r="C40" s="1729">
        <f>F21</f>
        <v>0.02</v>
      </c>
      <c r="D40" s="280" t="s">
        <v>2402</v>
      </c>
      <c r="E40" s="276"/>
      <c r="F40" s="277"/>
      <c r="G40" s="278" t="s">
        <v>2403</v>
      </c>
    </row>
    <row r="41" spans="1:7" s="258" customFormat="1" ht="13.5" customHeight="1">
      <c r="A41" s="299" t="s">
        <v>2359</v>
      </c>
      <c r="B41" s="254" t="s">
        <v>2364</v>
      </c>
      <c r="C41" s="276">
        <f ca="1">ROUND(SUM(C42:C43),0)</f>
        <v>116</v>
      </c>
      <c r="D41" s="279">
        <f ca="1">C44</f>
        <v>1E-3</v>
      </c>
      <c r="E41" s="280" t="s">
        <v>2402</v>
      </c>
      <c r="F41" s="281"/>
      <c r="G41" s="278" t="str">
        <f>IF('数据-取费表'!B22&lt;=1,"单利计息","复利计息")</f>
        <v>复利计息</v>
      </c>
    </row>
    <row r="42" spans="1:7" ht="13.5" customHeight="1">
      <c r="A42" s="952" t="s">
        <v>791</v>
      </c>
      <c r="B42" s="259" t="s">
        <v>2366</v>
      </c>
      <c r="C42" s="282">
        <f ca="1">ROUND(IF('数据-取费表'!B22&lt;=1,C33*F22*'数据-取费表'!B21/2,C33*(POWER((1+F22),'数据-取费表'!B21/2)-1)),0)</f>
        <v>114</v>
      </c>
      <c r="D42" s="282"/>
      <c r="E42" s="282"/>
      <c r="F42" s="283"/>
      <c r="G42" s="3559" t="s">
        <v>2407</v>
      </c>
    </row>
    <row r="43" spans="1:7" ht="13.5" customHeight="1">
      <c r="A43" s="952" t="s">
        <v>792</v>
      </c>
      <c r="B43" s="259" t="s">
        <v>2369</v>
      </c>
      <c r="C43" s="282">
        <f ca="1">ROUND(IF('数据-取费表'!B22&lt;=1,C39*F22*'数据-取费表'!B21/2,C39*(POWER((1+F22),'数据-取费表'!B21/2)-1)),0)</f>
        <v>2</v>
      </c>
      <c r="D43" s="282"/>
      <c r="E43" s="282"/>
      <c r="F43" s="283"/>
      <c r="G43" s="3560"/>
    </row>
    <row r="44" spans="1:7" ht="13.5" customHeight="1">
      <c r="A44" s="952" t="s">
        <v>793</v>
      </c>
      <c r="B44" s="259" t="s">
        <v>2372</v>
      </c>
      <c r="C44" s="282">
        <f ca="1">ROUND(IF('数据-取费表'!B22&lt;=1,C40*F22*'数据-取费表'!B21/2,C40*(POWER((1+F22),'数据-取费表'!B21/2)-1)),4)</f>
        <v>1E-3</v>
      </c>
      <c r="D44" s="282"/>
      <c r="E44" s="282"/>
      <c r="F44" s="283"/>
      <c r="G44" s="3561"/>
    </row>
    <row r="45" spans="1:7" s="258" customFormat="1" ht="13.5" customHeight="1">
      <c r="A45" s="299" t="s">
        <v>2363</v>
      </c>
      <c r="B45" s="288" t="s">
        <v>2376</v>
      </c>
      <c r="C45" s="289">
        <f ca="1">C46</f>
        <v>122</v>
      </c>
      <c r="D45" s="279">
        <f ca="1">C47</f>
        <v>1E-3</v>
      </c>
      <c r="E45" s="280" t="s">
        <v>2402</v>
      </c>
      <c r="F45" s="290"/>
      <c r="G45" s="291" t="s">
        <v>2411</v>
      </c>
    </row>
    <row r="46" spans="1:7" s="258" customFormat="1" ht="13.5" customHeight="1">
      <c r="A46" s="952" t="s">
        <v>791</v>
      </c>
      <c r="B46" s="292" t="s">
        <v>2412</v>
      </c>
      <c r="C46" s="293">
        <f ca="1">ROUND((C33+C39)*F27,0)</f>
        <v>122</v>
      </c>
      <c r="D46" s="307"/>
      <c r="E46" s="280"/>
      <c r="F46" s="290"/>
      <c r="G46" s="291"/>
    </row>
    <row r="47" spans="1:7" s="258" customFormat="1" ht="13.5" customHeight="1">
      <c r="A47" s="952" t="s">
        <v>792</v>
      </c>
      <c r="B47" s="292" t="s">
        <v>2413</v>
      </c>
      <c r="C47" s="282">
        <f ca="1">ROUND(C40*F27,4)</f>
        <v>1E-3</v>
      </c>
      <c r="D47" s="307"/>
      <c r="E47" s="280"/>
      <c r="F47" s="290"/>
      <c r="G47" s="291"/>
    </row>
    <row r="48" spans="1:7" s="258" customFormat="1" ht="13.5" customHeight="1">
      <c r="A48" s="299" t="s">
        <v>2375</v>
      </c>
      <c r="B48" s="254" t="s">
        <v>2414</v>
      </c>
      <c r="C48" s="1729">
        <f>ROUND(F30/(1+'数据-取费表'!C42),4)</f>
        <v>5.33E-2</v>
      </c>
      <c r="D48" s="280" t="s">
        <v>2402</v>
      </c>
      <c r="E48" s="276"/>
      <c r="F48" s="281"/>
      <c r="G48" s="278" t="s">
        <v>2415</v>
      </c>
    </row>
    <row r="49" spans="1:7" ht="16.5" customHeight="1">
      <c r="A49" s="299" t="s">
        <v>2381</v>
      </c>
      <c r="B49" s="254" t="s">
        <v>2416</v>
      </c>
      <c r="C49" s="276">
        <f ca="1">ROUND((C33+C39+C41+C45)/(1-C40-D41-D45-C48),0)</f>
        <v>2900</v>
      </c>
      <c r="D49" s="276"/>
      <c r="E49" s="276"/>
      <c r="F49" s="308"/>
      <c r="G49" s="278" t="s">
        <v>2417</v>
      </c>
    </row>
    <row r="50" spans="1:7" s="302" customFormat="1" ht="24">
      <c r="A50" s="299" t="s">
        <v>2418</v>
      </c>
      <c r="B50" s="254" t="s">
        <v>2419</v>
      </c>
      <c r="C50" s="276"/>
      <c r="D50" s="276"/>
      <c r="E50" s="276"/>
      <c r="F50" s="308">
        <f>IF('数据-取费表'!B24=0,'数据-取费表'!N16,1)</f>
        <v>0.93</v>
      </c>
      <c r="G50" s="291" t="s">
        <v>2420</v>
      </c>
    </row>
    <row r="51" spans="1:7" ht="16.5" customHeight="1">
      <c r="A51" s="299" t="s">
        <v>2421</v>
      </c>
      <c r="B51" s="254" t="s">
        <v>2422</v>
      </c>
      <c r="C51" s="276">
        <f ca="1">ROUND(C49*F50,0)</f>
        <v>2697</v>
      </c>
      <c r="D51" s="276"/>
      <c r="E51" s="276"/>
      <c r="F51" s="308"/>
      <c r="G51" s="278" t="s">
        <v>2423</v>
      </c>
    </row>
    <row r="52" spans="1:7" s="252" customFormat="1" ht="16.8" thickBot="1">
      <c r="A52" s="309" t="s">
        <v>2424</v>
      </c>
      <c r="B52" s="310"/>
      <c r="C52" s="311">
        <f ca="1">C31+C51</f>
        <v>8906</v>
      </c>
      <c r="D52" s="310"/>
      <c r="E52" s="310"/>
      <c r="F52" s="310"/>
      <c r="G52" s="312"/>
    </row>
    <row r="55" spans="1:7" ht="15">
      <c r="B55" s="314" t="s">
        <v>2425</v>
      </c>
      <c r="C55" s="315"/>
    </row>
    <row r="56" spans="1:7">
      <c r="B56" s="317" t="s">
        <v>1513</v>
      </c>
      <c r="C56" s="319">
        <f ca="1">1-C57</f>
        <v>0.69700000000000006</v>
      </c>
    </row>
    <row r="57" spans="1:7">
      <c r="B57" s="317" t="s">
        <v>1514</v>
      </c>
      <c r="C57" s="318">
        <f ca="1">ROUND(C51/C52,3)</f>
        <v>0.30299999999999999</v>
      </c>
    </row>
    <row r="66" spans="4:4">
      <c r="D66" s="3236"/>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G67" sqref="G67"/>
    </sheetView>
  </sheetViews>
  <sheetFormatPr defaultColWidth="12" defaultRowHeight="13.2"/>
  <cols>
    <col min="1" max="1" width="9.77734375" style="2796" customWidth="1"/>
    <col min="2" max="2" width="19.21875" style="2902" customWidth="1"/>
    <col min="3" max="4" width="12" style="2720"/>
    <col min="5" max="5" width="14.6640625" style="2720" customWidth="1"/>
    <col min="6" max="8" width="12" style="2720"/>
    <col min="9" max="9" width="12.21875" style="2720" bestFit="1" customWidth="1"/>
    <col min="10" max="10" width="12" style="2720"/>
    <col min="11" max="11" width="8.109375" style="2788" customWidth="1"/>
    <col min="12" max="12" width="12" style="2720"/>
    <col min="13" max="13" width="8.44140625" style="2720" customWidth="1"/>
    <col min="14" max="14" width="9.77734375" style="2720" customWidth="1"/>
    <col min="15" max="25" width="12" style="2720"/>
    <col min="26" max="26" width="9.33203125" style="2796" customWidth="1"/>
    <col min="27" max="32" width="9.33203125" style="1373" customWidth="1"/>
    <col min="33" max="36" width="9.33203125" style="2796" customWidth="1"/>
    <col min="37" max="38" width="9.33203125" style="2720" customWidth="1"/>
    <col min="39" max="16384" width="12" style="2720"/>
  </cols>
  <sheetData>
    <row r="1" spans="1:36" ht="31.2">
      <c r="A1" s="240" t="s">
        <v>2801</v>
      </c>
      <c r="B1" s="241"/>
      <c r="C1" s="245" t="s">
        <v>2802</v>
      </c>
      <c r="D1" s="388">
        <f>SUM(D29:D30,D33:D39)</f>
        <v>28348.019999999997</v>
      </c>
      <c r="E1" s="2717"/>
      <c r="F1" s="2717"/>
      <c r="G1" s="2717"/>
      <c r="H1" s="2717"/>
      <c r="I1" s="2717"/>
      <c r="J1" s="2717"/>
      <c r="K1" s="1371"/>
      <c r="L1" s="2718" t="s">
        <v>2803</v>
      </c>
      <c r="M1" s="1081">
        <f>SUMPRODUCT((区片价!B5:B9=I2)*(区片价!C3:F3=E2)*(区片价!C5:F9))</f>
        <v>0</v>
      </c>
      <c r="N1" s="1084">
        <f>SUMPRODUCT((因素修正幅度!B5:B9=I2)*(因素修正幅度!C3:F3=E2)*(因素修正幅度!C5:F9))</f>
        <v>0</v>
      </c>
      <c r="O1" s="2719"/>
      <c r="P1" s="2719"/>
      <c r="Q1" s="1371"/>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6">
      <c r="A2" s="245" t="s">
        <v>2809</v>
      </c>
      <c r="B2" s="248">
        <f ca="1">C26</f>
        <v>63469</v>
      </c>
      <c r="C2" s="2721" t="s">
        <v>2810</v>
      </c>
      <c r="D2" s="2722" t="s">
        <v>2811</v>
      </c>
      <c r="E2" s="2723" t="s">
        <v>27</v>
      </c>
      <c r="F2" s="2722" t="s">
        <v>2812</v>
      </c>
      <c r="G2" s="2724" t="str">
        <f>IF(E2="商业",项目基本情况!B37,IF(E2="办公",项目基本情况!C37,IF(E2="住宅",项目基本情况!D37,项目基本情况!E37)))</f>
        <v>二级</v>
      </c>
      <c r="H2" s="2722" t="s">
        <v>2813</v>
      </c>
      <c r="I2" s="2724" t="str">
        <f>IF(E2="商业",项目基本情况!B38,IF(E2="办公",项目基本情况!C38,IF(E2="住宅",项目基本情况!D38,项目基本情况!E38)))</f>
        <v>Ⅱ—17</v>
      </c>
      <c r="J2" s="2725"/>
      <c r="K2" s="1371"/>
      <c r="L2" s="2726" t="s">
        <v>2814</v>
      </c>
      <c r="M2" s="1082">
        <f>SUMPRODUCT((区片价!B10:B28=I2)*(区片价!C3:F3=E2)*(区片价!C10:F28))</f>
        <v>23900</v>
      </c>
      <c r="N2" s="1084">
        <f>SUMPRODUCT((因素修正幅度!B10:B28=I2)*(因素修正幅度!C3:F3=E2)*(因素修正幅度!C10:F28))</f>
        <v>9.6000000000000002E-2</v>
      </c>
      <c r="O2" s="1371"/>
      <c r="P2" s="1371"/>
      <c r="Q2" s="1371"/>
      <c r="R2" s="1603">
        <v>1</v>
      </c>
      <c r="S2" s="1603">
        <f>ROUND(IF(G3&gt;1,IF(R2&lt;7,SUMPRODUCT((B93:B98=R2)*(C92:N92=G2)*(C93:N98)),SUMIF(C92:N92,G2,C100:N100)),IF(R2&lt;7,SUMPRODUCT((B102:B107=R2)*(C92:N92=G2)*(C102:N107)),SUMIF(C92:N92,G2,C109:N109))),4)</f>
        <v>1.9361999999999999</v>
      </c>
      <c r="T2" s="1603">
        <f ca="1">ROUND($C$5*$C$18*$C$19*$C$20*S2*$C$24,0)</f>
        <v>59250</v>
      </c>
      <c r="U2" s="1604"/>
      <c r="V2" s="1603">
        <f ca="1">ROUND(T2*U2/10000,0)</f>
        <v>0</v>
      </c>
      <c r="W2" s="1607"/>
      <c r="X2" s="1607"/>
      <c r="Y2" s="1607"/>
      <c r="Z2" s="1607"/>
      <c r="AA2" s="1607"/>
      <c r="AB2" s="1607"/>
      <c r="AC2" s="1608"/>
      <c r="AD2" s="1609"/>
      <c r="AE2" s="1609"/>
      <c r="AF2" s="1609"/>
      <c r="AG2" s="1609"/>
      <c r="AH2" s="1609"/>
      <c r="AI2" s="1609"/>
      <c r="AJ2" s="1610"/>
    </row>
    <row r="3" spans="1:36" ht="26.4">
      <c r="A3" s="247" t="s">
        <v>2815</v>
      </c>
      <c r="B3" s="248">
        <f ca="1">ROUND(B2*10000/D1,0)</f>
        <v>22389</v>
      </c>
      <c r="C3" s="2721" t="s">
        <v>2816</v>
      </c>
      <c r="D3" s="2722" t="s">
        <v>2817</v>
      </c>
      <c r="E3" s="2727" t="s">
        <v>3071</v>
      </c>
      <c r="F3" s="2728" t="s">
        <v>3070</v>
      </c>
      <c r="G3" s="914">
        <f>IF(F3="宗地容积率",'数据-汇总表'!I4,IF(F3="估价对象容积率",'数据-汇总表'!I6,'数据-汇总表'!I7))</f>
        <v>7.5</v>
      </c>
      <c r="H3" s="198" t="s">
        <v>2818</v>
      </c>
      <c r="I3" s="945"/>
      <c r="J3" s="2725" t="s">
        <v>2819</v>
      </c>
      <c r="K3" s="1371"/>
      <c r="L3" s="2726" t="s">
        <v>2820</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1.4198</v>
      </c>
      <c r="T3" s="1603">
        <f t="shared" ref="T3:T16" ca="1" si="0">ROUND($C$5*$C$18*$C$19*$C$20*S3*$C$24,0)</f>
        <v>43447</v>
      </c>
      <c r="U3" s="1604"/>
      <c r="V3" s="1603">
        <f t="shared" ref="V3:V16" ca="1" si="1">ROUND(T3*U3/10000,0)</f>
        <v>0</v>
      </c>
      <c r="W3" s="1607"/>
      <c r="X3" s="1607"/>
      <c r="Y3" s="1607"/>
      <c r="Z3" s="1607"/>
      <c r="AA3" s="1607"/>
      <c r="AB3" s="1607"/>
      <c r="AC3" s="1608"/>
      <c r="AD3" s="1609"/>
      <c r="AE3" s="1609"/>
      <c r="AF3" s="1609"/>
      <c r="AG3" s="1609"/>
      <c r="AH3" s="1609"/>
      <c r="AI3" s="1609"/>
      <c r="AJ3" s="1610"/>
    </row>
    <row r="4" spans="1:36" ht="15.6">
      <c r="A4" s="3673"/>
      <c r="B4" s="3674"/>
      <c r="C4" s="3674"/>
      <c r="D4" s="3675"/>
      <c r="E4" s="3675"/>
      <c r="F4" s="3675"/>
      <c r="G4" s="3675"/>
      <c r="H4" s="3675"/>
      <c r="I4" s="3675"/>
      <c r="J4" s="3676"/>
      <c r="K4" s="1371"/>
      <c r="L4" s="2726" t="s">
        <v>2821</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1.1594</v>
      </c>
      <c r="T4" s="1603">
        <f t="shared" ca="1" si="0"/>
        <v>35479</v>
      </c>
      <c r="U4" s="1604"/>
      <c r="V4" s="1603">
        <f t="shared" ca="1" si="1"/>
        <v>0</v>
      </c>
      <c r="W4" s="1607"/>
      <c r="X4" s="1607"/>
      <c r="Y4" s="1607"/>
      <c r="Z4" s="1607"/>
      <c r="AA4" s="1607"/>
      <c r="AB4" s="1607"/>
      <c r="AC4" s="1608"/>
      <c r="AD4" s="1609"/>
      <c r="AE4" s="1609"/>
      <c r="AF4" s="1609"/>
      <c r="AG4" s="1609"/>
      <c r="AH4" s="1609"/>
      <c r="AI4" s="1609"/>
      <c r="AJ4" s="1610"/>
    </row>
    <row r="5" spans="1:36" s="2738" customFormat="1" ht="15.6" thickBot="1">
      <c r="A5" s="2729" t="s">
        <v>807</v>
      </c>
      <c r="B5" s="2730" t="s">
        <v>2822</v>
      </c>
      <c r="C5" s="915">
        <f>ROUND(IF(E2="商业",IF(F16="增加",C6*C7+C16,C6*C7-C16),IF(E2="住宅",IF(F16="增加",C6*C12+C16,C6*C12-C16),IF(F16="增加",C6+C16,C6-C16))),0)</f>
        <v>23883</v>
      </c>
      <c r="D5" s="1788">
        <f>ROUND(IF(E2="商业",IF(F16="增加",C6+C16,C6-C16)),0)</f>
        <v>0</v>
      </c>
      <c r="E5" s="2731"/>
      <c r="F5" s="2731"/>
      <c r="G5" s="2732"/>
      <c r="H5" s="2732"/>
      <c r="I5" s="2732"/>
      <c r="J5" s="2733"/>
      <c r="K5" s="2734"/>
      <c r="L5" s="2726" t="s">
        <v>2823</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0.96220000000000006</v>
      </c>
      <c r="T5" s="1603">
        <f t="shared" ca="1" si="0"/>
        <v>29444</v>
      </c>
      <c r="U5" s="1604"/>
      <c r="V5" s="1603">
        <f t="shared" ca="1" si="1"/>
        <v>0</v>
      </c>
      <c r="W5" s="1607"/>
      <c r="X5" s="1607"/>
      <c r="Y5" s="1607"/>
      <c r="Z5" s="1607"/>
      <c r="AA5" s="1607"/>
      <c r="AB5" s="1607"/>
      <c r="AC5" s="2735"/>
      <c r="AD5" s="2736"/>
      <c r="AE5" s="2736"/>
      <c r="AF5" s="2736"/>
      <c r="AG5" s="2736"/>
      <c r="AH5" s="2736"/>
      <c r="AI5" s="2736"/>
      <c r="AJ5" s="2737"/>
    </row>
    <row r="6" spans="1:36" ht="15.6" thickBot="1">
      <c r="A6" s="2739" t="s">
        <v>2824</v>
      </c>
      <c r="B6" s="2740" t="s">
        <v>2825</v>
      </c>
      <c r="C6" s="916">
        <f>SUMIF(L1:L12,G2,M1:M12)</f>
        <v>23900</v>
      </c>
      <c r="D6" s="2741" t="s">
        <v>2826</v>
      </c>
      <c r="E6" s="2742"/>
      <c r="F6" s="2742"/>
      <c r="G6" s="2743"/>
      <c r="H6" s="2743"/>
      <c r="I6" s="2743"/>
      <c r="J6" s="2744"/>
      <c r="K6" s="1843"/>
      <c r="L6" s="2726" t="s">
        <v>2827</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0.8417</v>
      </c>
      <c r="T6" s="1603">
        <f t="shared" ca="1" si="0"/>
        <v>25757</v>
      </c>
      <c r="U6" s="1604"/>
      <c r="V6" s="1603">
        <f t="shared" ca="1" si="1"/>
        <v>0</v>
      </c>
      <c r="W6" s="1607"/>
      <c r="X6" s="1607"/>
      <c r="Y6" s="1607"/>
      <c r="Z6" s="1607"/>
      <c r="AA6" s="1607"/>
      <c r="AB6" s="1607"/>
      <c r="AC6" s="2735"/>
      <c r="AD6" s="2736"/>
      <c r="AE6" s="2736"/>
      <c r="AF6" s="2736"/>
      <c r="AG6" s="2736"/>
      <c r="AH6" s="2736"/>
      <c r="AI6" s="2736"/>
      <c r="AJ6" s="2737"/>
    </row>
    <row r="7" spans="1:36" ht="24">
      <c r="A7" s="3659" t="str">
        <f>IF(E2="商业",IF(C8="不临58条商业街","",2),"")</f>
        <v/>
      </c>
      <c r="B7" s="2745" t="s">
        <v>2828</v>
      </c>
      <c r="C7" s="917">
        <f>IF(C8="不临58条商业街",1,ROUND(1+(1.6*E8+1.2*E9+0.8*E10+0.4*E11)*C9,4))</f>
        <v>1</v>
      </c>
      <c r="D7" s="2746" t="s">
        <v>2829</v>
      </c>
      <c r="E7" s="946"/>
      <c r="F7" s="2747"/>
      <c r="G7" s="2748"/>
      <c r="H7" s="2748"/>
      <c r="I7" s="2748"/>
      <c r="J7" s="2749"/>
      <c r="K7" s="1843"/>
      <c r="L7" s="2726" t="s">
        <v>2830</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0.76080000000000003</v>
      </c>
      <c r="T7" s="1603">
        <f t="shared" ca="1" si="0"/>
        <v>23281</v>
      </c>
      <c r="U7" s="1604"/>
      <c r="V7" s="1603">
        <f t="shared" ca="1" si="1"/>
        <v>0</v>
      </c>
      <c r="W7" s="2956" t="s">
        <v>2831</v>
      </c>
      <c r="X7" s="1605" t="str">
        <f>G2</f>
        <v>二级</v>
      </c>
      <c r="Y7" s="1605" t="s">
        <v>2832</v>
      </c>
      <c r="Z7" s="1606">
        <f>G3</f>
        <v>7.5</v>
      </c>
      <c r="AA7" s="1607"/>
      <c r="AB7" s="1607"/>
      <c r="AC7" s="1608"/>
      <c r="AD7" s="1609"/>
      <c r="AE7" s="1609"/>
      <c r="AF7" s="1609"/>
      <c r="AG7" s="1609"/>
      <c r="AH7" s="1609"/>
      <c r="AI7" s="1609"/>
      <c r="AJ7" s="1610"/>
    </row>
    <row r="8" spans="1:36" ht="26.4">
      <c r="A8" s="3660"/>
      <c r="B8" s="198" t="s">
        <v>2833</v>
      </c>
      <c r="C8" s="2750" t="s">
        <v>3067</v>
      </c>
      <c r="D8" s="918" t="s">
        <v>139</v>
      </c>
      <c r="E8" s="919" t="e">
        <f>ROUND(C11/E7,4)</f>
        <v>#DIV/0!</v>
      </c>
      <c r="F8" s="2751" t="s">
        <v>2834</v>
      </c>
      <c r="G8" s="2752"/>
      <c r="H8" s="2752"/>
      <c r="I8" s="2752"/>
      <c r="J8" s="2753"/>
      <c r="K8" s="1371"/>
      <c r="L8" s="2726" t="s">
        <v>2835</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670" t="s">
        <v>2836</v>
      </c>
      <c r="X8" s="3671"/>
      <c r="Y8" s="1611" t="s">
        <v>2837</v>
      </c>
      <c r="Z8" s="1611" t="s">
        <v>2838</v>
      </c>
      <c r="AA8" s="1611" t="s">
        <v>2839</v>
      </c>
      <c r="AB8" s="1611" t="s">
        <v>2840</v>
      </c>
      <c r="AC8" s="1611" t="s">
        <v>2841</v>
      </c>
      <c r="AD8" s="1611" t="s">
        <v>2842</v>
      </c>
      <c r="AE8" s="1611" t="s">
        <v>2843</v>
      </c>
      <c r="AF8" s="1611" t="s">
        <v>2844</v>
      </c>
      <c r="AG8" s="1611" t="s">
        <v>2845</v>
      </c>
      <c r="AH8" s="1611" t="s">
        <v>2846</v>
      </c>
      <c r="AI8" s="1611" t="s">
        <v>2847</v>
      </c>
      <c r="AJ8" s="1611" t="s">
        <v>2848</v>
      </c>
    </row>
    <row r="9" spans="1:36" ht="15">
      <c r="A9" s="3660"/>
      <c r="B9" s="198" t="s">
        <v>2849</v>
      </c>
      <c r="C9" s="920">
        <f>SUMIF(修正!C59:C119,C8,修正!E59:E119)</f>
        <v>0</v>
      </c>
      <c r="D9" s="200" t="s">
        <v>140</v>
      </c>
      <c r="E9" s="200" t="e">
        <f>ROUND(C11/E7,4)</f>
        <v>#DIV/0!</v>
      </c>
      <c r="F9" s="2751" t="s">
        <v>2850</v>
      </c>
      <c r="G9" s="2752"/>
      <c r="H9" s="2752"/>
      <c r="I9" s="2752"/>
      <c r="J9" s="2753"/>
      <c r="K9" s="1371"/>
      <c r="L9" s="2726" t="s">
        <v>2851</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672" t="s">
        <v>2852</v>
      </c>
      <c r="X9" s="1612" t="s">
        <v>2853</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660"/>
      <c r="B10" s="198" t="s">
        <v>2854</v>
      </c>
      <c r="C10" s="200">
        <f>SUMIF(修正!C59:C119,C8,修正!F59:F119)</f>
        <v>0</v>
      </c>
      <c r="D10" s="200" t="s">
        <v>141</v>
      </c>
      <c r="E10" s="200" t="e">
        <f>ROUND(C11/E7,4)</f>
        <v>#DIV/0!</v>
      </c>
      <c r="F10" s="2751" t="s">
        <v>2855</v>
      </c>
      <c r="G10" s="2752"/>
      <c r="H10" s="2752"/>
      <c r="I10" s="2752"/>
      <c r="J10" s="2753"/>
      <c r="K10" s="1371"/>
      <c r="L10" s="2726" t="s">
        <v>2856</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67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6" thickBot="1">
      <c r="A11" s="3660"/>
      <c r="B11" s="2754" t="s">
        <v>2857</v>
      </c>
      <c r="C11" s="921">
        <f>C10/4</f>
        <v>0</v>
      </c>
      <c r="D11" s="921" t="s">
        <v>142</v>
      </c>
      <c r="E11" s="921" t="e">
        <f>ROUND(C11/E7,4)</f>
        <v>#DIV/0!</v>
      </c>
      <c r="F11" s="2755" t="s">
        <v>2858</v>
      </c>
      <c r="G11" s="2756"/>
      <c r="H11" s="2756"/>
      <c r="I11" s="2756"/>
      <c r="J11" s="2757"/>
      <c r="K11" s="1371"/>
      <c r="L11" s="2726" t="s">
        <v>2859</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672" t="s">
        <v>2860</v>
      </c>
      <c r="X11" s="1615" t="s">
        <v>2832</v>
      </c>
      <c r="Y11" s="1616">
        <f>$G$3</f>
        <v>7.5</v>
      </c>
      <c r="Z11" s="1616">
        <f t="shared" ref="Z11:AJ11" si="3">$G$3</f>
        <v>7.5</v>
      </c>
      <c r="AA11" s="1616">
        <f t="shared" si="3"/>
        <v>7.5</v>
      </c>
      <c r="AB11" s="1616">
        <f t="shared" si="3"/>
        <v>7.5</v>
      </c>
      <c r="AC11" s="1616">
        <f t="shared" si="3"/>
        <v>7.5</v>
      </c>
      <c r="AD11" s="1616">
        <f t="shared" si="3"/>
        <v>7.5</v>
      </c>
      <c r="AE11" s="1616">
        <f t="shared" si="3"/>
        <v>7.5</v>
      </c>
      <c r="AF11" s="1616">
        <f t="shared" si="3"/>
        <v>7.5</v>
      </c>
      <c r="AG11" s="1616">
        <f t="shared" si="3"/>
        <v>7.5</v>
      </c>
      <c r="AH11" s="1616">
        <f t="shared" si="3"/>
        <v>7.5</v>
      </c>
      <c r="AI11" s="1616">
        <f t="shared" si="3"/>
        <v>7.5</v>
      </c>
      <c r="AJ11" s="1616">
        <f t="shared" si="3"/>
        <v>7.5</v>
      </c>
    </row>
    <row r="12" spans="1:36" ht="25.8" thickBot="1">
      <c r="A12" s="3659" t="s">
        <v>2862</v>
      </c>
      <c r="B12" s="2758" t="s">
        <v>2863</v>
      </c>
      <c r="C12" s="917">
        <f>ROUND(C15*D15*E15*F15*G15*H15*I15*J15,4)</f>
        <v>1</v>
      </c>
      <c r="D12" s="2759" t="s">
        <v>2864</v>
      </c>
      <c r="E12" s="2760"/>
      <c r="F12" s="2760"/>
      <c r="G12" s="2761"/>
      <c r="H12" s="2761"/>
      <c r="I12" s="2761"/>
      <c r="J12" s="2762"/>
      <c r="K12" s="1371"/>
      <c r="L12" s="2763" t="s">
        <v>2865</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672"/>
      <c r="X12" s="1617" t="s">
        <v>2866</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677"/>
      <c r="B13" s="2764" t="s">
        <v>2867</v>
      </c>
      <c r="C13" s="2765" t="s">
        <v>2868</v>
      </c>
      <c r="D13" s="2949" t="s">
        <v>2869</v>
      </c>
      <c r="E13" s="2949" t="s">
        <v>2870</v>
      </c>
      <c r="F13" s="30" t="s">
        <v>2871</v>
      </c>
      <c r="G13" s="2766" t="s">
        <v>2872</v>
      </c>
      <c r="H13" s="2766" t="s">
        <v>2872</v>
      </c>
      <c r="I13" s="2766" t="s">
        <v>2872</v>
      </c>
      <c r="J13" s="2767" t="s">
        <v>2872</v>
      </c>
      <c r="K13" s="1371"/>
      <c r="L13" s="1371"/>
      <c r="M13" s="1371"/>
      <c r="N13" s="1371"/>
      <c r="O13" s="1371"/>
      <c r="P13" s="1371"/>
      <c r="Q13" s="1371"/>
      <c r="R13" s="1603">
        <v>12</v>
      </c>
      <c r="S13" s="1604"/>
      <c r="T13" s="1603">
        <f t="shared" ca="1" si="0"/>
        <v>0</v>
      </c>
      <c r="U13" s="1604"/>
      <c r="V13" s="1603">
        <f t="shared" ca="1" si="1"/>
        <v>0</v>
      </c>
      <c r="W13" s="3672"/>
      <c r="X13" s="1617"/>
      <c r="Y13" s="1614">
        <f>(-0.163*(Y12^2)-0.59*Y12+7617)*(10^(-4))/Y11</f>
        <v>0.10156000000000001</v>
      </c>
      <c r="Z13" s="1614">
        <f t="shared" ref="Z13:AJ13" si="5">(-0.163*(Z12^2)-0.59*Z12+7617)*(10^(-4))/Z11</f>
        <v>0.10156000000000001</v>
      </c>
      <c r="AA13" s="1614">
        <f t="shared" si="5"/>
        <v>0.10156000000000001</v>
      </c>
      <c r="AB13" s="1614">
        <f t="shared" si="5"/>
        <v>0.10156000000000001</v>
      </c>
      <c r="AC13" s="1614">
        <f t="shared" si="5"/>
        <v>0.10156000000000001</v>
      </c>
      <c r="AD13" s="1614">
        <f t="shared" si="5"/>
        <v>0.10156000000000001</v>
      </c>
      <c r="AE13" s="1614">
        <f t="shared" si="5"/>
        <v>0.10156000000000001</v>
      </c>
      <c r="AF13" s="1614">
        <f t="shared" si="5"/>
        <v>0.10156000000000001</v>
      </c>
      <c r="AG13" s="1614">
        <f t="shared" si="5"/>
        <v>0.10156000000000001</v>
      </c>
      <c r="AH13" s="1614">
        <f t="shared" si="5"/>
        <v>0.10156000000000001</v>
      </c>
      <c r="AI13" s="1614">
        <f t="shared" si="5"/>
        <v>0.10156000000000001</v>
      </c>
      <c r="AJ13" s="1614">
        <f t="shared" si="5"/>
        <v>0.10156000000000001</v>
      </c>
    </row>
    <row r="14" spans="1:36" ht="15">
      <c r="A14" s="3677"/>
      <c r="B14" s="2768"/>
      <c r="C14" s="2769"/>
      <c r="D14" s="2770"/>
      <c r="E14" s="2770"/>
      <c r="F14" s="2771"/>
      <c r="G14" s="2772" t="s">
        <v>2873</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6" thickBot="1">
      <c r="A15" s="3678"/>
      <c r="B15" s="2776" t="s">
        <v>2874</v>
      </c>
      <c r="C15" s="229">
        <f>IF(C14="有",1.1,1)</f>
        <v>1</v>
      </c>
      <c r="D15" s="229">
        <f>IF(D14="有",1.1,1)</f>
        <v>1</v>
      </c>
      <c r="E15" s="229">
        <f>IF(E14="有",1.1,1)</f>
        <v>1</v>
      </c>
      <c r="F15" s="229">
        <f>IF(F14="500米范围内",1.2,IF(F14="500-1000米",1.1,1))</f>
        <v>1</v>
      </c>
      <c r="G15" s="947">
        <v>1</v>
      </c>
      <c r="H15" s="947">
        <v>1</v>
      </c>
      <c r="I15" s="947">
        <v>1</v>
      </c>
      <c r="J15" s="948">
        <v>1</v>
      </c>
      <c r="K15" s="1371"/>
      <c r="L15" s="2777" t="s">
        <v>2811</v>
      </c>
      <c r="M15" s="918" t="s">
        <v>2875</v>
      </c>
      <c r="N15" s="918" t="s">
        <v>2876</v>
      </c>
      <c r="O15" s="918" t="s">
        <v>2877</v>
      </c>
      <c r="P15" s="2778" t="s">
        <v>2878</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659" t="s">
        <v>2879</v>
      </c>
      <c r="B16" s="2745" t="s">
        <v>2880</v>
      </c>
      <c r="C16" s="2945">
        <f>ROUND(SUM(G17:J17)/C17,0)</f>
        <v>17</v>
      </c>
      <c r="D16" s="2779" t="s">
        <v>2881</v>
      </c>
      <c r="E16" s="2780" t="s">
        <v>3068</v>
      </c>
      <c r="F16" s="2781" t="s">
        <v>3069</v>
      </c>
      <c r="G16" s="2782" t="s">
        <v>3328</v>
      </c>
      <c r="H16" s="2782"/>
      <c r="I16" s="2782"/>
      <c r="J16" s="2783"/>
      <c r="K16" s="1371"/>
      <c r="L16" s="2784" t="s">
        <v>2882</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24.6" thickBot="1">
      <c r="A17" s="3660"/>
      <c r="B17" s="2785" t="s">
        <v>2883</v>
      </c>
      <c r="C17" s="922">
        <f>SUMPRODUCT((修正!A2:A5=E2)*(修正!B1:M1=G2)*(修正!B2:M5))</f>
        <v>3.5</v>
      </c>
      <c r="D17" s="2786" t="s">
        <v>2884</v>
      </c>
      <c r="E17" s="921" t="str">
        <f>IF(OR(G2="八级",G2="九级",G2="十级",G2="十一级",G2="十二级"),"五通一平","七通一平")</f>
        <v>七通一平</v>
      </c>
      <c r="F17" s="922" t="s">
        <v>2885</v>
      </c>
      <c r="G17" s="922">
        <f>SUMPRODUCT((七通一平=G16)*(修正!B1:M1=G2)*(修正!B6:M14))</f>
        <v>60</v>
      </c>
      <c r="H17" s="922">
        <f>SUMPRODUCT((七通一平=H16)*(修正!B1:M1=G2)*(修正!B6:M14))</f>
        <v>0</v>
      </c>
      <c r="I17" s="922">
        <f>SUMPRODUCT((七通一平=I16)*(修正!B1:M1=G2)*(修正!B6:M14))</f>
        <v>0</v>
      </c>
      <c r="J17" s="923">
        <f>SUMPRODUCT((七通一平=J16)*(修正!B1:M1=G2)*(修正!B6:M14))</f>
        <v>0</v>
      </c>
      <c r="K17" s="1371"/>
      <c r="L17" s="2787" t="s">
        <v>2886</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 thickBot="1">
      <c r="A18" s="2789" t="s">
        <v>808</v>
      </c>
      <c r="B18" s="2790" t="s">
        <v>2887</v>
      </c>
      <c r="C18" s="924">
        <f>SUMIF(修正!C18:C39,E3,修正!E18:E39)</f>
        <v>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4" thickBot="1">
      <c r="A19" s="2789" t="s">
        <v>809</v>
      </c>
      <c r="B19" s="2790" t="s">
        <v>2888</v>
      </c>
      <c r="C19" s="925">
        <f>ROUND(IF(H19="按公示增长率计算",SUMPRODUCT((地价!A3:A24=YEAR(G19)&amp;"-"&amp;ROUNDUP(MONTH(G19)/3,0))*(地价!X2:AB2=E2)*(地价!X3:AB24)),IF(H19="地价指数",M20/M19,(1+I19)^O19)),4)</f>
        <v>1.3217000000000001</v>
      </c>
      <c r="D19" s="2797" t="s">
        <v>2889</v>
      </c>
      <c r="E19" s="926">
        <v>41640</v>
      </c>
      <c r="F19" s="2797" t="s">
        <v>2890</v>
      </c>
      <c r="G19" s="927">
        <f>'数据-取费表'!B2</f>
        <v>43458</v>
      </c>
      <c r="H19" s="2798" t="s">
        <v>2891</v>
      </c>
      <c r="I19" s="928" t="str">
        <f>IF(H19="季度增幅（自定义）",SUMIF(N21:N24,E2,O21:O24),"")</f>
        <v/>
      </c>
      <c r="J19" s="2795"/>
      <c r="K19" s="1378"/>
      <c r="L19" s="2799" t="s">
        <v>2892</v>
      </c>
      <c r="M19" s="1735">
        <f>ROUND(SUMIF(地价!B2:F2,E2,地价!B24:F24),0)</f>
        <v>258</v>
      </c>
      <c r="N19" s="2800" t="s">
        <v>2893</v>
      </c>
      <c r="O19" s="929">
        <f>ROUNDDOWN(DATEDIF(E19,G19,"M")/3,0)</f>
        <v>19</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9.4" thickBot="1">
      <c r="A20" s="2804" t="s">
        <v>810</v>
      </c>
      <c r="B20" s="2805" t="s">
        <v>2894</v>
      </c>
      <c r="C20" s="930">
        <f ca="1">ROUND(POWER(1+G20,J20-I20)*(POWER(1+G20,I20)-1)/(POWER(1+G20,J20)-1),4)</f>
        <v>0.92910000000000004</v>
      </c>
      <c r="D20" s="2806" t="s">
        <v>2895</v>
      </c>
      <c r="E20" s="1769">
        <f ca="1">存贷款利率!D4/100</f>
        <v>4.3499999999999997E-2</v>
      </c>
      <c r="F20" s="2806" t="s">
        <v>2886</v>
      </c>
      <c r="G20" s="935">
        <f ca="1">SUMIF(M15:P15,E2,M17:P17)</f>
        <v>5.1999999999999998E-2</v>
      </c>
      <c r="H20" s="2806" t="s">
        <v>2896</v>
      </c>
      <c r="I20" s="936">
        <f>SUMIF('数据-取费表'!C6:C15,E2,'数据-取费表'!F6:F15)/COUNTIF('数据-取费表'!C6:C15,E2)</f>
        <v>38.15</v>
      </c>
      <c r="J20" s="937">
        <f>IF(E2="住宅",70,IF(E2="商业",40,50))</f>
        <v>50</v>
      </c>
      <c r="K20" s="1378"/>
      <c r="L20" s="2807" t="s">
        <v>2897</v>
      </c>
      <c r="M20" s="1736">
        <f>ROUND(SUMPRODUCT((地价!A4:A24=YEAR(G19)&amp;"-"&amp;ROUNDUP(MONTH(G19)/3,0))*(地价!B2:F2=E2)*(地价!B4:F24)),0)</f>
        <v>341</v>
      </c>
      <c r="N20" s="2808" t="s">
        <v>2898</v>
      </c>
      <c r="O20" s="2809" t="s">
        <v>2899</v>
      </c>
      <c r="P20" s="2810" t="s">
        <v>2900</v>
      </c>
      <c r="R20" s="1377"/>
      <c r="S20" s="1377"/>
      <c r="T20" s="1372"/>
      <c r="U20" s="1372"/>
      <c r="V20" s="1372"/>
      <c r="W20" s="1371"/>
      <c r="X20" s="1371"/>
      <c r="Y20" s="1371"/>
      <c r="Z20" s="1378"/>
      <c r="AA20" s="1379"/>
      <c r="AB20" s="1379"/>
      <c r="AC20" s="1379"/>
      <c r="AD20" s="1379"/>
      <c r="AE20" s="1379"/>
      <c r="AF20" s="1379"/>
    </row>
    <row r="21" spans="1:37" s="2738" customFormat="1" ht="14.4">
      <c r="A21" s="2811" t="s">
        <v>811</v>
      </c>
      <c r="B21" s="2812" t="s">
        <v>3066</v>
      </c>
      <c r="C21" s="2955">
        <f>IF(B21="容积率修正",IF(G3&lt;=10,D22,J22),C23)</f>
        <v>0.86299999999999999</v>
      </c>
      <c r="D21" s="2813"/>
      <c r="E21" s="2813"/>
      <c r="F21" s="2813"/>
      <c r="G21" s="2813"/>
      <c r="H21" s="2813"/>
      <c r="I21" s="2813"/>
      <c r="J21" s="2814"/>
      <c r="K21" s="1378"/>
      <c r="N21" s="2815" t="s">
        <v>2901</v>
      </c>
      <c r="O21" s="1562"/>
      <c r="P21" s="1563">
        <f>SUMPRODUCT((地价!A3:A24=YEAR(G19)&amp;"-"&amp;ROUNDUP(MONTH(G19)/3,0))*(地价!AD2:AH2=N21)*(地价!AD3:AH24))</f>
        <v>1.5299999999999999E-2</v>
      </c>
      <c r="R21" s="1377"/>
      <c r="S21" s="1377"/>
      <c r="T21" s="1372"/>
      <c r="U21" s="1372"/>
      <c r="V21" s="1372"/>
      <c r="W21" s="1371"/>
      <c r="X21" s="1371"/>
      <c r="Y21" s="1371"/>
      <c r="Z21" s="1378"/>
      <c r="AA21" s="1379"/>
      <c r="AB21" s="1379"/>
      <c r="AC21" s="1379"/>
      <c r="AD21" s="1379"/>
      <c r="AE21" s="1379"/>
      <c r="AF21" s="1379"/>
    </row>
    <row r="22" spans="1:37" s="2738" customFormat="1" ht="14.4">
      <c r="A22" s="2664" t="s">
        <v>2902</v>
      </c>
      <c r="B22" s="2816" t="s">
        <v>2903</v>
      </c>
      <c r="C22" s="2954" t="s">
        <v>2904</v>
      </c>
      <c r="D22" s="2954">
        <f>IF(E22=G22,F22,IF(G3&lt;=10,ROUND(F22+(H22-F22)*(G3-E22)/(G22-E22),4),"——"))</f>
        <v>0.86299999999999999</v>
      </c>
      <c r="E22" s="914">
        <f>ROUNDDOWN(G3,1)</f>
        <v>7.5</v>
      </c>
      <c r="F22" s="29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0.86299999999999999</v>
      </c>
      <c r="G22" s="914">
        <f>ROUNDUP(G3,1)</f>
        <v>7.5</v>
      </c>
      <c r="H22" s="29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0.86299999999999999</v>
      </c>
      <c r="I22" s="2954" t="s">
        <v>155</v>
      </c>
      <c r="J22" s="939" t="str">
        <f>IF(G3&gt;10,D113,"——")</f>
        <v>——</v>
      </c>
      <c r="K22" s="1378"/>
      <c r="N22" s="2815" t="s">
        <v>2905</v>
      </c>
      <c r="O22" s="1562"/>
      <c r="P22" s="1563">
        <f>SUMPRODUCT((地价!A3:A24=YEAR(G19)&amp;"-"&amp;ROUNDUP(MONTH(G19)/3,0))*(地价!AD2:AH2=N22)*(地价!AD3:AH24))</f>
        <v>1.5299999999999999E-2</v>
      </c>
      <c r="R22" s="1377"/>
      <c r="S22" s="1377"/>
      <c r="T22" s="1372"/>
      <c r="U22" s="1372"/>
      <c r="V22" s="1372"/>
      <c r="W22" s="1371"/>
      <c r="X22" s="1371"/>
      <c r="Y22" s="1371"/>
      <c r="Z22" s="1378"/>
      <c r="AA22" s="1379"/>
      <c r="AB22" s="1379"/>
      <c r="AC22" s="1379"/>
      <c r="AD22" s="1379"/>
      <c r="AE22" s="1379"/>
      <c r="AF22" s="1379"/>
    </row>
    <row r="23" spans="1:37" ht="29.4" thickBot="1">
      <c r="A23" s="2664" t="s">
        <v>2906</v>
      </c>
      <c r="B23" s="2817" t="s">
        <v>2907</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2908</v>
      </c>
      <c r="O23" s="1562"/>
      <c r="P23" s="1563">
        <f>SUMPRODUCT((地价!A3:A24=YEAR(G19)&amp;"-"&amp;ROUNDUP(MONTH(G19)/3,0))*(地价!AD2:AH2=N23)*(地价!AD3:AH24))</f>
        <v>2.41E-2</v>
      </c>
      <c r="R23" s="1377"/>
      <c r="S23" s="1377"/>
      <c r="T23" s="1372"/>
      <c r="U23" s="1372"/>
      <c r="V23" s="1372"/>
      <c r="W23" s="1371"/>
      <c r="X23" s="1371"/>
      <c r="Y23" s="1371"/>
      <c r="Z23" s="1378"/>
      <c r="AA23" s="1379"/>
      <c r="AB23" s="1379"/>
      <c r="AC23" s="1379"/>
      <c r="AD23" s="1379"/>
      <c r="AK23" s="2796"/>
    </row>
    <row r="24" spans="1:37" s="2738" customFormat="1" ht="15" thickBot="1">
      <c r="A24" s="2804" t="s">
        <v>812</v>
      </c>
      <c r="B24" s="2790" t="s">
        <v>2909</v>
      </c>
      <c r="C24" s="925">
        <f>SUMIF(A45:A88,E2,B45:B88)</f>
        <v>1.0434000000000001</v>
      </c>
      <c r="D24" s="2793"/>
      <c r="E24" s="2823"/>
      <c r="F24" s="2823"/>
      <c r="G24" s="2823"/>
      <c r="H24" s="2823"/>
      <c r="I24" s="2823"/>
      <c r="J24" s="2824"/>
      <c r="K24" s="1378"/>
      <c r="N24" s="2825" t="s">
        <v>2910</v>
      </c>
      <c r="O24" s="1564"/>
      <c r="P24" s="1565">
        <f>SUMPRODUCT((地价!A3:A24=YEAR(G19)&amp;"-"&amp;ROUNDUP(MONTH(G19)/3,0))*(地价!AD2:AH2=N24)*(地价!AD3:AH24))</f>
        <v>1.4200000000000001E-2</v>
      </c>
      <c r="R24" s="1377"/>
      <c r="S24" s="1377"/>
      <c r="T24" s="1372"/>
      <c r="U24" s="1372"/>
      <c r="V24" s="1372"/>
      <c r="W24" s="1371"/>
      <c r="X24" s="1371"/>
      <c r="Y24" s="1371"/>
      <c r="Z24" s="1378"/>
      <c r="AA24" s="1379"/>
      <c r="AB24" s="1379"/>
      <c r="AC24" s="1379"/>
      <c r="AD24" s="1379"/>
      <c r="AE24" s="1379"/>
      <c r="AF24" s="1379"/>
    </row>
    <row r="25" spans="1:37" ht="15" thickBot="1">
      <c r="A25" s="2804" t="s">
        <v>813</v>
      </c>
      <c r="B25" s="2826" t="s">
        <v>2911</v>
      </c>
      <c r="C25" s="931"/>
      <c r="D25" s="2748"/>
      <c r="E25" s="2748"/>
      <c r="F25" s="2827"/>
      <c r="G25" s="2748"/>
      <c r="H25" s="2748"/>
      <c r="I25" s="2748"/>
      <c r="J25" s="2749"/>
      <c r="K25" s="1371"/>
      <c r="N25" s="2828" t="s">
        <v>2912</v>
      </c>
      <c r="O25" s="1566"/>
      <c r="P25" s="1565">
        <f>SUMPRODUCT((地价!A3:A24=YEAR(G19)&amp;"-"&amp;ROUNDUP(MONTH(G19)/3,0))*(地价!AD2:AH2=N25)*(地价!AD3:AH24))</f>
        <v>2.1899999999999999E-2</v>
      </c>
      <c r="R25" s="1377"/>
      <c r="S25" s="1377"/>
      <c r="T25" s="1372"/>
      <c r="U25" s="1372"/>
      <c r="V25" s="1372"/>
      <c r="W25" s="1371"/>
      <c r="X25" s="1371"/>
      <c r="Y25" s="1371"/>
      <c r="Z25" s="1378"/>
      <c r="AA25" s="1379"/>
      <c r="AB25" s="1379"/>
      <c r="AC25" s="1379"/>
      <c r="AD25" s="1379"/>
    </row>
    <row r="26" spans="1:37" ht="14.4">
      <c r="A26" s="2829"/>
      <c r="B26" s="2816" t="s">
        <v>2913</v>
      </c>
      <c r="C26" s="206">
        <f ca="1">E29+SUM(E33:E39)</f>
        <v>63469</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 thickBot="1">
      <c r="A27" s="2829"/>
      <c r="B27" s="2833" t="s">
        <v>2914</v>
      </c>
      <c r="C27" s="932">
        <f ca="1">E30+SUM(I33:I39)</f>
        <v>1162</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4.4">
      <c r="A28" s="2838"/>
      <c r="B28" s="2839" t="s">
        <v>2915</v>
      </c>
      <c r="C28" s="2840" t="s">
        <v>2916</v>
      </c>
      <c r="D28" s="2840" t="s">
        <v>2917</v>
      </c>
      <c r="E28" s="2841" t="s">
        <v>2918</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2919</v>
      </c>
      <c r="C29" s="206">
        <f ca="1">ROUND(C5*C18*C19*C20*C21*C24,0)</f>
        <v>26409</v>
      </c>
      <c r="D29" s="2845">
        <f>'数据-基础表'!M5</f>
        <v>22273.279999999999</v>
      </c>
      <c r="E29" s="2959">
        <f ca="1">ROUND(C29*D29/10000,0)</f>
        <v>58822</v>
      </c>
      <c r="F29" s="2846" t="s">
        <v>2920</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8" thickBot="1">
      <c r="A30" s="2849"/>
      <c r="B30" s="2850" t="s">
        <v>2921</v>
      </c>
      <c r="C30" s="229">
        <f ca="1">ROUND(IF(E2="工业",C29*M39,C29*M38),0)</f>
        <v>6602</v>
      </c>
      <c r="D30" s="2851"/>
      <c r="E30" s="2959">
        <f ca="1">ROUND(C30*D30/10000,0)</f>
        <v>0</v>
      </c>
      <c r="F30" s="2852" t="s">
        <v>2922</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3.8">
      <c r="A31" s="2855"/>
      <c r="B31" s="2856" t="s">
        <v>2923</v>
      </c>
      <c r="C31" s="2857" t="s">
        <v>2924</v>
      </c>
      <c r="D31" s="2761"/>
      <c r="E31" s="2857"/>
      <c r="F31" s="2857"/>
      <c r="G31" s="2759" t="s">
        <v>2925</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36">
      <c r="A32" s="2843"/>
      <c r="B32" s="2859"/>
      <c r="C32" s="501" t="s">
        <v>2916</v>
      </c>
      <c r="D32" s="498" t="s">
        <v>2917</v>
      </c>
      <c r="E32" s="498" t="s">
        <v>2918</v>
      </c>
      <c r="F32" s="388" t="s">
        <v>2926</v>
      </c>
      <c r="G32" s="2860" t="s">
        <v>2916</v>
      </c>
      <c r="H32" s="2860" t="s">
        <v>2917</v>
      </c>
      <c r="I32" s="2860" t="s">
        <v>2918</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667" t="s">
        <v>2927</v>
      </c>
      <c r="B33" s="2861" t="s">
        <v>2928</v>
      </c>
      <c r="C33" s="206">
        <f ca="1">ROUND(D5*C19*C20*C24*F33,0)</f>
        <v>0</v>
      </c>
      <c r="D33" s="2845"/>
      <c r="E33" s="200">
        <f ca="1">ROUND(C33*D33/10000,0)</f>
        <v>0</v>
      </c>
      <c r="F33" s="200">
        <f>SUMIF(修正!A45:A56,G2,修正!B45:B56)</f>
        <v>0.8</v>
      </c>
      <c r="G33" s="200">
        <f ca="1">ROUND(IF(E2="工业",C33*$M$39,C33*$M$38),0)</f>
        <v>0</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3.8">
      <c r="A34" s="3668"/>
      <c r="B34" s="2765" t="s">
        <v>2929</v>
      </c>
      <c r="C34" s="206">
        <f ca="1">ROUND(D5*C19*C20*C24*F34,0)</f>
        <v>0</v>
      </c>
      <c r="D34" s="2845"/>
      <c r="E34" s="200">
        <f t="shared" ref="E34:E39" ca="1" si="6">ROUND(C34*D34/10000,0)</f>
        <v>0</v>
      </c>
      <c r="F34" s="200">
        <f>SUMIF(修正!A45:A56,G2,修正!C45:C56)</f>
        <v>0.5</v>
      </c>
      <c r="G34" s="200">
        <f ca="1">ROUND(IF(E2="工业",C34*$M$39,C34*$M$38),0)</f>
        <v>0</v>
      </c>
      <c r="H34" s="200">
        <f t="shared" ref="H34:H39" si="7">D34</f>
        <v>0</v>
      </c>
      <c r="I34" s="200">
        <f t="shared" ref="I34:I39" ca="1" si="8">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668"/>
      <c r="B35" s="2765" t="s">
        <v>2930</v>
      </c>
      <c r="C35" s="206">
        <f ca="1">ROUND(D5*C19*C20*C24*F35,0)</f>
        <v>0</v>
      </c>
      <c r="D35" s="2845"/>
      <c r="E35" s="200">
        <f t="shared" ca="1" si="6"/>
        <v>0</v>
      </c>
      <c r="F35" s="200">
        <f>SUMIF(修正!A45:A56,G2,修正!D45:D56)</f>
        <v>0.36</v>
      </c>
      <c r="G35" s="200">
        <f ca="1">ROUND(IF(E2="工业",C35*$M$39,C35*$M$38),0)</f>
        <v>0</v>
      </c>
      <c r="H35" s="200">
        <f t="shared" si="7"/>
        <v>0</v>
      </c>
      <c r="I35" s="200">
        <f t="shared" ca="1" si="8"/>
        <v>0</v>
      </c>
      <c r="J35" s="2862"/>
      <c r="K35" s="1371"/>
      <c r="L35" s="1371"/>
      <c r="M35" s="1371"/>
      <c r="N35" s="1371"/>
      <c r="O35" s="1371"/>
      <c r="P35" s="1371"/>
      <c r="Q35" s="1371"/>
      <c r="R35" s="1371"/>
      <c r="S35" s="1371"/>
      <c r="T35" s="1371"/>
      <c r="U35" s="1371"/>
      <c r="V35" s="1371"/>
      <c r="W35" s="1371"/>
      <c r="X35" s="1371"/>
      <c r="Y35" s="1371"/>
      <c r="Z35" s="1372"/>
    </row>
    <row r="36" spans="1:37" ht="13.8" thickBot="1">
      <c r="A36" s="3669"/>
      <c r="B36" s="2765" t="s">
        <v>2931</v>
      </c>
      <c r="C36" s="206">
        <f ca="1">ROUND(D5*C19*C20*C24*F36,0)</f>
        <v>0</v>
      </c>
      <c r="D36" s="2845"/>
      <c r="E36" s="200">
        <f t="shared" ca="1" si="6"/>
        <v>0</v>
      </c>
      <c r="F36" s="200">
        <f>SUMIF(修正!A45:A56,G2,修正!E45:E56)</f>
        <v>0.3</v>
      </c>
      <c r="G36" s="200">
        <f ca="1">ROUND(IF(E2="工业",C36*$M$39,C36*$M$38),0)</f>
        <v>0</v>
      </c>
      <c r="H36" s="200">
        <f t="shared" si="7"/>
        <v>0</v>
      </c>
      <c r="I36" s="200">
        <f t="shared" ca="1" si="8"/>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2932</v>
      </c>
      <c r="C37" s="200">
        <f ca="1">ROUND(C5*C19*C20*C24*F37,0)</f>
        <v>9180</v>
      </c>
      <c r="D37" s="2845"/>
      <c r="E37" s="200">
        <f t="shared" ca="1" si="6"/>
        <v>0</v>
      </c>
      <c r="F37" s="206">
        <f>SUMIF(修正!A45:A56,G2,修正!F45:F56)</f>
        <v>0.3</v>
      </c>
      <c r="G37" s="200">
        <f ca="1">ROUND(IF(E2="工业",C37*$M$39,C37*$M$38),0)</f>
        <v>2295</v>
      </c>
      <c r="H37" s="200">
        <f t="shared" si="7"/>
        <v>0</v>
      </c>
      <c r="I37" s="200">
        <f t="shared" ca="1" si="8"/>
        <v>0</v>
      </c>
      <c r="J37" s="2862"/>
      <c r="K37" s="1371"/>
      <c r="L37" s="2864" t="s">
        <v>2933</v>
      </c>
      <c r="M37" s="2865"/>
      <c r="N37" s="1371"/>
      <c r="O37" s="1371"/>
      <c r="P37" s="1371"/>
      <c r="Q37" s="1371"/>
      <c r="R37" s="1371"/>
      <c r="S37" s="1371"/>
      <c r="T37" s="1371"/>
      <c r="U37" s="1371"/>
      <c r="V37" s="1371"/>
      <c r="W37" s="1371"/>
      <c r="X37" s="1371"/>
      <c r="Y37" s="1371"/>
      <c r="Z37" s="1372"/>
    </row>
    <row r="38" spans="1:37">
      <c r="A38" s="2863"/>
      <c r="B38" s="2765" t="s">
        <v>2934</v>
      </c>
      <c r="C38" s="200">
        <f ca="1">ROUND(C5*C19*C20*C24*F38,0)</f>
        <v>9180</v>
      </c>
      <c r="D38" s="2845"/>
      <c r="E38" s="200">
        <f t="shared" ca="1" si="6"/>
        <v>0</v>
      </c>
      <c r="F38" s="206">
        <f>SUMIF(修正!A45:A56,G2,修正!G45:G56)</f>
        <v>0.3</v>
      </c>
      <c r="G38" s="200">
        <f ca="1">ROUND(IF(E2="工业",C38*$M$39,C38*$M$38),0)</f>
        <v>2295</v>
      </c>
      <c r="H38" s="200">
        <f t="shared" si="7"/>
        <v>0</v>
      </c>
      <c r="I38" s="200">
        <f t="shared" ca="1" si="8"/>
        <v>0</v>
      </c>
      <c r="J38" s="2862"/>
      <c r="K38" s="1371"/>
      <c r="L38" s="1888" t="s">
        <v>2935</v>
      </c>
      <c r="M38" s="2866">
        <v>0.25</v>
      </c>
      <c r="N38" s="1371"/>
      <c r="O38" s="1371"/>
      <c r="P38" s="1371"/>
      <c r="Q38" s="1371"/>
      <c r="R38" s="1371"/>
      <c r="S38" s="1371"/>
      <c r="T38" s="1371"/>
      <c r="U38" s="1371"/>
      <c r="V38" s="1371"/>
      <c r="W38" s="1371"/>
      <c r="X38" s="1371"/>
      <c r="Y38" s="1371"/>
      <c r="Z38" s="1372"/>
    </row>
    <row r="39" spans="1:37" ht="13.8" thickBot="1">
      <c r="A39" s="2849"/>
      <c r="B39" s="2867" t="s">
        <v>2936</v>
      </c>
      <c r="C39" s="229">
        <f ca="1">ROUND(C5*C19*C20*C24*F39,0)</f>
        <v>7650</v>
      </c>
      <c r="D39" s="2851">
        <f>'数据-汇总表'!G19</f>
        <v>6074.74</v>
      </c>
      <c r="E39" s="229">
        <f t="shared" ca="1" si="6"/>
        <v>4647</v>
      </c>
      <c r="F39" s="933">
        <f>SUMIF(修正!A45:A56,G2,修正!H45:H56)</f>
        <v>0.25</v>
      </c>
      <c r="G39" s="229">
        <f ca="1">ROUND(IF(E2="工业",C39*$M$39,C39*$M$38),0)</f>
        <v>1913</v>
      </c>
      <c r="H39" s="229">
        <f t="shared" si="7"/>
        <v>6074.74</v>
      </c>
      <c r="I39" s="229">
        <f t="shared" ca="1" si="8"/>
        <v>1162</v>
      </c>
      <c r="J39" s="2868"/>
      <c r="K39" s="1371"/>
      <c r="L39" s="2869" t="s">
        <v>2878</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1"/>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 thickBot="1">
      <c r="A45" s="2872" t="s">
        <v>2937</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thickBot="1">
      <c r="A46" s="2874" t="s">
        <v>2938</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5.2" hidden="1">
      <c r="A47" s="2878" t="s">
        <v>2939</v>
      </c>
      <c r="B47" s="2948" t="s">
        <v>2940</v>
      </c>
      <c r="C47" s="2948" t="s">
        <v>2941</v>
      </c>
      <c r="D47" s="2948" t="s">
        <v>2942</v>
      </c>
      <c r="E47" s="817" t="s">
        <v>2943</v>
      </c>
      <c r="F47" s="2879" t="s">
        <v>2944</v>
      </c>
      <c r="G47" s="2948" t="s">
        <v>754</v>
      </c>
      <c r="H47" s="2880" t="s">
        <v>2945</v>
      </c>
      <c r="I47" s="2948" t="s">
        <v>2946</v>
      </c>
      <c r="J47" s="603" t="s">
        <v>2595</v>
      </c>
      <c r="K47" s="603" t="s">
        <v>2596</v>
      </c>
      <c r="L47" s="603" t="s">
        <v>2597</v>
      </c>
      <c r="M47" s="603" t="s">
        <v>2598</v>
      </c>
      <c r="N47" s="603" t="s">
        <v>2599</v>
      </c>
      <c r="AA47" s="1372"/>
      <c r="AB47" s="1372"/>
      <c r="AC47" s="1372"/>
      <c r="AD47" s="1372"/>
      <c r="AE47" s="1372"/>
      <c r="AF47" s="1372"/>
      <c r="AG47" s="1372"/>
      <c r="AH47" s="1372"/>
      <c r="AI47" s="1372"/>
      <c r="AJ47" s="1372"/>
      <c r="AK47" s="1372"/>
    </row>
    <row r="48" spans="1:37" s="1371" customFormat="1" ht="52.8" hidden="1">
      <c r="A48" s="2878" t="s">
        <v>2947</v>
      </c>
      <c r="B48" s="2881" t="str">
        <f>估价对象房地状况!C4</f>
        <v>估价对象位于东直门商圈，周边商业氛围成熟，人流量大，商业繁华度好</v>
      </c>
      <c r="C48" s="2770"/>
      <c r="D48" s="1287">
        <f t="shared" ref="D48:D56" si="9">SUMIF($J$47:$N$47,C48,J48:N48)</f>
        <v>0</v>
      </c>
      <c r="E48" s="819">
        <f>ROUND(SUM(D48:D56),4)</f>
        <v>0</v>
      </c>
      <c r="F48" s="2501" t="str">
        <f>IF(E2="商业",SUMIF(L1:L12,G2,N1:N12),"——")</f>
        <v>——</v>
      </c>
      <c r="G48" s="1285"/>
      <c r="H48" s="1289" t="str">
        <f t="shared" ref="H48:H56" si="10">IFERROR(ROUNDDOWN($F$48*I48/2,4),"——")</f>
        <v>——</v>
      </c>
      <c r="I48" s="818">
        <v>0.33</v>
      </c>
      <c r="J48" s="1286">
        <f t="shared" ref="J48:J56" si="11">K48+$G48</f>
        <v>0</v>
      </c>
      <c r="K48" s="1286">
        <f t="shared" ref="K48:K56" si="12">$L48+$G48</f>
        <v>0</v>
      </c>
      <c r="L48" s="1286">
        <v>0</v>
      </c>
      <c r="M48" s="1286">
        <f t="shared" ref="M48:N56" si="13">L48-$G48</f>
        <v>0</v>
      </c>
      <c r="N48" s="1286">
        <f t="shared" si="13"/>
        <v>0</v>
      </c>
      <c r="AA48" s="1372"/>
      <c r="AB48" s="1372"/>
      <c r="AC48" s="1372"/>
      <c r="AD48" s="1372"/>
      <c r="AE48" s="1372"/>
      <c r="AF48" s="1372"/>
      <c r="AG48" s="1372"/>
      <c r="AH48" s="1372"/>
      <c r="AI48" s="1372"/>
      <c r="AJ48" s="1372"/>
      <c r="AK48" s="1372"/>
    </row>
    <row r="49" spans="1:37" s="1371" customFormat="1" ht="118.8" hidden="1">
      <c r="A49" s="2878" t="s">
        <v>2948</v>
      </c>
      <c r="B49" s="2882" t="str">
        <f>估价对象房地状况!C18</f>
        <v>估价对象周边道路状况较好（机场高速、香河园路）、公共交通较通达（2、机场线东直门站，18路、916路香河园路，359、915路东直门外站）、停车便捷程度，综合评价交通便捷度较好</v>
      </c>
      <c r="C49" s="2770"/>
      <c r="D49" s="1287">
        <f t="shared" si="9"/>
        <v>0</v>
      </c>
      <c r="E49" s="820"/>
      <c r="F49" s="2501"/>
      <c r="G49" s="1285"/>
      <c r="H49" s="1289" t="str">
        <f t="shared" si="10"/>
        <v>——</v>
      </c>
      <c r="I49" s="818">
        <v>0.25</v>
      </c>
      <c r="J49" s="1286">
        <f t="shared" si="11"/>
        <v>0</v>
      </c>
      <c r="K49" s="1286">
        <f t="shared" si="12"/>
        <v>0</v>
      </c>
      <c r="L49" s="1286">
        <v>0</v>
      </c>
      <c r="M49" s="1286">
        <f t="shared" si="13"/>
        <v>0</v>
      </c>
      <c r="N49" s="1286">
        <f t="shared" si="13"/>
        <v>0</v>
      </c>
      <c r="AA49" s="1372"/>
      <c r="AB49" s="1372"/>
      <c r="AC49" s="1372"/>
      <c r="AD49" s="1372"/>
      <c r="AE49" s="1372"/>
      <c r="AF49" s="1372"/>
      <c r="AG49" s="1372"/>
      <c r="AH49" s="1372"/>
      <c r="AI49" s="1372"/>
      <c r="AJ49" s="1372"/>
      <c r="AK49" s="1372"/>
    </row>
    <row r="50" spans="1:37" s="1371" customFormat="1" ht="24" hidden="1">
      <c r="A50" s="2878" t="s">
        <v>2949</v>
      </c>
      <c r="B50" s="2882" t="str">
        <f>估价对象房地状况!C19</f>
        <v>较一致</v>
      </c>
      <c r="C50" s="2770"/>
      <c r="D50" s="1287">
        <f t="shared" si="9"/>
        <v>0</v>
      </c>
      <c r="E50" s="820"/>
      <c r="F50" s="2501"/>
      <c r="G50" s="1285"/>
      <c r="H50" s="1289" t="str">
        <f t="shared" si="10"/>
        <v>——</v>
      </c>
      <c r="I50" s="818">
        <v>0.05</v>
      </c>
      <c r="J50" s="1286">
        <f t="shared" si="11"/>
        <v>0</v>
      </c>
      <c r="K50" s="1286">
        <f t="shared" si="12"/>
        <v>0</v>
      </c>
      <c r="L50" s="1286">
        <v>0</v>
      </c>
      <c r="M50" s="1286">
        <f t="shared" si="13"/>
        <v>0</v>
      </c>
      <c r="N50" s="1286">
        <f t="shared" si="13"/>
        <v>0</v>
      </c>
      <c r="AA50" s="1372"/>
      <c r="AB50" s="1372"/>
      <c r="AC50" s="1372"/>
      <c r="AD50" s="1372"/>
      <c r="AE50" s="1372"/>
      <c r="AF50" s="1372"/>
      <c r="AG50" s="1372"/>
      <c r="AH50" s="1372"/>
      <c r="AI50" s="1372"/>
      <c r="AJ50" s="1372"/>
      <c r="AK50" s="1372"/>
    </row>
    <row r="51" spans="1:37" s="1371" customFormat="1" ht="50.4" hidden="1">
      <c r="A51" s="2878" t="s">
        <v>2950</v>
      </c>
      <c r="B51" s="2883" t="s">
        <v>2951</v>
      </c>
      <c r="C51" s="2770"/>
      <c r="D51" s="1287">
        <f t="shared" si="9"/>
        <v>0</v>
      </c>
      <c r="E51" s="820"/>
      <c r="F51" s="2501"/>
      <c r="G51" s="1285"/>
      <c r="H51" s="1289" t="str">
        <f t="shared" si="10"/>
        <v>——</v>
      </c>
      <c r="I51" s="818">
        <v>0.05</v>
      </c>
      <c r="J51" s="1286">
        <f t="shared" si="11"/>
        <v>0</v>
      </c>
      <c r="K51" s="1286">
        <f t="shared" si="12"/>
        <v>0</v>
      </c>
      <c r="L51" s="1286">
        <v>0</v>
      </c>
      <c r="M51" s="1286">
        <f t="shared" si="13"/>
        <v>0</v>
      </c>
      <c r="N51" s="1286">
        <f t="shared" si="13"/>
        <v>0</v>
      </c>
      <c r="AA51" s="1372"/>
      <c r="AB51" s="1372"/>
      <c r="AC51" s="1372"/>
      <c r="AD51" s="1372"/>
      <c r="AE51" s="1372"/>
      <c r="AF51" s="1372"/>
      <c r="AG51" s="1372"/>
      <c r="AH51" s="1372"/>
      <c r="AI51" s="1372"/>
      <c r="AJ51" s="1372"/>
      <c r="AK51" s="1372"/>
    </row>
    <row r="52" spans="1:37" s="1371" customFormat="1" ht="24" hidden="1">
      <c r="A52" s="2878" t="s">
        <v>2952</v>
      </c>
      <c r="B52" s="2882">
        <f>估价对象房地状况!C24</f>
        <v>0</v>
      </c>
      <c r="C52" s="2770"/>
      <c r="D52" s="1287">
        <f t="shared" si="9"/>
        <v>0</v>
      </c>
      <c r="E52" s="820"/>
      <c r="F52" s="2501"/>
      <c r="G52" s="1285"/>
      <c r="H52" s="1289" t="str">
        <f t="shared" si="10"/>
        <v>——</v>
      </c>
      <c r="I52" s="818">
        <v>0.08</v>
      </c>
      <c r="J52" s="1286">
        <f t="shared" si="11"/>
        <v>0</v>
      </c>
      <c r="K52" s="1286">
        <f t="shared" si="12"/>
        <v>0</v>
      </c>
      <c r="L52" s="1286">
        <v>0</v>
      </c>
      <c r="M52" s="1286">
        <f t="shared" si="13"/>
        <v>0</v>
      </c>
      <c r="N52" s="1286">
        <f t="shared" si="13"/>
        <v>0</v>
      </c>
      <c r="AA52" s="1372"/>
      <c r="AB52" s="1372"/>
      <c r="AC52" s="1372"/>
      <c r="AD52" s="1372"/>
      <c r="AE52" s="1372"/>
      <c r="AF52" s="1372"/>
      <c r="AG52" s="1372"/>
      <c r="AH52" s="1372"/>
      <c r="AI52" s="1372"/>
      <c r="AJ52" s="1372"/>
      <c r="AK52" s="1372"/>
    </row>
    <row r="53" spans="1:37" s="1371" customFormat="1" ht="36" hidden="1">
      <c r="A53" s="2878" t="s">
        <v>2953</v>
      </c>
      <c r="B53" s="2884" t="s">
        <v>2954</v>
      </c>
      <c r="C53" s="2770"/>
      <c r="D53" s="1287">
        <f t="shared" si="9"/>
        <v>0</v>
      </c>
      <c r="E53" s="820"/>
      <c r="F53" s="2501"/>
      <c r="G53" s="1285"/>
      <c r="H53" s="1289" t="str">
        <f t="shared" si="10"/>
        <v>——</v>
      </c>
      <c r="I53" s="818">
        <v>0.03</v>
      </c>
      <c r="J53" s="1286">
        <f t="shared" si="11"/>
        <v>0</v>
      </c>
      <c r="K53" s="1286">
        <f t="shared" si="12"/>
        <v>0</v>
      </c>
      <c r="L53" s="1286">
        <v>0</v>
      </c>
      <c r="M53" s="1286">
        <f t="shared" si="13"/>
        <v>0</v>
      </c>
      <c r="N53" s="1286">
        <f t="shared" si="13"/>
        <v>0</v>
      </c>
      <c r="AA53" s="1372"/>
      <c r="AB53" s="1372"/>
      <c r="AC53" s="1372"/>
      <c r="AD53" s="1372"/>
      <c r="AE53" s="1372"/>
      <c r="AF53" s="1372"/>
      <c r="AG53" s="1372"/>
      <c r="AH53" s="1372"/>
      <c r="AI53" s="1372"/>
      <c r="AJ53" s="1372"/>
      <c r="AK53" s="1372"/>
    </row>
    <row r="54" spans="1:37" s="1371" customFormat="1" ht="26.4" hidden="1">
      <c r="A54" s="2885" t="s">
        <v>2955</v>
      </c>
      <c r="B54" s="1726" t="str">
        <f>估价对象房地状况!C21</f>
        <v>估价对象所在区域公共配套设施齐备</v>
      </c>
      <c r="C54" s="2770"/>
      <c r="D54" s="1287">
        <f t="shared" si="9"/>
        <v>0</v>
      </c>
      <c r="E54" s="820"/>
      <c r="F54" s="2501"/>
      <c r="G54" s="1285"/>
      <c r="H54" s="1289" t="str">
        <f t="shared" si="10"/>
        <v>——</v>
      </c>
      <c r="I54" s="818">
        <v>0.05</v>
      </c>
      <c r="J54" s="1286">
        <f t="shared" si="11"/>
        <v>0</v>
      </c>
      <c r="K54" s="1286">
        <f t="shared" si="12"/>
        <v>0</v>
      </c>
      <c r="L54" s="1286">
        <v>0</v>
      </c>
      <c r="M54" s="1286">
        <f t="shared" si="13"/>
        <v>0</v>
      </c>
      <c r="N54" s="1286">
        <f t="shared" si="13"/>
        <v>0</v>
      </c>
      <c r="AA54" s="1372"/>
      <c r="AB54" s="1372"/>
      <c r="AC54" s="1372"/>
      <c r="AD54" s="1372"/>
      <c r="AE54" s="1372"/>
      <c r="AF54" s="1372"/>
      <c r="AG54" s="1372"/>
      <c r="AH54" s="1372"/>
      <c r="AI54" s="1372"/>
      <c r="AJ54" s="1372"/>
      <c r="AK54" s="1372"/>
    </row>
    <row r="55" spans="1:37" s="1371" customFormat="1" ht="26.4" hidden="1">
      <c r="A55" s="2885" t="s">
        <v>2956</v>
      </c>
      <c r="B55" s="2882" t="str">
        <f>估价对象房地状况!C22</f>
        <v>估价对象所在区域基础设施水平较高</v>
      </c>
      <c r="C55" s="2770"/>
      <c r="D55" s="1287">
        <f t="shared" si="9"/>
        <v>0</v>
      </c>
      <c r="E55" s="820"/>
      <c r="F55" s="2501"/>
      <c r="G55" s="1285"/>
      <c r="H55" s="1289" t="str">
        <f t="shared" si="10"/>
        <v>——</v>
      </c>
      <c r="I55" s="818">
        <v>0.1</v>
      </c>
      <c r="J55" s="1286">
        <f t="shared" si="11"/>
        <v>0</v>
      </c>
      <c r="K55" s="1286">
        <f t="shared" si="12"/>
        <v>0</v>
      </c>
      <c r="L55" s="1286">
        <v>0</v>
      </c>
      <c r="M55" s="1286">
        <f t="shared" si="13"/>
        <v>0</v>
      </c>
      <c r="N55" s="1286">
        <f t="shared" si="13"/>
        <v>0</v>
      </c>
      <c r="AA55" s="1372"/>
      <c r="AB55" s="1372"/>
      <c r="AC55" s="1372"/>
      <c r="AD55" s="1372"/>
      <c r="AE55" s="1372"/>
      <c r="AF55" s="1372"/>
      <c r="AG55" s="1372"/>
      <c r="AH55" s="1372"/>
      <c r="AI55" s="1372"/>
      <c r="AJ55" s="1372"/>
      <c r="AK55" s="1372"/>
    </row>
    <row r="56" spans="1:37" s="1371" customFormat="1" ht="66.599999999999994" hidden="1" thickBot="1">
      <c r="A56" s="2886" t="s">
        <v>2957</v>
      </c>
      <c r="B56" s="2887" t="str">
        <f>估价对象房地状况!C20</f>
        <v>区域自然环境：廉政文化公园；人文环境：自来水博物馆；综合评价环境状况较好</v>
      </c>
      <c r="C56" s="2770"/>
      <c r="D56" s="1287">
        <f t="shared" si="9"/>
        <v>0</v>
      </c>
      <c r="E56" s="823"/>
      <c r="F56" s="2501"/>
      <c r="G56" s="1285"/>
      <c r="H56" s="1289" t="str">
        <f t="shared" si="10"/>
        <v>——</v>
      </c>
      <c r="I56" s="822">
        <v>0.06</v>
      </c>
      <c r="J56" s="1286">
        <f t="shared" si="11"/>
        <v>0</v>
      </c>
      <c r="K56" s="1286">
        <f t="shared" si="12"/>
        <v>0</v>
      </c>
      <c r="L56" s="1286">
        <v>0</v>
      </c>
      <c r="M56" s="1286">
        <f t="shared" si="13"/>
        <v>0</v>
      </c>
      <c r="N56" s="1286">
        <f t="shared" si="13"/>
        <v>0</v>
      </c>
      <c r="AA56" s="1372"/>
      <c r="AB56" s="1372"/>
      <c r="AC56" s="1372"/>
      <c r="AD56" s="1372"/>
      <c r="AE56" s="1372"/>
      <c r="AF56" s="1372"/>
      <c r="AG56" s="1372"/>
      <c r="AH56" s="1372"/>
      <c r="AI56" s="1372"/>
      <c r="AJ56" s="1372"/>
      <c r="AK56" s="1372"/>
    </row>
    <row r="57" spans="1:37" s="1371" customFormat="1" ht="14.4">
      <c r="A57" s="2874" t="s">
        <v>2958</v>
      </c>
      <c r="B57" s="2875">
        <f>1+E59</f>
        <v>1.0434000000000001</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5.2">
      <c r="A58" s="2878" t="s">
        <v>2939</v>
      </c>
      <c r="B58" s="2948"/>
      <c r="C58" s="2948" t="s">
        <v>2941</v>
      </c>
      <c r="D58" s="2948" t="s">
        <v>2942</v>
      </c>
      <c r="E58" s="817" t="s">
        <v>2943</v>
      </c>
      <c r="F58" s="2879" t="s">
        <v>2959</v>
      </c>
      <c r="G58" s="2948" t="s">
        <v>754</v>
      </c>
      <c r="H58" s="2880" t="s">
        <v>2945</v>
      </c>
      <c r="I58" s="2948" t="s">
        <v>2946</v>
      </c>
      <c r="J58" s="603" t="s">
        <v>2595</v>
      </c>
      <c r="K58" s="603" t="s">
        <v>2596</v>
      </c>
      <c r="L58" s="603" t="s">
        <v>2597</v>
      </c>
      <c r="M58" s="603" t="s">
        <v>2598</v>
      </c>
      <c r="N58" s="603" t="s">
        <v>2599</v>
      </c>
      <c r="AA58" s="1372"/>
      <c r="AB58" s="1372"/>
      <c r="AC58" s="1372"/>
      <c r="AD58" s="1372"/>
      <c r="AE58" s="1372"/>
      <c r="AF58" s="1372"/>
      <c r="AG58" s="1372"/>
      <c r="AH58" s="1372"/>
      <c r="AI58" s="1372"/>
      <c r="AJ58" s="1372"/>
      <c r="AK58" s="1372"/>
    </row>
    <row r="59" spans="1:37" s="1371" customFormat="1" ht="52.8">
      <c r="A59" s="2878" t="s">
        <v>2960</v>
      </c>
      <c r="B59" s="2881" t="str">
        <f>估价对象房地状况!C17</f>
        <v>估价对象位于东直门商圈，周边办公楼项目较多，入驻率高，办公集聚程度较好</v>
      </c>
      <c r="C59" s="2770" t="s">
        <v>3329</v>
      </c>
      <c r="D59" s="1287">
        <f t="shared" ref="D59:D67" si="14">SUMIF($J$58:$N$58,C59,J59:N59)</f>
        <v>0.01</v>
      </c>
      <c r="E59" s="819">
        <f>ROUND(SUM(D59:D67),4)</f>
        <v>4.3400000000000001E-2</v>
      </c>
      <c r="F59" s="2501">
        <f>IF(E2="办公",SUMIF(L1:L12,G2,N1:N12),"——")</f>
        <v>9.6000000000000002E-2</v>
      </c>
      <c r="G59" s="1285">
        <v>0.01</v>
      </c>
      <c r="H59" s="1289">
        <f t="shared" ref="H59:H67" si="15">IFERROR(ROUNDDOWN($F$59*I59/2,4),"——")</f>
        <v>1.15E-2</v>
      </c>
      <c r="I59" s="818">
        <v>0.24</v>
      </c>
      <c r="J59" s="1286">
        <f t="shared" ref="J59:J67" si="16">K59+$G59</f>
        <v>0.02</v>
      </c>
      <c r="K59" s="1286">
        <f t="shared" ref="K59:K67" si="17">$L59+$G59</f>
        <v>0.01</v>
      </c>
      <c r="L59" s="1286">
        <v>0</v>
      </c>
      <c r="M59" s="1286">
        <f t="shared" ref="M59:N67" si="18">L59-$G59</f>
        <v>-0.01</v>
      </c>
      <c r="N59" s="1286">
        <f t="shared" si="18"/>
        <v>-0.02</v>
      </c>
      <c r="AA59" s="1372"/>
      <c r="AB59" s="1372"/>
      <c r="AC59" s="1372"/>
      <c r="AD59" s="1372"/>
      <c r="AE59" s="1372"/>
      <c r="AF59" s="1372"/>
      <c r="AG59" s="1372"/>
      <c r="AH59" s="1372"/>
      <c r="AI59" s="1372"/>
      <c r="AJ59" s="1372"/>
      <c r="AK59" s="1372"/>
    </row>
    <row r="60" spans="1:37" s="1371" customFormat="1" ht="118.8">
      <c r="A60" s="2878" t="s">
        <v>2948</v>
      </c>
      <c r="B60" s="2882" t="str">
        <f>估价对象房地状况!C18</f>
        <v>估价对象周边道路状况较好（机场高速、香河园路）、公共交通较通达（2、机场线东直门站，18路、916路香河园路，359、915路东直门外站）、停车便捷程度，综合评价交通便捷度较好</v>
      </c>
      <c r="C60" s="2770" t="s">
        <v>3329</v>
      </c>
      <c r="D60" s="1287">
        <f t="shared" si="14"/>
        <v>1.2E-2</v>
      </c>
      <c r="E60" s="820"/>
      <c r="F60" s="2501"/>
      <c r="G60" s="1285">
        <v>1.2E-2</v>
      </c>
      <c r="H60" s="1289">
        <f t="shared" si="15"/>
        <v>1.44E-2</v>
      </c>
      <c r="I60" s="818">
        <v>0.3</v>
      </c>
      <c r="J60" s="1286">
        <f t="shared" si="16"/>
        <v>2.4E-2</v>
      </c>
      <c r="K60" s="1286">
        <f t="shared" si="17"/>
        <v>1.2E-2</v>
      </c>
      <c r="L60" s="1286">
        <v>0</v>
      </c>
      <c r="M60" s="1286">
        <f t="shared" si="18"/>
        <v>-1.2E-2</v>
      </c>
      <c r="N60" s="1286">
        <f t="shared" si="18"/>
        <v>-2.4E-2</v>
      </c>
      <c r="AA60" s="1372"/>
      <c r="AB60" s="1372"/>
      <c r="AC60" s="1372"/>
      <c r="AD60" s="1372"/>
      <c r="AE60" s="1372"/>
      <c r="AF60" s="1372"/>
      <c r="AG60" s="1372"/>
      <c r="AH60" s="1372"/>
      <c r="AI60" s="1372"/>
      <c r="AJ60" s="1372"/>
      <c r="AK60" s="1372"/>
    </row>
    <row r="61" spans="1:37" s="1371" customFormat="1" ht="24">
      <c r="A61" s="2878" t="s">
        <v>2949</v>
      </c>
      <c r="B61" s="2882" t="str">
        <f>估价对象房地状况!C19</f>
        <v>较一致</v>
      </c>
      <c r="C61" s="2770" t="s">
        <v>3329</v>
      </c>
      <c r="D61" s="1287">
        <f t="shared" si="14"/>
        <v>3.0000000000000001E-3</v>
      </c>
      <c r="E61" s="820"/>
      <c r="F61" s="2501"/>
      <c r="G61" s="1285">
        <v>3.0000000000000001E-3</v>
      </c>
      <c r="H61" s="1289">
        <f t="shared" si="15"/>
        <v>3.8E-3</v>
      </c>
      <c r="I61" s="818">
        <v>0.08</v>
      </c>
      <c r="J61" s="1286">
        <f t="shared" si="16"/>
        <v>6.0000000000000001E-3</v>
      </c>
      <c r="K61" s="1286">
        <f t="shared" si="17"/>
        <v>3.0000000000000001E-3</v>
      </c>
      <c r="L61" s="1286">
        <v>0</v>
      </c>
      <c r="M61" s="1286">
        <f t="shared" si="18"/>
        <v>-3.0000000000000001E-3</v>
      </c>
      <c r="N61" s="1286">
        <f t="shared" si="18"/>
        <v>-6.0000000000000001E-3</v>
      </c>
      <c r="AA61" s="1372"/>
      <c r="AB61" s="1372"/>
      <c r="AC61" s="1372"/>
      <c r="AD61" s="1372"/>
      <c r="AE61" s="1372"/>
      <c r="AF61" s="1372"/>
      <c r="AG61" s="1372"/>
      <c r="AH61" s="1372"/>
      <c r="AI61" s="1372"/>
      <c r="AJ61" s="1372"/>
      <c r="AK61" s="1372"/>
    </row>
    <row r="62" spans="1:37" s="1371" customFormat="1" ht="50.4">
      <c r="A62" s="2878" t="s">
        <v>2950</v>
      </c>
      <c r="B62" s="2883" t="s">
        <v>2951</v>
      </c>
      <c r="C62" s="2770" t="s">
        <v>3329</v>
      </c>
      <c r="D62" s="1287">
        <f t="shared" si="14"/>
        <v>1.5E-3</v>
      </c>
      <c r="E62" s="820"/>
      <c r="F62" s="2501"/>
      <c r="G62" s="1285">
        <v>1.5E-3</v>
      </c>
      <c r="H62" s="1289">
        <f t="shared" si="15"/>
        <v>1.9E-3</v>
      </c>
      <c r="I62" s="818">
        <v>0.04</v>
      </c>
      <c r="J62" s="1286">
        <f t="shared" si="16"/>
        <v>3.0000000000000001E-3</v>
      </c>
      <c r="K62" s="1286">
        <f t="shared" si="17"/>
        <v>1.5E-3</v>
      </c>
      <c r="L62" s="1286">
        <v>0</v>
      </c>
      <c r="M62" s="1286">
        <f t="shared" si="18"/>
        <v>-1.5E-3</v>
      </c>
      <c r="N62" s="1286">
        <f t="shared" si="18"/>
        <v>-3.0000000000000001E-3</v>
      </c>
      <c r="O62" s="1371">
        <f ca="1">系统读取表!G14+系统读取表!G15+系统读取表!G16</f>
        <v>188044</v>
      </c>
      <c r="AA62" s="1372"/>
      <c r="AB62" s="1372"/>
      <c r="AC62" s="1372"/>
      <c r="AD62" s="1372"/>
      <c r="AE62" s="1372"/>
      <c r="AF62" s="1372"/>
      <c r="AG62" s="1372"/>
      <c r="AH62" s="1372"/>
      <c r="AI62" s="1372"/>
      <c r="AJ62" s="1372"/>
      <c r="AK62" s="1372"/>
    </row>
    <row r="63" spans="1:37" s="1371" customFormat="1" ht="24">
      <c r="A63" s="2878" t="s">
        <v>2952</v>
      </c>
      <c r="B63" s="2882">
        <f>估价对象房地状况!C24</f>
        <v>0</v>
      </c>
      <c r="C63" s="2770" t="s">
        <v>3330</v>
      </c>
      <c r="D63" s="1287">
        <f t="shared" si="14"/>
        <v>4.7999999999999996E-3</v>
      </c>
      <c r="E63" s="820"/>
      <c r="F63" s="2501"/>
      <c r="G63" s="1285">
        <v>2.3999999999999998E-3</v>
      </c>
      <c r="H63" s="1289">
        <f t="shared" si="15"/>
        <v>2.3999999999999998E-3</v>
      </c>
      <c r="I63" s="818">
        <v>0.05</v>
      </c>
      <c r="J63" s="1286">
        <f t="shared" si="16"/>
        <v>4.7999999999999996E-3</v>
      </c>
      <c r="K63" s="1286">
        <f t="shared" si="17"/>
        <v>2.3999999999999998E-3</v>
      </c>
      <c r="L63" s="1286">
        <v>0</v>
      </c>
      <c r="M63" s="1286">
        <f t="shared" si="18"/>
        <v>-2.3999999999999998E-3</v>
      </c>
      <c r="N63" s="1286">
        <f t="shared" si="18"/>
        <v>-4.7999999999999996E-3</v>
      </c>
      <c r="AA63" s="1372"/>
      <c r="AB63" s="1372"/>
      <c r="AC63" s="1372"/>
      <c r="AD63" s="1372"/>
      <c r="AE63" s="1372"/>
      <c r="AF63" s="1372"/>
      <c r="AG63" s="1372"/>
      <c r="AH63" s="1372"/>
      <c r="AI63" s="1372"/>
      <c r="AJ63" s="1372"/>
      <c r="AK63" s="1372"/>
    </row>
    <row r="64" spans="1:37" s="1371" customFormat="1" ht="36">
      <c r="A64" s="2878" t="s">
        <v>2953</v>
      </c>
      <c r="B64" s="2884" t="s">
        <v>2954</v>
      </c>
      <c r="C64" s="2770" t="s">
        <v>3329</v>
      </c>
      <c r="D64" s="1287">
        <f t="shared" si="14"/>
        <v>2.3999999999999998E-3</v>
      </c>
      <c r="E64" s="820"/>
      <c r="F64" s="2501"/>
      <c r="G64" s="1285">
        <v>2.3999999999999998E-3</v>
      </c>
      <c r="H64" s="1289">
        <f t="shared" si="15"/>
        <v>2.3999999999999998E-3</v>
      </c>
      <c r="I64" s="818">
        <v>0.05</v>
      </c>
      <c r="J64" s="1286">
        <f t="shared" si="16"/>
        <v>4.7999999999999996E-3</v>
      </c>
      <c r="K64" s="1286">
        <f t="shared" si="17"/>
        <v>2.3999999999999998E-3</v>
      </c>
      <c r="L64" s="1286">
        <v>0</v>
      </c>
      <c r="M64" s="1286">
        <f t="shared" si="18"/>
        <v>-2.3999999999999998E-3</v>
      </c>
      <c r="N64" s="1286">
        <f t="shared" si="18"/>
        <v>-4.7999999999999996E-3</v>
      </c>
      <c r="AA64" s="1372"/>
      <c r="AB64" s="1372"/>
      <c r="AC64" s="1372"/>
      <c r="AD64" s="1372"/>
      <c r="AE64" s="1372"/>
      <c r="AF64" s="1372"/>
      <c r="AG64" s="1372"/>
      <c r="AH64" s="1372"/>
      <c r="AI64" s="1372"/>
      <c r="AJ64" s="1372"/>
      <c r="AK64" s="1372"/>
    </row>
    <row r="65" spans="1:37" s="1371" customFormat="1" ht="26.4">
      <c r="A65" s="2878" t="s">
        <v>2955</v>
      </c>
      <c r="B65" s="1726" t="str">
        <f>估价对象房地状况!C21</f>
        <v>估价对象所在区域公共配套设施齐备</v>
      </c>
      <c r="C65" s="2770" t="s">
        <v>3329</v>
      </c>
      <c r="D65" s="1287">
        <f t="shared" si="14"/>
        <v>2.48E-3</v>
      </c>
      <c r="E65" s="820"/>
      <c r="F65" s="2501"/>
      <c r="G65" s="1285">
        <v>2.48E-3</v>
      </c>
      <c r="H65" s="1289">
        <f t="shared" si="15"/>
        <v>2.8E-3</v>
      </c>
      <c r="I65" s="818">
        <v>0.06</v>
      </c>
      <c r="J65" s="1286">
        <f t="shared" si="16"/>
        <v>4.96E-3</v>
      </c>
      <c r="K65" s="1286">
        <f t="shared" si="17"/>
        <v>2.48E-3</v>
      </c>
      <c r="L65" s="1286">
        <v>0</v>
      </c>
      <c r="M65" s="1286">
        <f t="shared" si="18"/>
        <v>-2.48E-3</v>
      </c>
      <c r="N65" s="1286">
        <f t="shared" si="18"/>
        <v>-4.96E-3</v>
      </c>
      <c r="AA65" s="1372"/>
      <c r="AB65" s="1372"/>
      <c r="AC65" s="1372"/>
      <c r="AD65" s="1372"/>
      <c r="AE65" s="1372"/>
      <c r="AF65" s="1372"/>
      <c r="AG65" s="1372"/>
      <c r="AH65" s="1372"/>
      <c r="AI65" s="1372"/>
      <c r="AJ65" s="1372"/>
      <c r="AK65" s="1372"/>
    </row>
    <row r="66" spans="1:37" s="1371" customFormat="1" ht="26.4">
      <c r="A66" s="2878" t="s">
        <v>2956</v>
      </c>
      <c r="B66" s="1726" t="str">
        <f>估价对象房地状况!C22</f>
        <v>估价对象所在区域基础设施水平较高</v>
      </c>
      <c r="C66" s="2770" t="s">
        <v>3329</v>
      </c>
      <c r="D66" s="1287">
        <f t="shared" si="14"/>
        <v>5.1999999999999998E-3</v>
      </c>
      <c r="E66" s="820"/>
      <c r="F66" s="2501"/>
      <c r="G66" s="1285">
        <v>5.1999999999999998E-3</v>
      </c>
      <c r="H66" s="1289">
        <f t="shared" si="15"/>
        <v>5.7000000000000002E-3</v>
      </c>
      <c r="I66" s="818">
        <v>0.12</v>
      </c>
      <c r="J66" s="1286">
        <f t="shared" si="16"/>
        <v>1.04E-2</v>
      </c>
      <c r="K66" s="1286">
        <f t="shared" si="17"/>
        <v>5.1999999999999998E-3</v>
      </c>
      <c r="L66" s="1286">
        <v>0</v>
      </c>
      <c r="M66" s="1286">
        <f t="shared" si="18"/>
        <v>-5.1999999999999998E-3</v>
      </c>
      <c r="N66" s="1286">
        <f t="shared" si="18"/>
        <v>-1.04E-2</v>
      </c>
      <c r="AA66" s="1372"/>
      <c r="AB66" s="1372"/>
      <c r="AC66" s="1372"/>
      <c r="AD66" s="1372"/>
      <c r="AE66" s="1372"/>
      <c r="AF66" s="1372"/>
      <c r="AG66" s="1372"/>
      <c r="AH66" s="1372"/>
      <c r="AI66" s="1372"/>
      <c r="AJ66" s="1372"/>
      <c r="AK66" s="1372"/>
    </row>
    <row r="67" spans="1:37" s="1371" customFormat="1" ht="66.599999999999994" thickBot="1">
      <c r="A67" s="2886" t="s">
        <v>2957</v>
      </c>
      <c r="B67" s="2888" t="str">
        <f>估价对象房地状况!C20</f>
        <v>区域自然环境：廉政文化公园；人文环境：自来水博物馆；综合评价环境状况较好</v>
      </c>
      <c r="C67" s="2770" t="s">
        <v>3329</v>
      </c>
      <c r="D67" s="1287">
        <f t="shared" si="14"/>
        <v>2E-3</v>
      </c>
      <c r="E67" s="823"/>
      <c r="F67" s="2501"/>
      <c r="G67" s="1285">
        <v>2E-3</v>
      </c>
      <c r="H67" s="1289">
        <f t="shared" si="15"/>
        <v>2.8E-3</v>
      </c>
      <c r="I67" s="822">
        <v>0.06</v>
      </c>
      <c r="J67" s="1286">
        <f t="shared" si="16"/>
        <v>4.0000000000000001E-3</v>
      </c>
      <c r="K67" s="1286">
        <f t="shared" si="17"/>
        <v>2E-3</v>
      </c>
      <c r="L67" s="1286">
        <v>0</v>
      </c>
      <c r="M67" s="1286">
        <f t="shared" si="18"/>
        <v>-2E-3</v>
      </c>
      <c r="N67" s="1286">
        <f t="shared" si="18"/>
        <v>-4.0000000000000001E-3</v>
      </c>
      <c r="AA67" s="1372"/>
      <c r="AB67" s="1372"/>
      <c r="AC67" s="1372"/>
      <c r="AD67" s="1372"/>
      <c r="AE67" s="1372"/>
      <c r="AF67" s="1372"/>
      <c r="AG67" s="1372"/>
      <c r="AH67" s="1372"/>
      <c r="AI67" s="1372"/>
      <c r="AJ67" s="1372"/>
      <c r="AK67" s="1372"/>
    </row>
    <row r="68" spans="1:37" s="1371" customFormat="1" ht="14.4">
      <c r="A68" s="2874" t="s">
        <v>2961</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5.2">
      <c r="A69" s="2878" t="s">
        <v>2939</v>
      </c>
      <c r="B69" s="2948"/>
      <c r="C69" s="2948" t="s">
        <v>2941</v>
      </c>
      <c r="D69" s="2948" t="s">
        <v>2942</v>
      </c>
      <c r="E69" s="817" t="s">
        <v>2943</v>
      </c>
      <c r="F69" s="2879" t="s">
        <v>2959</v>
      </c>
      <c r="G69" s="2948" t="s">
        <v>754</v>
      </c>
      <c r="H69" s="2880" t="s">
        <v>2945</v>
      </c>
      <c r="I69" s="2948" t="s">
        <v>2946</v>
      </c>
      <c r="J69" s="603" t="s">
        <v>2595</v>
      </c>
      <c r="K69" s="603" t="s">
        <v>2596</v>
      </c>
      <c r="L69" s="603" t="s">
        <v>2597</v>
      </c>
      <c r="M69" s="603" t="s">
        <v>2598</v>
      </c>
      <c r="N69" s="603" t="s">
        <v>2599</v>
      </c>
      <c r="AA69" s="1372"/>
      <c r="AB69" s="1372"/>
      <c r="AC69" s="1372"/>
      <c r="AD69" s="1372"/>
      <c r="AE69" s="1372"/>
      <c r="AF69" s="1372"/>
      <c r="AG69" s="1372"/>
      <c r="AH69" s="1372"/>
      <c r="AI69" s="1372"/>
      <c r="AJ69" s="1372"/>
      <c r="AK69" s="1372"/>
    </row>
    <row r="70" spans="1:37" s="1371" customFormat="1" ht="66">
      <c r="A70" s="2878" t="s">
        <v>2962</v>
      </c>
      <c r="B70" s="2881" t="str">
        <f>估价对象房地状况!C15</f>
        <v>估价对象周边居住用地比例、居住小区规模和社区发展完善程度，综合评价居住社区成熟度一般</v>
      </c>
      <c r="C70" s="2770"/>
      <c r="D70" s="1287">
        <f t="shared" ref="D70:D78" si="19">SUMIF($J$69:$N$69,C70,J70:N70)</f>
        <v>0</v>
      </c>
      <c r="E70" s="819">
        <f>ROUND(SUM(D70:D78),4)</f>
        <v>0</v>
      </c>
      <c r="F70" s="2501" t="str">
        <f>IF(E2="住宅",SUMIF(L1:L12,G2,N1:N12),"——")</f>
        <v>——</v>
      </c>
      <c r="G70" s="1285"/>
      <c r="H70" s="1289" t="str">
        <f t="shared" ref="H70:H78" si="20">IFERROR(ROUNDDOWN($F$70*I70/2,4),"——")</f>
        <v>——</v>
      </c>
      <c r="I70" s="818">
        <v>0.14000000000000001</v>
      </c>
      <c r="J70" s="1286">
        <f t="shared" ref="J70:J78" si="21">K70+$G70</f>
        <v>0</v>
      </c>
      <c r="K70" s="1286">
        <f t="shared" ref="K70:K78" si="22">$L70+$G70</f>
        <v>0</v>
      </c>
      <c r="L70" s="1286">
        <v>0</v>
      </c>
      <c r="M70" s="1286">
        <f t="shared" ref="M70:N78" si="23">L70-$G70</f>
        <v>0</v>
      </c>
      <c r="N70" s="1286">
        <f t="shared" si="23"/>
        <v>0</v>
      </c>
      <c r="AA70" s="1372"/>
      <c r="AB70" s="1372"/>
      <c r="AC70" s="1372"/>
      <c r="AD70" s="1372"/>
      <c r="AE70" s="1372"/>
      <c r="AF70" s="1372"/>
      <c r="AG70" s="1372"/>
      <c r="AH70" s="1372"/>
      <c r="AI70" s="1372"/>
      <c r="AJ70" s="1372"/>
      <c r="AK70" s="1372"/>
    </row>
    <row r="71" spans="1:37" s="1371" customFormat="1" ht="118.8">
      <c r="A71" s="2878" t="s">
        <v>2948</v>
      </c>
      <c r="B71" s="2882" t="str">
        <f>估价对象房地状况!C18</f>
        <v>估价对象周边道路状况较好（机场高速、香河园路）、公共交通较通达（2、机场线东直门站，18路、916路香河园路，359、915路东直门外站）、停车便捷程度，综合评价交通便捷度较好</v>
      </c>
      <c r="C71" s="2770"/>
      <c r="D71" s="1287">
        <f t="shared" si="19"/>
        <v>0</v>
      </c>
      <c r="E71" s="824"/>
      <c r="F71" s="2501"/>
      <c r="G71" s="1285"/>
      <c r="H71" s="1289" t="str">
        <f t="shared" si="20"/>
        <v>——</v>
      </c>
      <c r="I71" s="818">
        <v>0.3</v>
      </c>
      <c r="J71" s="1286">
        <f t="shared" si="21"/>
        <v>0</v>
      </c>
      <c r="K71" s="1286">
        <f t="shared" si="22"/>
        <v>0</v>
      </c>
      <c r="L71" s="1286">
        <v>0</v>
      </c>
      <c r="M71" s="1286">
        <f t="shared" si="23"/>
        <v>0</v>
      </c>
      <c r="N71" s="1286">
        <f t="shared" si="23"/>
        <v>0</v>
      </c>
      <c r="AA71" s="1372"/>
      <c r="AB71" s="1372"/>
      <c r="AC71" s="1372"/>
      <c r="AD71" s="1372"/>
      <c r="AE71" s="1372"/>
      <c r="AF71" s="1372"/>
      <c r="AG71" s="1372"/>
      <c r="AH71" s="1372"/>
      <c r="AI71" s="1372"/>
      <c r="AJ71" s="1372"/>
      <c r="AK71" s="1372"/>
    </row>
    <row r="72" spans="1:37" s="1371" customFormat="1" ht="24">
      <c r="A72" s="2878" t="s">
        <v>2949</v>
      </c>
      <c r="B72" s="2882" t="str">
        <f>估价对象房地状况!C19</f>
        <v>较一致</v>
      </c>
      <c r="C72" s="2770"/>
      <c r="D72" s="1287">
        <f t="shared" si="19"/>
        <v>0</v>
      </c>
      <c r="E72" s="824"/>
      <c r="F72" s="2501"/>
      <c r="G72" s="1285"/>
      <c r="H72" s="1289" t="str">
        <f t="shared" si="20"/>
        <v>——</v>
      </c>
      <c r="I72" s="818">
        <v>0.08</v>
      </c>
      <c r="J72" s="1286">
        <f t="shared" si="21"/>
        <v>0</v>
      </c>
      <c r="K72" s="1286">
        <f t="shared" si="22"/>
        <v>0</v>
      </c>
      <c r="L72" s="1286">
        <v>0</v>
      </c>
      <c r="M72" s="1286">
        <f t="shared" si="23"/>
        <v>0</v>
      </c>
      <c r="N72" s="1286">
        <f t="shared" si="23"/>
        <v>0</v>
      </c>
      <c r="AA72" s="1372"/>
      <c r="AB72" s="1372"/>
      <c r="AC72" s="1372"/>
      <c r="AD72" s="1372"/>
      <c r="AE72" s="1372"/>
      <c r="AF72" s="1372"/>
      <c r="AG72" s="1372"/>
      <c r="AH72" s="1372"/>
      <c r="AI72" s="1372"/>
      <c r="AJ72" s="1372"/>
      <c r="AK72" s="1372"/>
    </row>
    <row r="73" spans="1:37" s="1371" customFormat="1" ht="13.8">
      <c r="A73" s="2878" t="s">
        <v>2963</v>
      </c>
      <c r="B73" s="2882">
        <f>估价对象房地状况!C24</f>
        <v>0</v>
      </c>
      <c r="C73" s="2770"/>
      <c r="D73" s="1287">
        <f t="shared" si="19"/>
        <v>0</v>
      </c>
      <c r="E73" s="824"/>
      <c r="F73" s="2501"/>
      <c r="G73" s="1285"/>
      <c r="H73" s="1289" t="str">
        <f t="shared" si="20"/>
        <v>——</v>
      </c>
      <c r="I73" s="818">
        <v>0.04</v>
      </c>
      <c r="J73" s="1286">
        <f t="shared" si="21"/>
        <v>0</v>
      </c>
      <c r="K73" s="1286">
        <f t="shared" si="22"/>
        <v>0</v>
      </c>
      <c r="L73" s="1286">
        <v>0</v>
      </c>
      <c r="M73" s="1286">
        <f t="shared" si="23"/>
        <v>0</v>
      </c>
      <c r="N73" s="1286">
        <f t="shared" si="23"/>
        <v>0</v>
      </c>
      <c r="AA73" s="1372"/>
      <c r="AB73" s="1372"/>
      <c r="AC73" s="1372"/>
      <c r="AD73" s="1372"/>
      <c r="AE73" s="1372"/>
      <c r="AF73" s="1372"/>
      <c r="AG73" s="1372"/>
      <c r="AH73" s="1372"/>
      <c r="AI73" s="1372"/>
      <c r="AJ73" s="1372"/>
      <c r="AK73" s="1372"/>
    </row>
    <row r="74" spans="1:37" s="1371" customFormat="1" ht="26.4">
      <c r="A74" s="2878" t="s">
        <v>2955</v>
      </c>
      <c r="B74" s="1726" t="str">
        <f>估价对象房地状况!C21</f>
        <v>估价对象所在区域公共配套设施齐备</v>
      </c>
      <c r="C74" s="2770"/>
      <c r="D74" s="1287">
        <f t="shared" si="19"/>
        <v>0</v>
      </c>
      <c r="E74" s="824"/>
      <c r="F74" s="2501"/>
      <c r="G74" s="1285"/>
      <c r="H74" s="1289" t="str">
        <f t="shared" si="20"/>
        <v>——</v>
      </c>
      <c r="I74" s="818">
        <v>0.08</v>
      </c>
      <c r="J74" s="1286">
        <f t="shared" si="21"/>
        <v>0</v>
      </c>
      <c r="K74" s="1286">
        <f t="shared" si="22"/>
        <v>0</v>
      </c>
      <c r="L74" s="1286">
        <v>0</v>
      </c>
      <c r="M74" s="1286">
        <f t="shared" si="23"/>
        <v>0</v>
      </c>
      <c r="N74" s="1286">
        <f t="shared" si="23"/>
        <v>0</v>
      </c>
      <c r="AA74" s="1372"/>
      <c r="AB74" s="1372"/>
      <c r="AC74" s="1372"/>
      <c r="AD74" s="1372"/>
      <c r="AE74" s="1372"/>
      <c r="AF74" s="1372"/>
      <c r="AG74" s="1372"/>
      <c r="AH74" s="1372"/>
      <c r="AI74" s="1372"/>
      <c r="AJ74" s="1372"/>
      <c r="AK74" s="1372"/>
    </row>
    <row r="75" spans="1:37" s="1371" customFormat="1" ht="26.4">
      <c r="A75" s="2878" t="s">
        <v>2956</v>
      </c>
      <c r="B75" s="1726" t="str">
        <f>估价对象房地状况!C22</f>
        <v>估价对象所在区域基础设施水平较高</v>
      </c>
      <c r="C75" s="2770"/>
      <c r="D75" s="1287">
        <f t="shared" si="19"/>
        <v>0</v>
      </c>
      <c r="E75" s="824"/>
      <c r="F75" s="2501"/>
      <c r="G75" s="1285"/>
      <c r="H75" s="1289" t="str">
        <f t="shared" si="20"/>
        <v>——</v>
      </c>
      <c r="I75" s="818">
        <v>0.12</v>
      </c>
      <c r="J75" s="1286">
        <f t="shared" si="21"/>
        <v>0</v>
      </c>
      <c r="K75" s="1286">
        <f t="shared" si="22"/>
        <v>0</v>
      </c>
      <c r="L75" s="1286">
        <v>0</v>
      </c>
      <c r="M75" s="1286">
        <f t="shared" si="23"/>
        <v>0</v>
      </c>
      <c r="N75" s="1286">
        <f t="shared" si="23"/>
        <v>0</v>
      </c>
      <c r="AA75" s="1372"/>
      <c r="AB75" s="1372"/>
      <c r="AC75" s="1372"/>
      <c r="AD75" s="1372"/>
      <c r="AE75" s="1372"/>
      <c r="AF75" s="1372"/>
      <c r="AG75" s="1372"/>
      <c r="AH75" s="1372"/>
      <c r="AI75" s="1372"/>
      <c r="AJ75" s="1372"/>
      <c r="AK75" s="1372"/>
    </row>
    <row r="76" spans="1:37" s="2719" customFormat="1" ht="36">
      <c r="A76" s="2878" t="s">
        <v>2953</v>
      </c>
      <c r="B76" s="2884" t="s">
        <v>2954</v>
      </c>
      <c r="C76" s="2770"/>
      <c r="D76" s="1287">
        <f t="shared" si="19"/>
        <v>0</v>
      </c>
      <c r="E76" s="824"/>
      <c r="F76" s="2501"/>
      <c r="G76" s="1285"/>
      <c r="H76" s="1289" t="str">
        <f t="shared" si="20"/>
        <v>——</v>
      </c>
      <c r="I76" s="818">
        <v>0.05</v>
      </c>
      <c r="J76" s="1286">
        <f t="shared" si="21"/>
        <v>0</v>
      </c>
      <c r="K76" s="1286">
        <f t="shared" si="22"/>
        <v>0</v>
      </c>
      <c r="L76" s="1286">
        <v>0</v>
      </c>
      <c r="M76" s="1286">
        <f t="shared" si="23"/>
        <v>0</v>
      </c>
      <c r="N76" s="1286">
        <f t="shared" si="23"/>
        <v>0</v>
      </c>
      <c r="AA76" s="2889"/>
      <c r="AB76" s="1372"/>
      <c r="AC76" s="1372"/>
      <c r="AD76" s="1372"/>
      <c r="AE76" s="1372"/>
      <c r="AF76" s="1372"/>
      <c r="AG76" s="1372"/>
      <c r="AH76" s="2889"/>
      <c r="AI76" s="2889"/>
      <c r="AJ76" s="2889"/>
      <c r="AK76" s="2889"/>
    </row>
    <row r="77" spans="1:37" ht="66">
      <c r="A77" s="2878" t="s">
        <v>2957</v>
      </c>
      <c r="B77" s="2881" t="str">
        <f>估价对象房地状况!C20</f>
        <v>区域自然环境：廉政文化公园；人文环境：自来水博物馆；综合评价环境状况较好</v>
      </c>
      <c r="C77" s="2770"/>
      <c r="D77" s="1287">
        <f t="shared" si="19"/>
        <v>0</v>
      </c>
      <c r="E77" s="824"/>
      <c r="F77" s="2501"/>
      <c r="G77" s="1285"/>
      <c r="H77" s="1289" t="str">
        <f t="shared" si="20"/>
        <v>——</v>
      </c>
      <c r="I77" s="818">
        <v>0.15</v>
      </c>
      <c r="J77" s="1286">
        <f t="shared" si="21"/>
        <v>0</v>
      </c>
      <c r="K77" s="1286">
        <f t="shared" si="22"/>
        <v>0</v>
      </c>
      <c r="L77" s="1286">
        <v>0</v>
      </c>
      <c r="M77" s="1286">
        <f t="shared" si="23"/>
        <v>0</v>
      </c>
      <c r="N77" s="1286">
        <f t="shared" si="23"/>
        <v>0</v>
      </c>
      <c r="Z77" s="2720"/>
      <c r="AA77" s="2796"/>
      <c r="AG77" s="1373"/>
      <c r="AK77" s="2796"/>
    </row>
    <row r="78" spans="1:37" ht="36.6" thickBot="1">
      <c r="A78" s="2886" t="s">
        <v>2964</v>
      </c>
      <c r="B78" s="2890"/>
      <c r="C78" s="2770"/>
      <c r="D78" s="1287">
        <f t="shared" si="19"/>
        <v>0</v>
      </c>
      <c r="E78" s="825"/>
      <c r="F78" s="2501"/>
      <c r="G78" s="1285"/>
      <c r="H78" s="1289" t="str">
        <f t="shared" si="20"/>
        <v>——</v>
      </c>
      <c r="I78" s="822">
        <v>0.04</v>
      </c>
      <c r="J78" s="1286">
        <f t="shared" si="21"/>
        <v>0</v>
      </c>
      <c r="K78" s="1286">
        <f t="shared" si="22"/>
        <v>0</v>
      </c>
      <c r="L78" s="1286">
        <v>0</v>
      </c>
      <c r="M78" s="1286">
        <f t="shared" si="23"/>
        <v>0</v>
      </c>
      <c r="N78" s="1286">
        <f t="shared" si="23"/>
        <v>0</v>
      </c>
      <c r="Z78" s="2720"/>
      <c r="AA78" s="2796"/>
      <c r="AG78" s="1373"/>
      <c r="AK78" s="2796"/>
    </row>
    <row r="79" spans="1:37" ht="14.4">
      <c r="A79" s="2874" t="s">
        <v>2965</v>
      </c>
      <c r="B79" s="2875">
        <f>1+E81</f>
        <v>1</v>
      </c>
      <c r="C79" s="812"/>
      <c r="D79" s="812"/>
      <c r="E79" s="813"/>
      <c r="F79" s="2877"/>
      <c r="G79" s="6"/>
      <c r="H79" s="6"/>
      <c r="I79" s="6"/>
      <c r="J79" s="7"/>
      <c r="K79" s="7"/>
      <c r="L79" s="7"/>
      <c r="M79" s="7"/>
      <c r="N79" s="7"/>
      <c r="Z79" s="2720"/>
      <c r="AA79" s="2796"/>
      <c r="AG79" s="1373"/>
      <c r="AK79" s="2796"/>
    </row>
    <row r="80" spans="1:37" ht="25.2">
      <c r="A80" s="2878" t="s">
        <v>2939</v>
      </c>
      <c r="B80" s="2948"/>
      <c r="C80" s="2948" t="s">
        <v>2941</v>
      </c>
      <c r="D80" s="2948" t="s">
        <v>2942</v>
      </c>
      <c r="E80" s="817" t="s">
        <v>2943</v>
      </c>
      <c r="F80" s="2879" t="s">
        <v>2959</v>
      </c>
      <c r="G80" s="2948" t="s">
        <v>754</v>
      </c>
      <c r="H80" s="2880" t="s">
        <v>2945</v>
      </c>
      <c r="I80" s="2948" t="s">
        <v>2946</v>
      </c>
      <c r="J80" s="603" t="s">
        <v>2595</v>
      </c>
      <c r="K80" s="603" t="s">
        <v>2596</v>
      </c>
      <c r="L80" s="603" t="s">
        <v>2597</v>
      </c>
      <c r="M80" s="603" t="s">
        <v>2598</v>
      </c>
      <c r="N80" s="603" t="s">
        <v>2599</v>
      </c>
      <c r="Z80" s="2720"/>
      <c r="AA80" s="2796"/>
      <c r="AG80" s="1373"/>
      <c r="AK80" s="2796"/>
    </row>
    <row r="81" spans="1:37" ht="39.6">
      <c r="A81" s="2878" t="s">
        <v>2966</v>
      </c>
      <c r="B81" s="2882" t="str">
        <f>估价对象房地状况!G15</f>
        <v>估价对象位于XX开发区，园区建设成熟度XX，产业集聚程度XX</v>
      </c>
      <c r="C81" s="2770"/>
      <c r="D81" s="1287">
        <f t="shared" ref="D81:D88" si="24">SUMIF($J$80:$N$80,C81,J81:N81)</f>
        <v>0</v>
      </c>
      <c r="E81" s="819">
        <f>ROUND(SUM(D81:D88),4)</f>
        <v>0</v>
      </c>
      <c r="F81" s="2501" t="str">
        <f>IF(E2="工业",SUMIF(L1:L12,G2,N1:N12),"——")</f>
        <v>——</v>
      </c>
      <c r="G81" s="1285"/>
      <c r="H81" s="1289" t="str">
        <f t="shared" ref="H81:H88" si="25">IFERROR(ROUNDDOWN($F$81*I81/2,4),"——")</f>
        <v>——</v>
      </c>
      <c r="I81" s="818">
        <v>0.26</v>
      </c>
      <c r="J81" s="1286">
        <f t="shared" ref="J81:J88" si="26">K81+$G81</f>
        <v>0</v>
      </c>
      <c r="K81" s="1286">
        <f t="shared" ref="K81:K88" si="27">$L81+$G81</f>
        <v>0</v>
      </c>
      <c r="L81" s="1286">
        <v>0</v>
      </c>
      <c r="M81" s="1286">
        <f t="shared" ref="M81:N88" si="28">L81-$G81</f>
        <v>0</v>
      </c>
      <c r="N81" s="1286">
        <f t="shared" si="28"/>
        <v>0</v>
      </c>
      <c r="Z81" s="2720"/>
      <c r="AA81" s="2796"/>
      <c r="AG81" s="1373"/>
      <c r="AK81" s="2796"/>
    </row>
    <row r="82" spans="1:37" ht="66">
      <c r="A82" s="2878" t="s">
        <v>2948</v>
      </c>
      <c r="B82" s="2882" t="str">
        <f>估价对象房地状况!G16</f>
        <v>估价对象周边道路状况、公共交通通达情况、停车便捷程度，综合评价交通便捷度较好</v>
      </c>
      <c r="C82" s="2770"/>
      <c r="D82" s="1287">
        <f t="shared" si="24"/>
        <v>0</v>
      </c>
      <c r="E82" s="824"/>
      <c r="F82" s="2501"/>
      <c r="G82" s="1285"/>
      <c r="H82" s="1289" t="str">
        <f t="shared" si="25"/>
        <v>——</v>
      </c>
      <c r="I82" s="818">
        <v>0.33</v>
      </c>
      <c r="J82" s="1286">
        <f t="shared" si="26"/>
        <v>0</v>
      </c>
      <c r="K82" s="1286">
        <f t="shared" si="27"/>
        <v>0</v>
      </c>
      <c r="L82" s="1286">
        <v>0</v>
      </c>
      <c r="M82" s="1286">
        <f t="shared" si="28"/>
        <v>0</v>
      </c>
      <c r="N82" s="1286">
        <f t="shared" si="28"/>
        <v>0</v>
      </c>
      <c r="Z82" s="2720"/>
      <c r="AA82" s="2796"/>
      <c r="AG82" s="1373"/>
      <c r="AK82" s="2796"/>
    </row>
    <row r="83" spans="1:37" ht="24">
      <c r="A83" s="2878" t="s">
        <v>2949</v>
      </c>
      <c r="B83" s="2882">
        <f>估价对象房地状况!G17</f>
        <v>0</v>
      </c>
      <c r="C83" s="2770"/>
      <c r="D83" s="1287">
        <f t="shared" si="24"/>
        <v>0</v>
      </c>
      <c r="E83" s="824"/>
      <c r="F83" s="2501"/>
      <c r="G83" s="1285"/>
      <c r="H83" s="1289" t="str">
        <f t="shared" si="25"/>
        <v>——</v>
      </c>
      <c r="I83" s="818">
        <v>0.05</v>
      </c>
      <c r="J83" s="1286">
        <f t="shared" si="26"/>
        <v>0</v>
      </c>
      <c r="K83" s="1286">
        <f t="shared" si="27"/>
        <v>0</v>
      </c>
      <c r="L83" s="1286">
        <v>0</v>
      </c>
      <c r="M83" s="1286">
        <f t="shared" si="28"/>
        <v>0</v>
      </c>
      <c r="N83" s="1286">
        <f t="shared" si="28"/>
        <v>0</v>
      </c>
      <c r="Z83" s="2720"/>
      <c r="AA83" s="2796"/>
      <c r="AG83" s="1373"/>
      <c r="AK83" s="2796"/>
    </row>
    <row r="84" spans="1:37" ht="13.8">
      <c r="A84" s="2878" t="s">
        <v>2963</v>
      </c>
      <c r="B84" s="2882">
        <f>估价对象房地状况!G22</f>
        <v>0</v>
      </c>
      <c r="C84" s="2770"/>
      <c r="D84" s="1287">
        <f t="shared" si="24"/>
        <v>0</v>
      </c>
      <c r="E84" s="824"/>
      <c r="F84" s="2501"/>
      <c r="G84" s="1285"/>
      <c r="H84" s="1289" t="str">
        <f t="shared" si="25"/>
        <v>——</v>
      </c>
      <c r="I84" s="818">
        <v>0.04</v>
      </c>
      <c r="J84" s="1286">
        <f t="shared" si="26"/>
        <v>0</v>
      </c>
      <c r="K84" s="1286">
        <f t="shared" si="27"/>
        <v>0</v>
      </c>
      <c r="L84" s="1286">
        <v>0</v>
      </c>
      <c r="M84" s="1286">
        <f t="shared" si="28"/>
        <v>0</v>
      </c>
      <c r="N84" s="1286">
        <f t="shared" si="28"/>
        <v>0</v>
      </c>
      <c r="Z84" s="2720"/>
      <c r="AA84" s="2796"/>
      <c r="AG84" s="1373"/>
      <c r="AK84" s="2796"/>
    </row>
    <row r="85" spans="1:37" ht="26.4">
      <c r="A85" s="2878" t="s">
        <v>2955</v>
      </c>
      <c r="B85" s="1726" t="str">
        <f>估价对象房地状况!G19</f>
        <v>估价对象所在区域公共配套设施齐备情况</v>
      </c>
      <c r="C85" s="2770"/>
      <c r="D85" s="1287">
        <f t="shared" si="24"/>
        <v>0</v>
      </c>
      <c r="E85" s="824"/>
      <c r="F85" s="2501"/>
      <c r="G85" s="1285"/>
      <c r="H85" s="1289" t="str">
        <f t="shared" si="25"/>
        <v>——</v>
      </c>
      <c r="I85" s="818">
        <v>0.06</v>
      </c>
      <c r="J85" s="1286">
        <f t="shared" si="26"/>
        <v>0</v>
      </c>
      <c r="K85" s="1286">
        <f t="shared" si="27"/>
        <v>0</v>
      </c>
      <c r="L85" s="1286">
        <v>0</v>
      </c>
      <c r="M85" s="1286">
        <f t="shared" si="28"/>
        <v>0</v>
      </c>
      <c r="N85" s="1286">
        <f t="shared" si="28"/>
        <v>0</v>
      </c>
      <c r="Z85" s="2720"/>
      <c r="AA85" s="2796"/>
      <c r="AG85" s="1373"/>
      <c r="AK85" s="2796"/>
    </row>
    <row r="86" spans="1:37" ht="26.4">
      <c r="A86" s="2878" t="s">
        <v>2956</v>
      </c>
      <c r="B86" s="1726" t="str">
        <f>估价对象房地状况!G20</f>
        <v>估价对象所在区域基础设施水平</v>
      </c>
      <c r="C86" s="2770"/>
      <c r="D86" s="1287">
        <f t="shared" si="24"/>
        <v>0</v>
      </c>
      <c r="E86" s="824"/>
      <c r="F86" s="2501"/>
      <c r="G86" s="1285"/>
      <c r="H86" s="1289" t="str">
        <f t="shared" si="25"/>
        <v>——</v>
      </c>
      <c r="I86" s="818">
        <v>0.15</v>
      </c>
      <c r="J86" s="1286">
        <f t="shared" si="26"/>
        <v>0</v>
      </c>
      <c r="K86" s="1286">
        <f t="shared" si="27"/>
        <v>0</v>
      </c>
      <c r="L86" s="1286">
        <v>0</v>
      </c>
      <c r="M86" s="1286">
        <f t="shared" si="28"/>
        <v>0</v>
      </c>
      <c r="N86" s="1286">
        <f t="shared" si="28"/>
        <v>0</v>
      </c>
      <c r="Z86" s="2720"/>
      <c r="AA86" s="2796"/>
      <c r="AG86" s="1373"/>
      <c r="AK86" s="2796"/>
    </row>
    <row r="87" spans="1:37" ht="36">
      <c r="A87" s="2878" t="s">
        <v>2953</v>
      </c>
      <c r="B87" s="2884" t="s">
        <v>2967</v>
      </c>
      <c r="C87" s="2770"/>
      <c r="D87" s="1287">
        <f t="shared" si="24"/>
        <v>0</v>
      </c>
      <c r="E87" s="824"/>
      <c r="F87" s="2501"/>
      <c r="G87" s="1285"/>
      <c r="H87" s="1289" t="str">
        <f t="shared" si="25"/>
        <v>——</v>
      </c>
      <c r="I87" s="818">
        <v>0.05</v>
      </c>
      <c r="J87" s="1286">
        <f t="shared" si="26"/>
        <v>0</v>
      </c>
      <c r="K87" s="1286">
        <f t="shared" si="27"/>
        <v>0</v>
      </c>
      <c r="L87" s="1286">
        <v>0</v>
      </c>
      <c r="M87" s="1286">
        <f t="shared" si="28"/>
        <v>0</v>
      </c>
      <c r="N87" s="1286">
        <f t="shared" si="28"/>
        <v>0</v>
      </c>
      <c r="Z87" s="2720"/>
      <c r="AA87" s="2796"/>
      <c r="AG87" s="1373"/>
      <c r="AK87" s="2796"/>
    </row>
    <row r="88" spans="1:37" ht="53.4" thickBot="1">
      <c r="A88" s="2886" t="s">
        <v>2968</v>
      </c>
      <c r="B88" s="2891" t="str">
        <f>估价对象房地状况!G18</f>
        <v>该园区内是否有污染型企业，绿化情况，卫生条件，整体环境状况判断</v>
      </c>
      <c r="C88" s="2770"/>
      <c r="D88" s="1287">
        <f t="shared" si="24"/>
        <v>0</v>
      </c>
      <c r="E88" s="825"/>
      <c r="F88" s="2501"/>
      <c r="G88" s="1285"/>
      <c r="H88" s="1289" t="str">
        <f t="shared" si="25"/>
        <v>——</v>
      </c>
      <c r="I88" s="822">
        <v>0.06</v>
      </c>
      <c r="J88" s="1286">
        <f t="shared" si="26"/>
        <v>0</v>
      </c>
      <c r="K88" s="1286">
        <f t="shared" si="27"/>
        <v>0</v>
      </c>
      <c r="L88" s="1286">
        <v>0</v>
      </c>
      <c r="M88" s="1286">
        <f t="shared" si="28"/>
        <v>0</v>
      </c>
      <c r="N88" s="1286">
        <f t="shared" si="28"/>
        <v>0</v>
      </c>
      <c r="Z88" s="2720"/>
      <c r="AA88" s="2796"/>
      <c r="AG88" s="1373"/>
      <c r="AK88" s="2796"/>
    </row>
    <row r="90" spans="1:37">
      <c r="A90" s="3661" t="s">
        <v>2969</v>
      </c>
      <c r="B90" s="3661"/>
      <c r="C90" s="3661"/>
      <c r="D90" s="3661"/>
      <c r="E90" s="3661"/>
      <c r="F90" s="3661"/>
      <c r="G90" s="3661"/>
      <c r="H90" s="3661"/>
      <c r="I90" s="3661"/>
      <c r="J90" s="3661"/>
      <c r="K90" s="2957"/>
      <c r="L90" s="2957"/>
      <c r="M90" s="2957"/>
      <c r="N90" s="2957"/>
    </row>
    <row r="91" spans="1:37">
      <c r="A91" s="3663" t="s">
        <v>2970</v>
      </c>
      <c r="B91" s="3663" t="s">
        <v>2971</v>
      </c>
      <c r="C91" s="2846" t="s">
        <v>2972</v>
      </c>
      <c r="D91" s="2847"/>
      <c r="E91" s="2847"/>
      <c r="F91" s="2847"/>
      <c r="G91" s="2847"/>
      <c r="H91" s="2847"/>
      <c r="I91" s="2847"/>
      <c r="J91" s="2893"/>
      <c r="K91" s="2894"/>
      <c r="L91" s="2894"/>
      <c r="M91" s="2894"/>
      <c r="N91" s="2894"/>
    </row>
    <row r="92" spans="1:37">
      <c r="A92" s="3663"/>
      <c r="B92" s="3663"/>
      <c r="C92" s="2959" t="s">
        <v>2837</v>
      </c>
      <c r="D92" s="2959" t="s">
        <v>2838</v>
      </c>
      <c r="E92" s="2959" t="s">
        <v>2839</v>
      </c>
      <c r="F92" s="2959" t="s">
        <v>2840</v>
      </c>
      <c r="G92" s="2959" t="s">
        <v>2841</v>
      </c>
      <c r="H92" s="2959" t="s">
        <v>2842</v>
      </c>
      <c r="I92" s="2959" t="s">
        <v>2843</v>
      </c>
      <c r="J92" s="2959" t="s">
        <v>2844</v>
      </c>
      <c r="K92" s="2959" t="s">
        <v>2845</v>
      </c>
      <c r="L92" s="2959" t="s">
        <v>2846</v>
      </c>
      <c r="M92" s="2959" t="s">
        <v>2847</v>
      </c>
      <c r="N92" s="2959" t="s">
        <v>2848</v>
      </c>
    </row>
    <row r="93" spans="1:37">
      <c r="A93" s="3664" t="s">
        <v>2973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66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66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66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66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66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665"/>
      <c r="B99" s="2895" t="s">
        <v>2853</v>
      </c>
      <c r="C99" s="2897">
        <f>$I$3</f>
        <v>0</v>
      </c>
      <c r="D99" s="2897">
        <f t="shared" ref="D99:M99" si="29">$I$3</f>
        <v>0</v>
      </c>
      <c r="E99" s="2897">
        <f t="shared" si="29"/>
        <v>0</v>
      </c>
      <c r="F99" s="2897">
        <f t="shared" si="29"/>
        <v>0</v>
      </c>
      <c r="G99" s="2897">
        <f t="shared" si="29"/>
        <v>0</v>
      </c>
      <c r="H99" s="2897">
        <f t="shared" si="29"/>
        <v>0</v>
      </c>
      <c r="I99" s="2897">
        <f t="shared" si="29"/>
        <v>0</v>
      </c>
      <c r="J99" s="2897">
        <f t="shared" si="29"/>
        <v>0</v>
      </c>
      <c r="K99" s="2897">
        <f t="shared" si="29"/>
        <v>0</v>
      </c>
      <c r="L99" s="2897">
        <f t="shared" si="29"/>
        <v>0</v>
      </c>
      <c r="M99" s="2897">
        <f t="shared" si="29"/>
        <v>0</v>
      </c>
      <c r="N99" s="2897">
        <f>$I$3</f>
        <v>0</v>
      </c>
    </row>
    <row r="100" spans="1:14">
      <c r="A100" s="366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664" t="s">
        <v>2974</v>
      </c>
      <c r="B101" s="2899" t="s">
        <v>2975</v>
      </c>
      <c r="C101" s="2900">
        <f>$G$3</f>
        <v>7.5</v>
      </c>
      <c r="D101" s="2900">
        <f t="shared" ref="D101:N101" si="30">$G$3</f>
        <v>7.5</v>
      </c>
      <c r="E101" s="2900">
        <f t="shared" si="30"/>
        <v>7.5</v>
      </c>
      <c r="F101" s="2900">
        <f t="shared" si="30"/>
        <v>7.5</v>
      </c>
      <c r="G101" s="2900">
        <f t="shared" si="30"/>
        <v>7.5</v>
      </c>
      <c r="H101" s="2900">
        <f t="shared" si="30"/>
        <v>7.5</v>
      </c>
      <c r="I101" s="2900">
        <f t="shared" si="30"/>
        <v>7.5</v>
      </c>
      <c r="J101" s="2900">
        <f t="shared" si="30"/>
        <v>7.5</v>
      </c>
      <c r="K101" s="2900">
        <f t="shared" si="30"/>
        <v>7.5</v>
      </c>
      <c r="L101" s="2900">
        <f t="shared" si="30"/>
        <v>7.5</v>
      </c>
      <c r="M101" s="2900">
        <f t="shared" si="30"/>
        <v>7.5</v>
      </c>
      <c r="N101" s="2900">
        <f t="shared" si="30"/>
        <v>7.5</v>
      </c>
    </row>
    <row r="102" spans="1:14">
      <c r="A102" s="3665"/>
      <c r="B102" s="2895">
        <v>1</v>
      </c>
      <c r="C102" s="2896">
        <f>1.9362/C101</f>
        <v>0.25816</v>
      </c>
      <c r="D102" s="2896">
        <f>1.9362/D101</f>
        <v>0.25816</v>
      </c>
      <c r="E102" s="2896">
        <f>1.8629/E101</f>
        <v>0.24838666666666667</v>
      </c>
      <c r="F102" s="2896">
        <f>1.8629/F101</f>
        <v>0.24838666666666667</v>
      </c>
      <c r="G102" s="2896">
        <f>1.8629/G101</f>
        <v>0.24838666666666667</v>
      </c>
      <c r="H102" s="2896">
        <f>1.8629/H101</f>
        <v>0.24838666666666667</v>
      </c>
      <c r="I102" s="2896">
        <f>1.8629/I101</f>
        <v>0.24838666666666667</v>
      </c>
      <c r="J102" s="2896">
        <f>1.942/J101</f>
        <v>0.25893333333333335</v>
      </c>
      <c r="K102" s="2896">
        <f>1.942/K101</f>
        <v>0.25893333333333335</v>
      </c>
      <c r="L102" s="2896">
        <f>1.942/L101</f>
        <v>0.25893333333333335</v>
      </c>
      <c r="M102" s="2896">
        <f>1.942/M101</f>
        <v>0.25893333333333335</v>
      </c>
      <c r="N102" s="2896">
        <f>1.942/N101</f>
        <v>0.25893333333333335</v>
      </c>
    </row>
    <row r="103" spans="1:14">
      <c r="A103" s="3665"/>
      <c r="B103" s="2895">
        <v>2</v>
      </c>
      <c r="C103" s="2896">
        <f>1.4198/C101</f>
        <v>0.18930666666666665</v>
      </c>
      <c r="D103" s="2896">
        <f>1.4198/D101</f>
        <v>0.18930666666666665</v>
      </c>
      <c r="E103" s="2896">
        <f>1.3372/E101</f>
        <v>0.17829333333333333</v>
      </c>
      <c r="F103" s="2896">
        <f>1.3372/F101</f>
        <v>0.17829333333333333</v>
      </c>
      <c r="G103" s="2896">
        <f>1.3372/G101</f>
        <v>0.17829333333333333</v>
      </c>
      <c r="H103" s="2896">
        <f>1.3372/H101</f>
        <v>0.17829333333333333</v>
      </c>
      <c r="I103" s="2896">
        <f>1.3372/I101</f>
        <v>0.17829333333333333</v>
      </c>
      <c r="J103" s="2896">
        <f>1.2799/J101</f>
        <v>0.17065333333333335</v>
      </c>
      <c r="K103" s="2896">
        <f>1.2799/K101</f>
        <v>0.17065333333333335</v>
      </c>
      <c r="L103" s="2896">
        <f>1.2799/L101</f>
        <v>0.17065333333333335</v>
      </c>
      <c r="M103" s="2896">
        <f>1.2799/M101</f>
        <v>0.17065333333333335</v>
      </c>
      <c r="N103" s="2896">
        <f>1.2799/N101</f>
        <v>0.17065333333333335</v>
      </c>
    </row>
    <row r="104" spans="1:14">
      <c r="A104" s="3665"/>
      <c r="B104" s="2895">
        <v>3</v>
      </c>
      <c r="C104" s="2896">
        <f>1.1594/C101</f>
        <v>0.15458666666666668</v>
      </c>
      <c r="D104" s="2896">
        <f>1.1594/D101</f>
        <v>0.15458666666666668</v>
      </c>
      <c r="E104" s="2896">
        <f>1.0788/E101</f>
        <v>0.14384</v>
      </c>
      <c r="F104" s="2896">
        <f>1.0788/F101</f>
        <v>0.14384</v>
      </c>
      <c r="G104" s="2896">
        <f>1.0788/G101</f>
        <v>0.14384</v>
      </c>
      <c r="H104" s="2896">
        <f>1.0788/H101</f>
        <v>0.14384</v>
      </c>
      <c r="I104" s="2896">
        <f>1.0788/I101</f>
        <v>0.14384</v>
      </c>
      <c r="J104" s="2896">
        <f>1.0072/J101</f>
        <v>0.13429333333333335</v>
      </c>
      <c r="K104" s="2896">
        <f>1.0072/K101</f>
        <v>0.13429333333333335</v>
      </c>
      <c r="L104" s="2896">
        <f>1.0072/L101</f>
        <v>0.13429333333333335</v>
      </c>
      <c r="M104" s="2896">
        <f>1.0072/M101</f>
        <v>0.13429333333333335</v>
      </c>
      <c r="N104" s="2896">
        <f>1.0072/N101</f>
        <v>0.13429333333333335</v>
      </c>
    </row>
    <row r="105" spans="1:14">
      <c r="A105" s="3665"/>
      <c r="B105" s="2895">
        <v>4</v>
      </c>
      <c r="C105" s="2896">
        <f>0.9622/C101</f>
        <v>0.12829333333333334</v>
      </c>
      <c r="D105" s="2896">
        <f>0.9622/D101</f>
        <v>0.12829333333333334</v>
      </c>
      <c r="E105" s="2896">
        <f>0.8656/E101</f>
        <v>0.11541333333333334</v>
      </c>
      <c r="F105" s="2896">
        <f>0.8656/F101</f>
        <v>0.11541333333333334</v>
      </c>
      <c r="G105" s="2896">
        <f>0.8656/G101</f>
        <v>0.11541333333333334</v>
      </c>
      <c r="H105" s="2896">
        <f>0.8656/H101</f>
        <v>0.11541333333333334</v>
      </c>
      <c r="I105" s="2896">
        <f>0.8656/I101</f>
        <v>0.11541333333333334</v>
      </c>
      <c r="J105" s="2896">
        <f>0.7525/J101</f>
        <v>0.10033333333333333</v>
      </c>
      <c r="K105" s="2896">
        <f>0.7525/K101</f>
        <v>0.10033333333333333</v>
      </c>
      <c r="L105" s="2896">
        <f>0.7525/L101</f>
        <v>0.10033333333333333</v>
      </c>
      <c r="M105" s="2896">
        <f>0.7525/M101</f>
        <v>0.10033333333333333</v>
      </c>
      <c r="N105" s="2896">
        <f>0.7525/N101</f>
        <v>0.10033333333333333</v>
      </c>
    </row>
    <row r="106" spans="1:14">
      <c r="A106" s="3665"/>
      <c r="B106" s="2895">
        <v>5</v>
      </c>
      <c r="C106" s="2896">
        <f>0.8417/C101</f>
        <v>0.11222666666666667</v>
      </c>
      <c r="D106" s="2896">
        <f>0.8417/D101</f>
        <v>0.11222666666666667</v>
      </c>
      <c r="E106" s="2896">
        <f>0.7371/E101</f>
        <v>9.8279999999999992E-2</v>
      </c>
      <c r="F106" s="2896">
        <f>0.7371/F101</f>
        <v>9.8279999999999992E-2</v>
      </c>
      <c r="G106" s="2896">
        <f>0.7371/G101</f>
        <v>9.8279999999999992E-2</v>
      </c>
      <c r="H106" s="2896">
        <f>0.7371/H101</f>
        <v>9.8279999999999992E-2</v>
      </c>
      <c r="I106" s="2896">
        <f>0.7371/I101</f>
        <v>9.8279999999999992E-2</v>
      </c>
      <c r="J106" s="2896">
        <f>0.5659/J101</f>
        <v>7.5453333333333331E-2</v>
      </c>
      <c r="K106" s="2896">
        <f>0.5659/K101</f>
        <v>7.5453333333333331E-2</v>
      </c>
      <c r="L106" s="2896">
        <f>0.5659/L101</f>
        <v>7.5453333333333331E-2</v>
      </c>
      <c r="M106" s="2896">
        <f>0.5659/M101</f>
        <v>7.5453333333333331E-2</v>
      </c>
      <c r="N106" s="2896">
        <f>0.5659/N101</f>
        <v>7.5453333333333331E-2</v>
      </c>
    </row>
    <row r="107" spans="1:14">
      <c r="A107" s="3665"/>
      <c r="B107" s="2895">
        <v>6</v>
      </c>
      <c r="C107" s="2896">
        <f>0.7608/C101</f>
        <v>0.10144</v>
      </c>
      <c r="D107" s="2896">
        <f>0.7608/D101</f>
        <v>0.10144</v>
      </c>
      <c r="E107" s="2896">
        <f>0.6482/E101</f>
        <v>8.6426666666666666E-2</v>
      </c>
      <c r="F107" s="2896">
        <f>0.6482/F101</f>
        <v>8.6426666666666666E-2</v>
      </c>
      <c r="G107" s="2896">
        <f>0.6482/G101</f>
        <v>8.6426666666666666E-2</v>
      </c>
      <c r="H107" s="2896">
        <f>0.6482/H101</f>
        <v>8.6426666666666666E-2</v>
      </c>
      <c r="I107" s="2896">
        <f>0.6482/I101</f>
        <v>8.6426666666666666E-2</v>
      </c>
      <c r="J107" s="2896">
        <f>0.4525/J101</f>
        <v>6.0333333333333336E-2</v>
      </c>
      <c r="K107" s="2896">
        <f>0.4525/K101</f>
        <v>6.0333333333333336E-2</v>
      </c>
      <c r="L107" s="2896">
        <f>0.4525/L101</f>
        <v>6.0333333333333336E-2</v>
      </c>
      <c r="M107" s="2896">
        <f>0.4525/M101</f>
        <v>6.0333333333333336E-2</v>
      </c>
      <c r="N107" s="2896">
        <f>0.4525/N101</f>
        <v>6.0333333333333336E-2</v>
      </c>
    </row>
    <row r="108" spans="1:14">
      <c r="A108" s="3665"/>
      <c r="B108" s="3493" t="s">
        <v>2866</v>
      </c>
      <c r="C108" s="2897">
        <f>C99</f>
        <v>0</v>
      </c>
      <c r="D108" s="2897">
        <f t="shared" ref="D108:N108" si="31">D99</f>
        <v>0</v>
      </c>
      <c r="E108" s="2897">
        <f t="shared" si="31"/>
        <v>0</v>
      </c>
      <c r="F108" s="2897">
        <f t="shared" si="31"/>
        <v>0</v>
      </c>
      <c r="G108" s="2897">
        <f t="shared" si="31"/>
        <v>0</v>
      </c>
      <c r="H108" s="2897">
        <f t="shared" si="31"/>
        <v>0</v>
      </c>
      <c r="I108" s="2897">
        <f t="shared" si="31"/>
        <v>0</v>
      </c>
      <c r="J108" s="2897">
        <f t="shared" si="31"/>
        <v>0</v>
      </c>
      <c r="K108" s="2897">
        <f t="shared" si="31"/>
        <v>0</v>
      </c>
      <c r="L108" s="2897">
        <f t="shared" si="31"/>
        <v>0</v>
      </c>
      <c r="M108" s="2897">
        <f t="shared" si="31"/>
        <v>0</v>
      </c>
      <c r="N108" s="2897">
        <f t="shared" si="31"/>
        <v>0</v>
      </c>
    </row>
    <row r="109" spans="1:14">
      <c r="A109" s="3666"/>
      <c r="B109" s="3494"/>
      <c r="C109" s="2898">
        <f>(-0.163*(C108^2)-0.59*C108+7617)*(10^(-4))/C101</f>
        <v>0.10156000000000001</v>
      </c>
      <c r="D109" s="2898">
        <f>(-0.163*(D108^2)-0.59*D108+7617)*(10^(-4))/D101</f>
        <v>0.10156000000000001</v>
      </c>
      <c r="E109" s="2898">
        <f>(-0.161*(E108^2)-7.509*E108+6533)*(10^(-4))/E101</f>
        <v>8.7106666666666666E-2</v>
      </c>
      <c r="F109" s="2898">
        <f>(-0.161*(F108^2)-7.509*F108+6533)*(10^(-4))/F101</f>
        <v>8.7106666666666666E-2</v>
      </c>
      <c r="G109" s="2898">
        <f>(-0.161*(G108^2)-7.509*G108+6533)*(10^(-4))/G101</f>
        <v>8.7106666666666666E-2</v>
      </c>
      <c r="H109" s="2898">
        <f>(-0.161*(H108^2)-7.509*H108+6533)*(10^(-4))/H101</f>
        <v>8.7106666666666666E-2</v>
      </c>
      <c r="I109" s="2898">
        <f>(-0.161*(I108^2)-7.509*I108+6533)*(10^(-4))/I101</f>
        <v>8.7106666666666666E-2</v>
      </c>
      <c r="J109" s="2898">
        <f>(-0.214*(J108^2)-21.991*J108+4665)*(10^(-4))/J101</f>
        <v>6.2200000000000005E-2</v>
      </c>
      <c r="K109" s="2898">
        <f>(-0.214*(K108^2)-21.991*K108+4665)*(10^(-4))/K101</f>
        <v>6.2200000000000005E-2</v>
      </c>
      <c r="L109" s="2898">
        <f>(-0.214*(L108^2)-21.991*L108+4665)*(10^(-4))/L101</f>
        <v>6.2200000000000005E-2</v>
      </c>
      <c r="M109" s="2898">
        <f>(-0.214*(M108^2)-21.991*M108+4665)*(10^(-4))/M101</f>
        <v>6.2200000000000005E-2</v>
      </c>
      <c r="N109" s="2898">
        <f>(-0.214*(N108^2)-21.991*N108+4665)*(10^(-4))/N101</f>
        <v>6.2200000000000005E-2</v>
      </c>
    </row>
    <row r="110" spans="1:14">
      <c r="A110" s="3662" t="s">
        <v>2977</v>
      </c>
      <c r="B110" s="3662"/>
      <c r="C110" s="3662"/>
      <c r="D110" s="3662"/>
      <c r="E110" s="3662"/>
      <c r="F110" s="3662"/>
      <c r="G110" s="3662"/>
      <c r="H110" s="3662"/>
      <c r="I110" s="3662"/>
      <c r="J110" s="3662"/>
      <c r="K110" s="2958"/>
      <c r="L110" s="2958"/>
      <c r="M110" s="2958"/>
      <c r="N110" s="2958"/>
    </row>
    <row r="112" spans="1:14" ht="13.8" thickBot="1"/>
    <row r="113" spans="1:13" ht="25.8" thickBot="1">
      <c r="A113" s="901" t="s">
        <v>2978</v>
      </c>
      <c r="B113" s="1288">
        <f>G3</f>
        <v>7.5</v>
      </c>
      <c r="C113" s="902" t="s">
        <v>2979</v>
      </c>
      <c r="D113" s="903">
        <f>SUMPRODUCT((A115:A118=F113)*(B114:M114=H113)*B115:M118)</f>
        <v>0.85899999999999999</v>
      </c>
      <c r="E113" s="2724" t="s">
        <v>2811</v>
      </c>
      <c r="F113" s="2903" t="str">
        <f>E2</f>
        <v>办公</v>
      </c>
      <c r="G113" s="2724" t="s">
        <v>2812</v>
      </c>
      <c r="H113" s="2903" t="str">
        <f>G2</f>
        <v>二级</v>
      </c>
      <c r="I113" s="2724"/>
      <c r="J113" s="2904"/>
      <c r="K113" s="2904"/>
      <c r="L113" s="2904"/>
      <c r="M113" s="2904"/>
    </row>
    <row r="114" spans="1:13">
      <c r="A114" s="906"/>
      <c r="B114" s="2905" t="s">
        <v>2980</v>
      </c>
      <c r="C114" s="2905" t="s">
        <v>2981</v>
      </c>
      <c r="D114" s="2905" t="s">
        <v>2982</v>
      </c>
      <c r="E114" s="2906" t="s">
        <v>2983</v>
      </c>
      <c r="F114" s="2906" t="s">
        <v>2984</v>
      </c>
      <c r="G114" s="2906" t="s">
        <v>2985</v>
      </c>
      <c r="H114" s="2907" t="s">
        <v>2986</v>
      </c>
      <c r="I114" s="2907" t="s">
        <v>2987</v>
      </c>
      <c r="J114" s="2908" t="s">
        <v>2988</v>
      </c>
      <c r="K114" s="2908" t="s">
        <v>2989</v>
      </c>
      <c r="L114" s="2908" t="s">
        <v>2990</v>
      </c>
      <c r="M114" s="2909" t="s">
        <v>2991</v>
      </c>
    </row>
    <row r="115" spans="1:13">
      <c r="A115" s="907" t="s">
        <v>2875</v>
      </c>
      <c r="B115" s="908">
        <f>ROUND(0.9335-0.0094*B113,4)</f>
        <v>0.86299999999999999</v>
      </c>
      <c r="C115" s="908">
        <f>B115</f>
        <v>0.86299999999999999</v>
      </c>
      <c r="D115" s="908">
        <f>ROUND(0.8331-0.0109*B113,4)</f>
        <v>0.75139999999999996</v>
      </c>
      <c r="E115" s="908">
        <f>D115</f>
        <v>0.75139999999999996</v>
      </c>
      <c r="F115" s="908">
        <f>E115</f>
        <v>0.75139999999999996</v>
      </c>
      <c r="G115" s="908">
        <f>F115</f>
        <v>0.75139999999999996</v>
      </c>
      <c r="H115" s="908">
        <f>G115</f>
        <v>0.75139999999999996</v>
      </c>
      <c r="I115" s="908">
        <f>ROUND(0.689-0.0155*B113,4)</f>
        <v>0.57279999999999998</v>
      </c>
      <c r="J115" s="908">
        <f t="shared" ref="J115:M118" si="32">I115</f>
        <v>0.57279999999999998</v>
      </c>
      <c r="K115" s="908">
        <f t="shared" si="32"/>
        <v>0.57279999999999998</v>
      </c>
      <c r="L115" s="908">
        <f t="shared" si="32"/>
        <v>0.57279999999999998</v>
      </c>
      <c r="M115" s="909">
        <f t="shared" si="32"/>
        <v>0.57279999999999998</v>
      </c>
    </row>
    <row r="116" spans="1:13">
      <c r="A116" s="907" t="s">
        <v>2876</v>
      </c>
      <c r="B116" s="908">
        <f>ROUND(0.949-0.012*B113,4)</f>
        <v>0.85899999999999999</v>
      </c>
      <c r="C116" s="908">
        <f>B116</f>
        <v>0.85899999999999999</v>
      </c>
      <c r="D116" s="908">
        <f>ROUND(0.8567-0.013*B113,4)</f>
        <v>0.75919999999999999</v>
      </c>
      <c r="E116" s="908">
        <f t="shared" ref="E116:H117" si="33">D116</f>
        <v>0.75919999999999999</v>
      </c>
      <c r="F116" s="908">
        <f t="shared" si="33"/>
        <v>0.75919999999999999</v>
      </c>
      <c r="G116" s="908">
        <f t="shared" si="33"/>
        <v>0.75919999999999999</v>
      </c>
      <c r="H116" s="908">
        <f t="shared" si="33"/>
        <v>0.75919999999999999</v>
      </c>
      <c r="I116" s="908">
        <f>ROUND(0.7694-0.014*B113,4)</f>
        <v>0.66439999999999999</v>
      </c>
      <c r="J116" s="908">
        <f t="shared" si="32"/>
        <v>0.66439999999999999</v>
      </c>
      <c r="K116" s="908">
        <f t="shared" si="32"/>
        <v>0.66439999999999999</v>
      </c>
      <c r="L116" s="908">
        <f t="shared" si="32"/>
        <v>0.66439999999999999</v>
      </c>
      <c r="M116" s="909">
        <f t="shared" si="32"/>
        <v>0.66439999999999999</v>
      </c>
    </row>
    <row r="117" spans="1:13">
      <c r="A117" s="907" t="s">
        <v>2877</v>
      </c>
      <c r="B117" s="908">
        <f>ROUND(0.8808-0.006*B113,4)</f>
        <v>0.83579999999999999</v>
      </c>
      <c r="C117" s="908">
        <f>B117</f>
        <v>0.83579999999999999</v>
      </c>
      <c r="D117" s="908">
        <f>ROUND(0.8748-0.008*B113,4)</f>
        <v>0.81479999999999997</v>
      </c>
      <c r="E117" s="908">
        <f t="shared" si="33"/>
        <v>0.81479999999999997</v>
      </c>
      <c r="F117" s="908">
        <f t="shared" si="33"/>
        <v>0.81479999999999997</v>
      </c>
      <c r="G117" s="908">
        <f t="shared" si="33"/>
        <v>0.81479999999999997</v>
      </c>
      <c r="H117" s="908">
        <f t="shared" si="33"/>
        <v>0.81479999999999997</v>
      </c>
      <c r="I117" s="908">
        <f>ROUND(0.7412-0.0095*B113,4)</f>
        <v>0.67</v>
      </c>
      <c r="J117" s="908">
        <f t="shared" si="32"/>
        <v>0.67</v>
      </c>
      <c r="K117" s="908">
        <f t="shared" si="32"/>
        <v>0.67</v>
      </c>
      <c r="L117" s="908">
        <f t="shared" si="32"/>
        <v>0.67</v>
      </c>
      <c r="M117" s="909">
        <f t="shared" si="32"/>
        <v>0.67</v>
      </c>
    </row>
    <row r="118" spans="1:13" ht="13.8" thickBot="1">
      <c r="A118" s="714" t="s">
        <v>2878</v>
      </c>
      <c r="B118" s="910">
        <f>ROUND(0.7275-0.01*B113,4)</f>
        <v>0.65249999999999997</v>
      </c>
      <c r="C118" s="910">
        <f>B118</f>
        <v>0.65249999999999997</v>
      </c>
      <c r="D118" s="910">
        <f>ROUND(0.7043-0.012*B113,4)</f>
        <v>0.61429999999999996</v>
      </c>
      <c r="E118" s="910">
        <f>D118</f>
        <v>0.61429999999999996</v>
      </c>
      <c r="F118" s="910">
        <f>E118</f>
        <v>0.61429999999999996</v>
      </c>
      <c r="G118" s="910">
        <f>ROUND(0.6299-0.0122*B113,4)</f>
        <v>0.53839999999999999</v>
      </c>
      <c r="H118" s="910">
        <f>G118</f>
        <v>0.53839999999999999</v>
      </c>
      <c r="I118" s="910">
        <f>ROUND(0.5667-0.0136*B113,4)</f>
        <v>0.4647</v>
      </c>
      <c r="J118" s="910">
        <f t="shared" si="32"/>
        <v>0.4647</v>
      </c>
      <c r="K118" s="910">
        <f t="shared" si="32"/>
        <v>0.4647</v>
      </c>
      <c r="L118" s="910">
        <f t="shared" si="32"/>
        <v>0.4647</v>
      </c>
      <c r="M118" s="911">
        <f t="shared" si="32"/>
        <v>0.4647</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679" t="s">
        <v>183</v>
      </c>
      <c r="B18" s="880" t="s">
        <v>560</v>
      </c>
      <c r="C18" s="881" t="s">
        <v>561</v>
      </c>
      <c r="D18" s="882"/>
      <c r="E18" s="880">
        <v>1</v>
      </c>
      <c r="F18" s="883" t="s">
        <v>562</v>
      </c>
      <c r="G18" s="884"/>
      <c r="H18" s="876"/>
      <c r="I18" s="876"/>
    </row>
    <row r="19" spans="1:9" s="885" customFormat="1" ht="19.5" customHeight="1">
      <c r="A19" s="3679"/>
      <c r="B19" s="3679" t="s">
        <v>563</v>
      </c>
      <c r="C19" s="881" t="s">
        <v>564</v>
      </c>
      <c r="D19" s="882"/>
      <c r="E19" s="880">
        <v>0.9</v>
      </c>
      <c r="F19" s="883" t="s">
        <v>565</v>
      </c>
      <c r="G19" s="884"/>
      <c r="H19" s="876"/>
      <c r="I19" s="876"/>
    </row>
    <row r="20" spans="1:9" s="885" customFormat="1" ht="19.5" customHeight="1">
      <c r="A20" s="3679"/>
      <c r="B20" s="3679"/>
      <c r="C20" s="881" t="s">
        <v>566</v>
      </c>
      <c r="D20" s="882"/>
      <c r="E20" s="880">
        <v>1.1000000000000001</v>
      </c>
      <c r="F20" s="883" t="s">
        <v>567</v>
      </c>
      <c r="G20" s="884"/>
      <c r="H20" s="876"/>
      <c r="I20" s="876"/>
    </row>
    <row r="21" spans="1:9" s="885" customFormat="1" ht="19.5" customHeight="1">
      <c r="A21" s="3679"/>
      <c r="B21" s="3679"/>
      <c r="C21" s="881" t="s">
        <v>568</v>
      </c>
      <c r="D21" s="882"/>
      <c r="E21" s="880">
        <v>0.8</v>
      </c>
      <c r="F21" s="883" t="s">
        <v>569</v>
      </c>
      <c r="G21" s="884"/>
      <c r="H21" s="876"/>
      <c r="I21" s="876"/>
    </row>
    <row r="22" spans="1:9" s="885" customFormat="1" ht="19.5" customHeight="1">
      <c r="A22" s="3679"/>
      <c r="B22" s="3679"/>
      <c r="C22" s="881" t="s">
        <v>570</v>
      </c>
      <c r="D22" s="882"/>
      <c r="E22" s="880">
        <v>0.5</v>
      </c>
      <c r="F22" s="883"/>
      <c r="G22" s="884"/>
      <c r="H22" s="876"/>
      <c r="I22" s="876"/>
    </row>
    <row r="23" spans="1:9" s="885" customFormat="1" ht="19.5" customHeight="1">
      <c r="A23" s="3679" t="s">
        <v>184</v>
      </c>
      <c r="B23" s="880" t="s">
        <v>560</v>
      </c>
      <c r="C23" s="881" t="s">
        <v>571</v>
      </c>
      <c r="D23" s="882"/>
      <c r="E23" s="880">
        <v>1</v>
      </c>
      <c r="F23" s="883" t="s">
        <v>572</v>
      </c>
      <c r="G23" s="884"/>
      <c r="H23" s="876"/>
      <c r="I23" s="876"/>
    </row>
    <row r="24" spans="1:9" s="885" customFormat="1" ht="19.5" customHeight="1">
      <c r="A24" s="3679"/>
      <c r="B24" s="3679" t="s">
        <v>563</v>
      </c>
      <c r="C24" s="881" t="s">
        <v>573</v>
      </c>
      <c r="D24" s="882"/>
      <c r="E24" s="880">
        <v>0.5</v>
      </c>
      <c r="F24" s="883"/>
      <c r="G24" s="884"/>
      <c r="H24" s="876"/>
      <c r="I24" s="876"/>
    </row>
    <row r="25" spans="1:9" s="885" customFormat="1" ht="19.5" customHeight="1">
      <c r="A25" s="3679"/>
      <c r="B25" s="3679"/>
      <c r="C25" s="881" t="s">
        <v>574</v>
      </c>
      <c r="D25" s="882"/>
      <c r="E25" s="880">
        <v>1.1000000000000001</v>
      </c>
      <c r="F25" s="883"/>
      <c r="G25" s="884"/>
      <c r="H25" s="876"/>
      <c r="I25" s="876"/>
    </row>
    <row r="26" spans="1:9" s="885" customFormat="1" ht="19.5" customHeight="1">
      <c r="A26" s="3679"/>
      <c r="B26" s="3679"/>
      <c r="C26" s="881" t="s">
        <v>575</v>
      </c>
      <c r="D26" s="882"/>
      <c r="E26" s="880">
        <v>1.1000000000000001</v>
      </c>
      <c r="F26" s="883"/>
      <c r="G26" s="884"/>
      <c r="H26" s="876"/>
      <c r="I26" s="876"/>
    </row>
    <row r="27" spans="1:9" s="885" customFormat="1" ht="19.5" customHeight="1">
      <c r="A27" s="3679"/>
      <c r="B27" s="3679"/>
      <c r="C27" s="881" t="s">
        <v>576</v>
      </c>
      <c r="D27" s="882"/>
      <c r="E27" s="880">
        <v>0.9</v>
      </c>
      <c r="F27" s="883" t="s">
        <v>577</v>
      </c>
      <c r="G27" s="884"/>
      <c r="H27" s="876"/>
      <c r="I27" s="876"/>
    </row>
    <row r="28" spans="1:9" s="885" customFormat="1" ht="19.5" customHeight="1">
      <c r="A28" s="3679"/>
      <c r="B28" s="3679"/>
      <c r="C28" s="881" t="s">
        <v>578</v>
      </c>
      <c r="D28" s="882"/>
      <c r="E28" s="880">
        <v>0.9</v>
      </c>
      <c r="F28" s="883" t="s">
        <v>579</v>
      </c>
      <c r="G28" s="884"/>
      <c r="H28" s="876"/>
      <c r="I28" s="876"/>
    </row>
    <row r="29" spans="1:9" s="885" customFormat="1" ht="19.5" customHeight="1">
      <c r="A29" s="3679"/>
      <c r="B29" s="3679"/>
      <c r="C29" s="881" t="s">
        <v>580</v>
      </c>
      <c r="D29" s="882"/>
      <c r="E29" s="880">
        <v>0.9</v>
      </c>
      <c r="F29" s="883" t="s">
        <v>581</v>
      </c>
      <c r="G29" s="884"/>
      <c r="H29" s="876"/>
      <c r="I29" s="876"/>
    </row>
    <row r="30" spans="1:9" s="885" customFormat="1" ht="19.5" customHeight="1">
      <c r="A30" s="3679"/>
      <c r="B30" s="3679"/>
      <c r="C30" s="881" t="s">
        <v>582</v>
      </c>
      <c r="D30" s="882"/>
      <c r="E30" s="880">
        <v>0.9</v>
      </c>
      <c r="F30" s="883" t="s">
        <v>583</v>
      </c>
      <c r="G30" s="884"/>
      <c r="H30" s="876"/>
      <c r="I30" s="876"/>
    </row>
    <row r="31" spans="1:9" s="885" customFormat="1" ht="19.5" customHeight="1">
      <c r="A31" s="3679"/>
      <c r="B31" s="3679"/>
      <c r="C31" s="881" t="s">
        <v>584</v>
      </c>
      <c r="D31" s="882"/>
      <c r="E31" s="880">
        <v>0.8</v>
      </c>
      <c r="F31" s="883" t="s">
        <v>585</v>
      </c>
      <c r="G31" s="884"/>
      <c r="H31" s="876"/>
      <c r="I31" s="876"/>
    </row>
    <row r="32" spans="1:9" s="885" customFormat="1" ht="19.5" customHeight="1">
      <c r="A32" s="3679"/>
      <c r="B32" s="3679"/>
      <c r="C32" s="881" t="s">
        <v>586</v>
      </c>
      <c r="D32" s="882"/>
      <c r="E32" s="880">
        <v>0.8</v>
      </c>
      <c r="F32" s="883" t="s">
        <v>587</v>
      </c>
      <c r="G32" s="884"/>
      <c r="H32" s="876"/>
      <c r="I32" s="876"/>
    </row>
    <row r="33" spans="1:9" s="885" customFormat="1" ht="19.5" customHeight="1">
      <c r="A33" s="3679" t="s">
        <v>185</v>
      </c>
      <c r="B33" s="880" t="s">
        <v>560</v>
      </c>
      <c r="C33" s="881" t="s">
        <v>588</v>
      </c>
      <c r="D33" s="882"/>
      <c r="E33" s="880">
        <v>1</v>
      </c>
      <c r="F33" s="883" t="s">
        <v>589</v>
      </c>
      <c r="G33" s="884"/>
      <c r="H33" s="876"/>
      <c r="I33" s="876"/>
    </row>
    <row r="34" spans="1:9" s="885" customFormat="1" ht="19.5" customHeight="1">
      <c r="A34" s="3679"/>
      <c r="B34" s="880" t="s">
        <v>563</v>
      </c>
      <c r="C34" s="881" t="s">
        <v>590</v>
      </c>
      <c r="D34" s="882"/>
      <c r="E34" s="880">
        <v>1.5</v>
      </c>
      <c r="F34" s="883" t="s">
        <v>591</v>
      </c>
      <c r="G34" s="884"/>
      <c r="H34" s="876"/>
      <c r="I34" s="876"/>
    </row>
    <row r="35" spans="1:9" s="885" customFormat="1" ht="19.5" customHeight="1">
      <c r="A35" s="3679" t="s">
        <v>186</v>
      </c>
      <c r="B35" s="880" t="s">
        <v>560</v>
      </c>
      <c r="C35" s="881" t="s">
        <v>592</v>
      </c>
      <c r="D35" s="882"/>
      <c r="E35" s="880">
        <v>1</v>
      </c>
      <c r="F35" s="883" t="s">
        <v>593</v>
      </c>
      <c r="G35" s="884"/>
      <c r="H35" s="876"/>
      <c r="I35" s="876"/>
    </row>
    <row r="36" spans="1:9" s="885" customFormat="1" ht="19.5" customHeight="1">
      <c r="A36" s="3679"/>
      <c r="B36" s="3679" t="s">
        <v>563</v>
      </c>
      <c r="C36" s="881" t="s">
        <v>594</v>
      </c>
      <c r="D36" s="882"/>
      <c r="E36" s="880">
        <v>1</v>
      </c>
      <c r="F36" s="883" t="s">
        <v>595</v>
      </c>
      <c r="G36" s="884"/>
      <c r="H36" s="876"/>
      <c r="I36" s="876"/>
    </row>
    <row r="37" spans="1:9" s="885" customFormat="1" ht="19.5" customHeight="1">
      <c r="A37" s="3679"/>
      <c r="B37" s="3679"/>
      <c r="C37" s="881" t="s">
        <v>596</v>
      </c>
      <c r="D37" s="882"/>
      <c r="E37" s="880">
        <v>1.5</v>
      </c>
      <c r="F37" s="883" t="s">
        <v>597</v>
      </c>
      <c r="G37" s="884"/>
      <c r="H37" s="876"/>
      <c r="I37" s="876"/>
    </row>
    <row r="38" spans="1:9" s="885" customFormat="1" ht="19.5" customHeight="1">
      <c r="A38" s="3679"/>
      <c r="B38" s="3679"/>
      <c r="C38" s="881" t="s">
        <v>598</v>
      </c>
      <c r="D38" s="882"/>
      <c r="E38" s="880">
        <v>1</v>
      </c>
      <c r="F38" s="883" t="s">
        <v>599</v>
      </c>
      <c r="G38" s="884"/>
      <c r="H38" s="876"/>
      <c r="I38" s="876"/>
    </row>
    <row r="39" spans="1:9" s="885" customFormat="1" ht="19.5" customHeight="1">
      <c r="A39" s="3679"/>
      <c r="B39" s="367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41"/>
      <c r="B60" s="941"/>
      <c r="C60" s="941" t="s">
        <v>745</v>
      </c>
      <c r="D60" s="941"/>
      <c r="E60" s="893" t="s">
        <v>1</v>
      </c>
      <c r="F60" s="941" t="s">
        <v>1</v>
      </c>
    </row>
    <row r="61" spans="1:8" s="876" customFormat="1" ht="36">
      <c r="A61" s="880">
        <v>1</v>
      </c>
      <c r="B61" s="3679" t="s">
        <v>614</v>
      </c>
      <c r="C61" s="816" t="s">
        <v>615</v>
      </c>
      <c r="D61" s="816" t="s">
        <v>616</v>
      </c>
      <c r="E61" s="893">
        <v>0.5</v>
      </c>
      <c r="F61" s="880">
        <v>80</v>
      </c>
    </row>
    <row r="62" spans="1:8" s="876" customFormat="1" ht="36">
      <c r="A62" s="880">
        <v>2</v>
      </c>
      <c r="B62" s="3679"/>
      <c r="C62" s="816" t="s">
        <v>617</v>
      </c>
      <c r="D62" s="816" t="s">
        <v>618</v>
      </c>
      <c r="E62" s="893">
        <v>0.5</v>
      </c>
      <c r="F62" s="880">
        <v>80</v>
      </c>
    </row>
    <row r="63" spans="1:8" s="876" customFormat="1" ht="48">
      <c r="A63" s="880">
        <v>3</v>
      </c>
      <c r="B63" s="3679"/>
      <c r="C63" s="816" t="s">
        <v>619</v>
      </c>
      <c r="D63" s="816" t="s">
        <v>620</v>
      </c>
      <c r="E63" s="893">
        <v>0.5</v>
      </c>
      <c r="F63" s="880">
        <v>80</v>
      </c>
    </row>
    <row r="64" spans="1:8" s="876" customFormat="1" ht="48">
      <c r="A64" s="880">
        <v>4</v>
      </c>
      <c r="B64" s="3679"/>
      <c r="C64" s="816" t="s">
        <v>621</v>
      </c>
      <c r="D64" s="816" t="s">
        <v>622</v>
      </c>
      <c r="E64" s="893">
        <v>0.4</v>
      </c>
      <c r="F64" s="880">
        <v>60</v>
      </c>
    </row>
    <row r="65" spans="1:6" s="876" customFormat="1" ht="48">
      <c r="A65" s="880">
        <v>5</v>
      </c>
      <c r="B65" s="3679"/>
      <c r="C65" s="816" t="s">
        <v>623</v>
      </c>
      <c r="D65" s="816" t="s">
        <v>624</v>
      </c>
      <c r="E65" s="893">
        <v>0.2</v>
      </c>
      <c r="F65" s="880">
        <v>30</v>
      </c>
    </row>
    <row r="66" spans="1:6" s="876" customFormat="1" ht="48">
      <c r="A66" s="880">
        <v>6</v>
      </c>
      <c r="B66" s="3679"/>
      <c r="C66" s="816" t="s">
        <v>625</v>
      </c>
      <c r="D66" s="816" t="s">
        <v>626</v>
      </c>
      <c r="E66" s="893">
        <v>0.3</v>
      </c>
      <c r="F66" s="880">
        <v>50</v>
      </c>
    </row>
    <row r="67" spans="1:6" s="876" customFormat="1" ht="48">
      <c r="A67" s="880">
        <v>7</v>
      </c>
      <c r="B67" s="3679"/>
      <c r="C67" s="816" t="s">
        <v>627</v>
      </c>
      <c r="D67" s="816" t="s">
        <v>628</v>
      </c>
      <c r="E67" s="893">
        <v>0.2</v>
      </c>
      <c r="F67" s="880">
        <v>30</v>
      </c>
    </row>
    <row r="68" spans="1:6" s="876" customFormat="1" ht="48">
      <c r="A68" s="880">
        <v>8</v>
      </c>
      <c r="B68" s="3679"/>
      <c r="C68" s="816" t="s">
        <v>629</v>
      </c>
      <c r="D68" s="816" t="s">
        <v>630</v>
      </c>
      <c r="E68" s="893">
        <v>0.2</v>
      </c>
      <c r="F68" s="880">
        <v>30</v>
      </c>
    </row>
    <row r="69" spans="1:6" s="876" customFormat="1" ht="48">
      <c r="A69" s="880">
        <v>9</v>
      </c>
      <c r="B69" s="3679"/>
      <c r="C69" s="816" t="s">
        <v>631</v>
      </c>
      <c r="D69" s="816" t="s">
        <v>632</v>
      </c>
      <c r="E69" s="893">
        <v>0.2</v>
      </c>
      <c r="F69" s="880">
        <v>30</v>
      </c>
    </row>
    <row r="70" spans="1:6" s="876" customFormat="1" ht="60">
      <c r="A70" s="880">
        <v>10</v>
      </c>
      <c r="B70" s="3679"/>
      <c r="C70" s="816" t="s">
        <v>633</v>
      </c>
      <c r="D70" s="816" t="s">
        <v>634</v>
      </c>
      <c r="E70" s="893">
        <v>0.2</v>
      </c>
      <c r="F70" s="880">
        <v>30</v>
      </c>
    </row>
    <row r="71" spans="1:6" s="876" customFormat="1" ht="60">
      <c r="A71" s="880">
        <v>11</v>
      </c>
      <c r="B71" s="3679"/>
      <c r="C71" s="816" t="s">
        <v>635</v>
      </c>
      <c r="D71" s="816" t="s">
        <v>636</v>
      </c>
      <c r="E71" s="893">
        <v>0.2</v>
      </c>
      <c r="F71" s="880">
        <v>30</v>
      </c>
    </row>
    <row r="72" spans="1:6" s="876" customFormat="1" ht="36">
      <c r="A72" s="880">
        <v>12</v>
      </c>
      <c r="B72" s="3679"/>
      <c r="C72" s="816" t="s">
        <v>637</v>
      </c>
      <c r="D72" s="816" t="s">
        <v>638</v>
      </c>
      <c r="E72" s="893">
        <v>0.5</v>
      </c>
      <c r="F72" s="880">
        <v>80</v>
      </c>
    </row>
    <row r="73" spans="1:6" s="876" customFormat="1" ht="36">
      <c r="A73" s="880">
        <v>13</v>
      </c>
      <c r="B73" s="3679"/>
      <c r="C73" s="816" t="s">
        <v>639</v>
      </c>
      <c r="D73" s="816" t="s">
        <v>640</v>
      </c>
      <c r="E73" s="893">
        <v>0.4</v>
      </c>
      <c r="F73" s="880">
        <v>60</v>
      </c>
    </row>
    <row r="74" spans="1:6" s="876" customFormat="1" ht="36">
      <c r="A74" s="880">
        <v>14</v>
      </c>
      <c r="B74" s="3679"/>
      <c r="C74" s="816" t="s">
        <v>641</v>
      </c>
      <c r="D74" s="816" t="s">
        <v>642</v>
      </c>
      <c r="E74" s="893">
        <v>0.2</v>
      </c>
      <c r="F74" s="880">
        <v>30</v>
      </c>
    </row>
    <row r="75" spans="1:6" s="876" customFormat="1" ht="36">
      <c r="A75" s="880">
        <v>15</v>
      </c>
      <c r="B75" s="3679"/>
      <c r="C75" s="816" t="s">
        <v>643</v>
      </c>
      <c r="D75" s="816" t="s">
        <v>644</v>
      </c>
      <c r="E75" s="893">
        <v>0.2</v>
      </c>
      <c r="F75" s="880">
        <v>30</v>
      </c>
    </row>
    <row r="76" spans="1:6" s="876" customFormat="1" ht="36">
      <c r="A76" s="880">
        <v>16</v>
      </c>
      <c r="B76" s="3679" t="s">
        <v>645</v>
      </c>
      <c r="C76" s="816" t="s">
        <v>646</v>
      </c>
      <c r="D76" s="816" t="s">
        <v>647</v>
      </c>
      <c r="E76" s="893">
        <v>0.5</v>
      </c>
      <c r="F76" s="880">
        <v>80</v>
      </c>
    </row>
    <row r="77" spans="1:6" s="876" customFormat="1" ht="36">
      <c r="A77" s="880">
        <v>17</v>
      </c>
      <c r="B77" s="3679"/>
      <c r="C77" s="816" t="s">
        <v>648</v>
      </c>
      <c r="D77" s="816" t="s">
        <v>649</v>
      </c>
      <c r="E77" s="893">
        <v>0.5</v>
      </c>
      <c r="F77" s="880">
        <v>80</v>
      </c>
    </row>
    <row r="78" spans="1:6" s="876" customFormat="1" ht="36">
      <c r="A78" s="880">
        <v>18</v>
      </c>
      <c r="B78" s="3679"/>
      <c r="C78" s="816" t="s">
        <v>650</v>
      </c>
      <c r="D78" s="816" t="s">
        <v>651</v>
      </c>
      <c r="E78" s="893">
        <v>0.2</v>
      </c>
      <c r="F78" s="880">
        <v>30</v>
      </c>
    </row>
    <row r="79" spans="1:6" s="876" customFormat="1" ht="36">
      <c r="A79" s="880">
        <v>19</v>
      </c>
      <c r="B79" s="3679"/>
      <c r="C79" s="816" t="s">
        <v>652</v>
      </c>
      <c r="D79" s="816" t="s">
        <v>653</v>
      </c>
      <c r="E79" s="893">
        <v>0.5</v>
      </c>
      <c r="F79" s="880">
        <v>80</v>
      </c>
    </row>
    <row r="80" spans="1:6" s="876" customFormat="1" ht="36">
      <c r="A80" s="880">
        <v>20</v>
      </c>
      <c r="B80" s="3679"/>
      <c r="C80" s="816" t="s">
        <v>654</v>
      </c>
      <c r="D80" s="816" t="s">
        <v>655</v>
      </c>
      <c r="E80" s="893">
        <v>0.2</v>
      </c>
      <c r="F80" s="880">
        <v>30</v>
      </c>
    </row>
    <row r="81" spans="1:6" s="876" customFormat="1" ht="36">
      <c r="A81" s="880">
        <v>21</v>
      </c>
      <c r="B81" s="3679"/>
      <c r="C81" s="816" t="s">
        <v>656</v>
      </c>
      <c r="D81" s="816" t="s">
        <v>657</v>
      </c>
      <c r="E81" s="893">
        <v>0.2</v>
      </c>
      <c r="F81" s="880">
        <v>30</v>
      </c>
    </row>
    <row r="82" spans="1:6" s="876" customFormat="1" ht="60">
      <c r="A82" s="880">
        <v>22</v>
      </c>
      <c r="B82" s="3679"/>
      <c r="C82" s="816" t="s">
        <v>658</v>
      </c>
      <c r="D82" s="816" t="s">
        <v>659</v>
      </c>
      <c r="E82" s="893">
        <v>0.2</v>
      </c>
      <c r="F82" s="880">
        <v>30</v>
      </c>
    </row>
    <row r="83" spans="1:6" s="876" customFormat="1" ht="60">
      <c r="A83" s="880">
        <v>23</v>
      </c>
      <c r="B83" s="3679"/>
      <c r="C83" s="816" t="s">
        <v>660</v>
      </c>
      <c r="D83" s="816" t="s">
        <v>661</v>
      </c>
      <c r="E83" s="893">
        <v>0.2</v>
      </c>
      <c r="F83" s="880">
        <v>30</v>
      </c>
    </row>
    <row r="84" spans="1:6" s="876" customFormat="1" ht="48">
      <c r="A84" s="880">
        <v>24</v>
      </c>
      <c r="B84" s="3679"/>
      <c r="C84" s="816" t="s">
        <v>662</v>
      </c>
      <c r="D84" s="816" t="s">
        <v>663</v>
      </c>
      <c r="E84" s="893">
        <v>0.2</v>
      </c>
      <c r="F84" s="880">
        <v>30</v>
      </c>
    </row>
    <row r="85" spans="1:6" s="876" customFormat="1" ht="36">
      <c r="A85" s="880">
        <v>25</v>
      </c>
      <c r="B85" s="3679"/>
      <c r="C85" s="816" t="s">
        <v>664</v>
      </c>
      <c r="D85" s="816" t="s">
        <v>665</v>
      </c>
      <c r="E85" s="893">
        <v>0.5</v>
      </c>
      <c r="F85" s="880">
        <v>80</v>
      </c>
    </row>
    <row r="86" spans="1:6" s="876" customFormat="1" ht="36">
      <c r="A86" s="880">
        <v>26</v>
      </c>
      <c r="B86" s="3679"/>
      <c r="C86" s="816" t="s">
        <v>666</v>
      </c>
      <c r="D86" s="816" t="s">
        <v>667</v>
      </c>
      <c r="E86" s="893">
        <v>0.2</v>
      </c>
      <c r="F86" s="880">
        <v>30</v>
      </c>
    </row>
    <row r="87" spans="1:6" s="876" customFormat="1" ht="36">
      <c r="A87" s="880">
        <v>27</v>
      </c>
      <c r="B87" s="3679"/>
      <c r="C87" s="816" t="s">
        <v>668</v>
      </c>
      <c r="D87" s="816" t="s">
        <v>669</v>
      </c>
      <c r="E87" s="893">
        <v>0.2</v>
      </c>
      <c r="F87" s="880">
        <v>30</v>
      </c>
    </row>
    <row r="88" spans="1:6" s="876" customFormat="1" ht="36">
      <c r="A88" s="880">
        <v>28</v>
      </c>
      <c r="B88" s="3679"/>
      <c r="C88" s="816" t="s">
        <v>670</v>
      </c>
      <c r="D88" s="816" t="s">
        <v>671</v>
      </c>
      <c r="E88" s="893">
        <v>0.2</v>
      </c>
      <c r="F88" s="880">
        <v>30</v>
      </c>
    </row>
    <row r="89" spans="1:6" s="876" customFormat="1" ht="36">
      <c r="A89" s="880">
        <v>29</v>
      </c>
      <c r="B89" s="3679"/>
      <c r="C89" s="816" t="s">
        <v>672</v>
      </c>
      <c r="D89" s="816" t="s">
        <v>673</v>
      </c>
      <c r="E89" s="893">
        <v>0.2</v>
      </c>
      <c r="F89" s="880">
        <v>30</v>
      </c>
    </row>
    <row r="90" spans="1:6" s="876" customFormat="1" ht="36">
      <c r="A90" s="880">
        <v>30</v>
      </c>
      <c r="B90" s="3679"/>
      <c r="C90" s="816" t="s">
        <v>674</v>
      </c>
      <c r="D90" s="816" t="s">
        <v>675</v>
      </c>
      <c r="E90" s="893">
        <v>0.2</v>
      </c>
      <c r="F90" s="880">
        <v>30</v>
      </c>
    </row>
    <row r="91" spans="1:6" s="876" customFormat="1" ht="48">
      <c r="A91" s="880">
        <v>31</v>
      </c>
      <c r="B91" s="3679"/>
      <c r="C91" s="816" t="s">
        <v>676</v>
      </c>
      <c r="D91" s="816" t="s">
        <v>677</v>
      </c>
      <c r="E91" s="893">
        <v>0.2</v>
      </c>
      <c r="F91" s="880">
        <v>30</v>
      </c>
    </row>
    <row r="92" spans="1:6" s="876" customFormat="1" ht="36">
      <c r="A92" s="880">
        <v>32</v>
      </c>
      <c r="B92" s="3679" t="s">
        <v>678</v>
      </c>
      <c r="C92" s="880" t="s">
        <v>679</v>
      </c>
      <c r="D92" s="816" t="s">
        <v>680</v>
      </c>
      <c r="E92" s="893">
        <v>0.2</v>
      </c>
      <c r="F92" s="880">
        <v>30</v>
      </c>
    </row>
    <row r="93" spans="1:6" s="876" customFormat="1" ht="36">
      <c r="A93" s="880">
        <v>33</v>
      </c>
      <c r="B93" s="3679"/>
      <c r="C93" s="880" t="s">
        <v>681</v>
      </c>
      <c r="D93" s="816" t="s">
        <v>682</v>
      </c>
      <c r="E93" s="893">
        <v>0.2</v>
      </c>
      <c r="F93" s="880">
        <v>30</v>
      </c>
    </row>
    <row r="94" spans="1:6" s="876" customFormat="1" ht="60">
      <c r="A94" s="880">
        <v>34</v>
      </c>
      <c r="B94" s="3679"/>
      <c r="C94" s="880" t="s">
        <v>683</v>
      </c>
      <c r="D94" s="816" t="s">
        <v>684</v>
      </c>
      <c r="E94" s="893">
        <v>0.2</v>
      </c>
      <c r="F94" s="880">
        <v>30</v>
      </c>
    </row>
    <row r="95" spans="1:6" s="876" customFormat="1" ht="48">
      <c r="A95" s="880">
        <v>35</v>
      </c>
      <c r="B95" s="3679"/>
      <c r="C95" s="880" t="s">
        <v>685</v>
      </c>
      <c r="D95" s="816" t="s">
        <v>686</v>
      </c>
      <c r="E95" s="893">
        <v>0.2</v>
      </c>
      <c r="F95" s="880">
        <v>30</v>
      </c>
    </row>
    <row r="96" spans="1:6" s="876" customFormat="1" ht="72">
      <c r="A96" s="880">
        <v>36</v>
      </c>
      <c r="B96" s="3679"/>
      <c r="C96" s="816" t="s">
        <v>687</v>
      </c>
      <c r="D96" s="816" t="s">
        <v>688</v>
      </c>
      <c r="E96" s="893">
        <v>0.2</v>
      </c>
      <c r="F96" s="880">
        <v>30</v>
      </c>
    </row>
    <row r="97" spans="1:6" s="876" customFormat="1" ht="36">
      <c r="A97" s="880">
        <v>37</v>
      </c>
      <c r="B97" s="3679"/>
      <c r="C97" s="880" t="s">
        <v>689</v>
      </c>
      <c r="D97" s="816" t="s">
        <v>690</v>
      </c>
      <c r="E97" s="893">
        <v>0.2</v>
      </c>
      <c r="F97" s="880">
        <v>30</v>
      </c>
    </row>
    <row r="98" spans="1:6" s="876" customFormat="1" ht="36">
      <c r="A98" s="880">
        <v>38</v>
      </c>
      <c r="B98" s="3679"/>
      <c r="C98" s="880" t="s">
        <v>691</v>
      </c>
      <c r="D98" s="816" t="s">
        <v>692</v>
      </c>
      <c r="E98" s="893">
        <v>0.2</v>
      </c>
      <c r="F98" s="880">
        <v>30</v>
      </c>
    </row>
    <row r="99" spans="1:6" s="876" customFormat="1" ht="36">
      <c r="A99" s="880">
        <v>39</v>
      </c>
      <c r="B99" s="3679" t="s">
        <v>693</v>
      </c>
      <c r="C99" s="880" t="s">
        <v>694</v>
      </c>
      <c r="D99" s="816" t="s">
        <v>695</v>
      </c>
      <c r="E99" s="893">
        <v>0.3</v>
      </c>
      <c r="F99" s="880">
        <v>50</v>
      </c>
    </row>
    <row r="100" spans="1:6" s="876" customFormat="1" ht="36">
      <c r="A100" s="880">
        <v>40</v>
      </c>
      <c r="B100" s="3679"/>
      <c r="C100" s="880" t="s">
        <v>696</v>
      </c>
      <c r="D100" s="816" t="s">
        <v>697</v>
      </c>
      <c r="E100" s="893">
        <v>0.2</v>
      </c>
      <c r="F100" s="880">
        <v>30</v>
      </c>
    </row>
    <row r="101" spans="1:6" s="876" customFormat="1" ht="36">
      <c r="A101" s="880">
        <v>41</v>
      </c>
      <c r="B101" s="3679"/>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679" t="s">
        <v>708</v>
      </c>
      <c r="C105" s="880" t="s">
        <v>709</v>
      </c>
      <c r="D105" s="816" t="s">
        <v>710</v>
      </c>
      <c r="E105" s="893">
        <v>0.2</v>
      </c>
      <c r="F105" s="880">
        <v>30</v>
      </c>
    </row>
    <row r="106" spans="1:6" s="876" customFormat="1" ht="48">
      <c r="A106" s="880">
        <v>46</v>
      </c>
      <c r="B106" s="3679"/>
      <c r="C106" s="880" t="s">
        <v>711</v>
      </c>
      <c r="D106" s="816" t="s">
        <v>712</v>
      </c>
      <c r="E106" s="893">
        <v>0.2</v>
      </c>
      <c r="F106" s="880">
        <v>30</v>
      </c>
    </row>
    <row r="107" spans="1:6" s="876" customFormat="1" ht="36">
      <c r="A107" s="880">
        <v>47</v>
      </c>
      <c r="B107" s="3679" t="s">
        <v>713</v>
      </c>
      <c r="C107" s="880" t="s">
        <v>714</v>
      </c>
      <c r="D107" s="816" t="s">
        <v>715</v>
      </c>
      <c r="E107" s="893">
        <v>0.3</v>
      </c>
      <c r="F107" s="880">
        <v>50</v>
      </c>
    </row>
    <row r="108" spans="1:6" s="876" customFormat="1" ht="48">
      <c r="A108" s="880">
        <v>48</v>
      </c>
      <c r="B108" s="367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679" t="s">
        <v>724</v>
      </c>
      <c r="C111" s="880" t="s">
        <v>725</v>
      </c>
      <c r="D111" s="816" t="s">
        <v>726</v>
      </c>
      <c r="E111" s="893">
        <v>0.2</v>
      </c>
      <c r="F111" s="880">
        <v>30</v>
      </c>
    </row>
    <row r="112" spans="1:6" s="876" customFormat="1" ht="36">
      <c r="A112" s="880">
        <v>52</v>
      </c>
      <c r="B112" s="3679"/>
      <c r="C112" s="880" t="s">
        <v>727</v>
      </c>
      <c r="D112" s="816" t="s">
        <v>728</v>
      </c>
      <c r="E112" s="893">
        <v>0.2</v>
      </c>
      <c r="F112" s="880">
        <v>30</v>
      </c>
    </row>
    <row r="113" spans="1:6" s="876" customFormat="1" ht="36">
      <c r="A113" s="880">
        <v>53</v>
      </c>
      <c r="B113" s="3679"/>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679" t="s">
        <v>737</v>
      </c>
      <c r="C116" s="880" t="s">
        <v>738</v>
      </c>
      <c r="D116" s="816" t="s">
        <v>739</v>
      </c>
      <c r="E116" s="893">
        <v>0.2</v>
      </c>
      <c r="F116" s="880">
        <v>30</v>
      </c>
    </row>
    <row r="117" spans="1:6" ht="36">
      <c r="A117" s="880">
        <v>57</v>
      </c>
      <c r="B117" s="3679"/>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SUMPRODUCT((A105:A204=ROUNDDOWN(基准地价修正商业!G3,1))*(B104:M104=基准地价修正商业!G2)*(B105:M204))</f>
        <v>0.86299999999999999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19" sqref="J19"/>
    </sheetView>
  </sheetViews>
  <sheetFormatPr defaultColWidth="9" defaultRowHeight="13.8"/>
  <cols>
    <col min="1" max="1" width="23.33203125" style="1946" customWidth="1"/>
    <col min="2" max="2" width="12.44140625" style="1946" customWidth="1"/>
    <col min="3" max="3" width="12.109375" style="1946" customWidth="1"/>
    <col min="4" max="4" width="14.109375" style="1946" customWidth="1"/>
    <col min="5" max="5" width="12.44140625" style="1946" customWidth="1"/>
    <col min="6" max="16384" width="9" style="1946"/>
  </cols>
  <sheetData>
    <row r="1" spans="1:5" ht="21.6">
      <c r="A1" s="2561" t="s">
        <v>2999</v>
      </c>
    </row>
    <row r="2" spans="1:5" ht="15.6">
      <c r="A2" s="2910" t="s">
        <v>2992</v>
      </c>
      <c r="B2" s="2911">
        <f ca="1">SUMIF(B6:B13,"&lt;&gt;#ref!",B6:B13)</f>
        <v>113598</v>
      </c>
      <c r="C2" s="2910" t="s">
        <v>2993</v>
      </c>
      <c r="D2" s="2910" t="s">
        <v>2994</v>
      </c>
      <c r="E2" s="2911">
        <f ca="1">SUMIF(E6:E13,"&lt;&gt;#ref!",E6:E13)</f>
        <v>49447.659999999996</v>
      </c>
    </row>
    <row r="3" spans="1:5" ht="15.6">
      <c r="A3" s="2910" t="s">
        <v>2995</v>
      </c>
      <c r="B3" s="2911">
        <f ca="1">ROUND(B2*10000/E2,0)</f>
        <v>22973</v>
      </c>
      <c r="C3" s="2910" t="s">
        <v>3000</v>
      </c>
      <c r="D3" s="2912"/>
      <c r="E3" s="2912"/>
    </row>
    <row r="4" spans="1:5" ht="15.6">
      <c r="A4" s="2913"/>
      <c r="B4" s="2912"/>
      <c r="C4" s="2912"/>
      <c r="D4" s="2912"/>
      <c r="E4" s="2912"/>
    </row>
    <row r="5" spans="1:5" ht="31.2">
      <c r="A5" s="2914" t="s">
        <v>2996</v>
      </c>
      <c r="B5" s="2910" t="s">
        <v>2997</v>
      </c>
      <c r="C5" s="2911"/>
      <c r="D5" s="2912"/>
      <c r="E5" s="2910" t="s">
        <v>2998</v>
      </c>
    </row>
    <row r="6" spans="1:5" ht="15.6">
      <c r="A6" s="2915" t="s">
        <v>3324</v>
      </c>
      <c r="B6" s="2911">
        <f ca="1">SUMIF(INDIRECT("'"&amp;A6&amp;"'"&amp;"!A:A"),"总价",INDIRECT("'"&amp;A6&amp;"'"&amp;"!B:B"))</f>
        <v>63469</v>
      </c>
      <c r="C6" s="2910" t="s">
        <v>2993</v>
      </c>
      <c r="D6" s="2912"/>
      <c r="E6" s="2575">
        <f ca="1">SUMIF(INDIRECT("'"&amp;A6&amp;"'"&amp;"!C:C"),"建筑面积",INDIRECT("'"&amp;A6&amp;"'"&amp;"!D:D"))</f>
        <v>28348.019999999997</v>
      </c>
    </row>
    <row r="7" spans="1:5" ht="15.6">
      <c r="A7" s="2915" t="s">
        <v>3326</v>
      </c>
      <c r="B7" s="2911">
        <f ca="1">SUMIF(INDIRECT("'"&amp;A7&amp;"'"&amp;"!A:A"),"总价",INDIRECT("'"&amp;A7&amp;"'"&amp;"!B:B"))</f>
        <v>50129</v>
      </c>
      <c r="C7" s="2910" t="s">
        <v>2993</v>
      </c>
      <c r="D7" s="2912"/>
      <c r="E7" s="2575">
        <f t="shared" ref="E7:E13" ca="1" si="0">SUMIF(INDIRECT("'"&amp;A7&amp;"'"&amp;"!C:C"),"建筑面积",INDIRECT("'"&amp;A7&amp;"'"&amp;"!D:D"))</f>
        <v>21099.64</v>
      </c>
    </row>
    <row r="8" spans="1:5" ht="15.6">
      <c r="A8" s="2915"/>
      <c r="B8" s="2911" t="e">
        <f t="shared" ref="B8:B13" ca="1" si="1">SUMIF(INDIRECT("'"&amp;A8&amp;"'"&amp;"!A:A"),"总价",INDIRECT("'"&amp;A8&amp;"'"&amp;"!B:B"))</f>
        <v>#REF!</v>
      </c>
      <c r="C8" s="2910" t="s">
        <v>2993</v>
      </c>
      <c r="D8" s="2912"/>
      <c r="E8" s="2575" t="e">
        <f t="shared" ca="1" si="0"/>
        <v>#REF!</v>
      </c>
    </row>
    <row r="9" spans="1:5" ht="15.6">
      <c r="A9" s="2915"/>
      <c r="B9" s="2911" t="e">
        <f t="shared" ca="1" si="1"/>
        <v>#REF!</v>
      </c>
      <c r="C9" s="2910" t="s">
        <v>2993</v>
      </c>
      <c r="D9" s="2912"/>
      <c r="E9" s="2575" t="e">
        <f t="shared" ca="1" si="0"/>
        <v>#REF!</v>
      </c>
    </row>
    <row r="10" spans="1:5" ht="15.6">
      <c r="A10" s="2915"/>
      <c r="B10" s="2911" t="e">
        <f t="shared" ca="1" si="1"/>
        <v>#REF!</v>
      </c>
      <c r="C10" s="2910" t="s">
        <v>2993</v>
      </c>
      <c r="D10" s="2912"/>
      <c r="E10" s="2575" t="e">
        <f t="shared" ca="1" si="0"/>
        <v>#REF!</v>
      </c>
    </row>
    <row r="11" spans="1:5" ht="15.6">
      <c r="A11" s="2915"/>
      <c r="B11" s="2911" t="e">
        <f t="shared" ca="1" si="1"/>
        <v>#REF!</v>
      </c>
      <c r="C11" s="2910" t="s">
        <v>2993</v>
      </c>
      <c r="D11" s="2912"/>
      <c r="E11" s="2575" t="e">
        <f t="shared" ca="1" si="0"/>
        <v>#REF!</v>
      </c>
    </row>
    <row r="12" spans="1:5" ht="15.6">
      <c r="A12" s="2915"/>
      <c r="B12" s="2911" t="e">
        <f t="shared" ca="1" si="1"/>
        <v>#REF!</v>
      </c>
      <c r="C12" s="2910" t="s">
        <v>2993</v>
      </c>
      <c r="D12" s="2912"/>
      <c r="E12" s="2575" t="e">
        <f t="shared" ca="1" si="0"/>
        <v>#REF!</v>
      </c>
    </row>
    <row r="13" spans="1:5" ht="15.6">
      <c r="A13" s="2915"/>
      <c r="B13" s="2911" t="e">
        <f t="shared" ca="1" si="1"/>
        <v>#REF!</v>
      </c>
      <c r="C13" s="2910" t="s">
        <v>2993</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3.2"/>
  <cols>
    <col min="1" max="1" width="9" style="1472"/>
    <col min="2" max="6" width="9" style="1472" customWidth="1"/>
    <col min="7" max="7" width="9" style="1487"/>
    <col min="8" max="8" width="9" style="1472"/>
    <col min="9" max="12" width="9" style="1472" customWidth="1"/>
    <col min="13" max="13" width="2.21875" style="1472" customWidth="1"/>
    <col min="14" max="14" width="9" style="1487" customWidth="1"/>
    <col min="15" max="17" width="9" style="1472" customWidth="1"/>
    <col min="18" max="18" width="2.33203125" style="1472" customWidth="1"/>
    <col min="19" max="19" width="7.109375" style="1487" customWidth="1"/>
    <col min="20" max="22" width="7.109375" style="1472" customWidth="1"/>
    <col min="23" max="23" width="24.21875" style="1472" customWidth="1"/>
    <col min="24" max="25" width="9" style="1472"/>
    <col min="26" max="27" width="11.6640625" style="1472" customWidth="1"/>
    <col min="28" max="28" width="9" style="1472"/>
    <col min="29" max="29" width="2" style="1472" customWidth="1"/>
    <col min="30" max="16384" width="9" style="1472"/>
  </cols>
  <sheetData>
    <row r="1" spans="1:34" s="1446" customFormat="1">
      <c r="B1" s="3685" t="s">
        <v>1150</v>
      </c>
      <c r="C1" s="3685"/>
      <c r="D1" s="3685"/>
      <c r="E1" s="3685"/>
      <c r="F1" s="3685"/>
      <c r="G1" s="3681" t="s">
        <v>1151</v>
      </c>
      <c r="H1" s="3681"/>
      <c r="I1" s="3681"/>
      <c r="J1" s="3681"/>
      <c r="K1" s="3681"/>
      <c r="L1" s="3681"/>
      <c r="N1" s="3681" t="s">
        <v>1152</v>
      </c>
      <c r="O1" s="3681"/>
      <c r="P1" s="3681"/>
      <c r="Q1" s="3681"/>
      <c r="R1" s="1447"/>
      <c r="S1" s="3681" t="s">
        <v>1153</v>
      </c>
      <c r="T1" s="3681"/>
      <c r="U1" s="3681"/>
      <c r="V1" s="3681"/>
      <c r="X1" s="3680" t="s">
        <v>1154</v>
      </c>
      <c r="Y1" s="3681"/>
      <c r="Z1" s="3681"/>
      <c r="AA1" s="3681"/>
      <c r="AB1" s="3681"/>
      <c r="AD1" s="3680" t="s">
        <v>1155</v>
      </c>
      <c r="AE1" s="3681"/>
      <c r="AF1" s="3681"/>
      <c r="AG1" s="3681"/>
      <c r="AH1" s="3681"/>
    </row>
    <row r="2" spans="1:34" s="1448" customFormat="1" ht="1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9" customFormat="1" ht="14.4">
      <c r="A3" s="2938" t="s">
        <v>3034</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4">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3042</v>
      </c>
      <c r="B5" s="1792">
        <f t="shared" ref="B5:C8" si="2">B6*(1+N5)</f>
        <v>459.95733971036987</v>
      </c>
      <c r="C5" s="1792">
        <f t="shared" si="2"/>
        <v>341.22221064422405</v>
      </c>
      <c r="D5" s="1792">
        <f t="shared" ref="D5:D13" si="3">C5</f>
        <v>341.22221064422405</v>
      </c>
      <c r="E5" s="1792">
        <f t="shared" ref="E5:F8" si="4">E6*(1+P5)</f>
        <v>657.19161663724799</v>
      </c>
      <c r="F5" s="1792">
        <f t="shared" si="4"/>
        <v>300.87803644464805</v>
      </c>
      <c r="G5" s="2941">
        <v>2018</v>
      </c>
      <c r="H5" s="1731">
        <v>4</v>
      </c>
      <c r="I5" s="2924">
        <v>0</v>
      </c>
      <c r="J5" s="2924">
        <v>0</v>
      </c>
      <c r="K5" s="2924">
        <v>0</v>
      </c>
      <c r="L5" s="2924">
        <v>0</v>
      </c>
      <c r="N5" s="1468">
        <f t="shared" ref="N5:Q7" si="5">I5/100</f>
        <v>0</v>
      </c>
      <c r="O5" s="1468">
        <f t="shared" si="5"/>
        <v>0</v>
      </c>
      <c r="P5" s="1468">
        <f t="shared" si="5"/>
        <v>0</v>
      </c>
      <c r="Q5" s="1468">
        <f t="shared" si="5"/>
        <v>0</v>
      </c>
      <c r="R5" s="1733"/>
      <c r="S5" s="1734"/>
      <c r="T5" s="1733"/>
      <c r="U5" s="1733"/>
      <c r="V5" s="1733"/>
      <c r="W5" s="2928" t="s">
        <v>3035</v>
      </c>
      <c r="X5" s="1727">
        <f>ROUND(SUMPRODUCT(PRODUCT(1+N5:N$23)),4)</f>
        <v>1.4956</v>
      </c>
      <c r="Y5" s="1727">
        <f>ROUND(SUMPRODUCT(PRODUCT(1+O5:O$23)),4)</f>
        <v>1.3237000000000001</v>
      </c>
      <c r="Z5" s="1727">
        <f>Y5</f>
        <v>1.3237000000000001</v>
      </c>
      <c r="AA5" s="1727">
        <f>ROUND(SUMPRODUCT(PRODUCT(1+P5:P$23)),4)</f>
        <v>1.554</v>
      </c>
      <c r="AB5" s="1727">
        <f>ROUND(SUMPRODUCT(PRODUCT(1+Q5:Q$23)),4)</f>
        <v>1.3087</v>
      </c>
      <c r="AD5" s="1469">
        <f>ROUND(AVERAGE(I5:I$24)/100,4)</f>
        <v>2.1899999999999999E-2</v>
      </c>
      <c r="AE5" s="1469">
        <f>ROUND(AVERAGE(J5:J$24)/100,4)</f>
        <v>1.5299999999999999E-2</v>
      </c>
      <c r="AF5" s="1469">
        <f>AE5</f>
        <v>1.5299999999999999E-2</v>
      </c>
      <c r="AG5" s="1469">
        <f>ROUND(AVERAGE(K5:K$24)/100,4)</f>
        <v>2.41E-2</v>
      </c>
      <c r="AH5" s="1469">
        <f>ROUND(AVERAGE(L5:L$24)/100,4)</f>
        <v>1.4200000000000001E-2</v>
      </c>
    </row>
    <row r="6" spans="1:34" s="1467" customFormat="1" ht="13.8" thickBot="1">
      <c r="A6" s="1462" t="s">
        <v>3043</v>
      </c>
      <c r="B6" s="1478">
        <f t="shared" si="2"/>
        <v>459.95733971036987</v>
      </c>
      <c r="C6" s="1478">
        <f t="shared" si="2"/>
        <v>341.22221064422405</v>
      </c>
      <c r="D6" s="1478">
        <f t="shared" si="3"/>
        <v>341.22221064422405</v>
      </c>
      <c r="E6" s="1478">
        <f t="shared" si="4"/>
        <v>657.19161663724799</v>
      </c>
      <c r="F6" s="1478">
        <f t="shared" si="4"/>
        <v>300.87803644464805</v>
      </c>
      <c r="G6" s="2939"/>
      <c r="H6" s="1465">
        <v>3</v>
      </c>
      <c r="I6" s="1465">
        <v>1.51</v>
      </c>
      <c r="J6" s="1465">
        <v>1.41</v>
      </c>
      <c r="K6" s="1465">
        <v>1.52</v>
      </c>
      <c r="L6" s="1479">
        <v>1.74</v>
      </c>
      <c r="M6" s="1472"/>
      <c r="N6" s="1473">
        <f t="shared" si="5"/>
        <v>1.5100000000000001E-2</v>
      </c>
      <c r="O6" s="1474">
        <f t="shared" si="5"/>
        <v>1.41E-2</v>
      </c>
      <c r="P6" s="1474">
        <f t="shared" si="5"/>
        <v>1.52E-2</v>
      </c>
      <c r="Q6" s="1474">
        <f t="shared" si="5"/>
        <v>1.7399999999999999E-2</v>
      </c>
      <c r="R6" s="1475"/>
      <c r="S6" s="1473"/>
      <c r="T6" s="1474"/>
      <c r="U6" s="1474"/>
      <c r="V6" s="1474"/>
      <c r="W6" s="1791"/>
      <c r="X6" s="1789">
        <f>ROUND(SUMPRODUCT(PRODUCT(1+N6:N$23)),4)</f>
        <v>1.4956</v>
      </c>
      <c r="Y6" s="1789">
        <f>ROUND(SUMPRODUCT(PRODUCT(1+O6:O$23)),4)</f>
        <v>1.3237000000000001</v>
      </c>
      <c r="Z6" s="1789">
        <f>Y6</f>
        <v>1.3237000000000001</v>
      </c>
      <c r="AA6" s="1789">
        <f>ROUND(SUMPRODUCT(PRODUCT(1+P6:P$23)),4)</f>
        <v>1.554</v>
      </c>
      <c r="AB6" s="1789">
        <f>ROUND(SUMPRODUCT(PRODUCT(1+Q6:Q$23)),4)</f>
        <v>1.3087</v>
      </c>
      <c r="AC6" s="1791"/>
      <c r="AD6" s="1790">
        <f>ROUND(AVERAGE(I6:I$24)/100,4)</f>
        <v>2.3099999999999999E-2</v>
      </c>
      <c r="AE6" s="1790">
        <f>ROUND(AVERAGE(J6:J$24)/100,4)</f>
        <v>1.61E-2</v>
      </c>
      <c r="AF6" s="1790">
        <f>AE6</f>
        <v>1.61E-2</v>
      </c>
      <c r="AG6" s="1790">
        <f>ROUND(AVERAGE(K6:K$24)/100,4)</f>
        <v>2.53E-2</v>
      </c>
      <c r="AH6" s="1790">
        <f>ROUND(AVERAGE(L6:L$24)/100,4)</f>
        <v>1.4999999999999999E-2</v>
      </c>
    </row>
    <row r="7" spans="1:34" s="1467" customFormat="1" ht="13.8" thickBot="1">
      <c r="A7" s="1462" t="s">
        <v>3041</v>
      </c>
      <c r="B7" s="1478">
        <f t="shared" si="2"/>
        <v>453.11529869999993</v>
      </c>
      <c r="C7" s="1478">
        <f t="shared" si="2"/>
        <v>336.47787264000004</v>
      </c>
      <c r="D7" s="1478">
        <f t="shared" si="3"/>
        <v>336.47787264000004</v>
      </c>
      <c r="E7" s="1478">
        <f t="shared" si="4"/>
        <v>647.35186823999993</v>
      </c>
      <c r="F7" s="1478">
        <f t="shared" si="4"/>
        <v>295.73229452000004</v>
      </c>
      <c r="G7" s="2939"/>
      <c r="H7" s="1465">
        <v>2</v>
      </c>
      <c r="I7" s="1465">
        <v>1.49</v>
      </c>
      <c r="J7" s="1465">
        <v>0.96</v>
      </c>
      <c r="K7" s="1465">
        <v>1.58</v>
      </c>
      <c r="L7" s="1479">
        <v>2.44</v>
      </c>
      <c r="M7" s="1472"/>
      <c r="N7" s="1473">
        <f t="shared" si="5"/>
        <v>1.49E-2</v>
      </c>
      <c r="O7" s="1474">
        <f t="shared" si="5"/>
        <v>9.5999999999999992E-3</v>
      </c>
      <c r="P7" s="1474">
        <f t="shared" si="5"/>
        <v>1.5800000000000002E-2</v>
      </c>
      <c r="Q7" s="1474">
        <f t="shared" si="5"/>
        <v>2.4399999999999998E-2</v>
      </c>
      <c r="R7" s="1475"/>
      <c r="S7" s="1473"/>
      <c r="T7" s="1474"/>
      <c r="U7" s="1474"/>
      <c r="V7" s="1474"/>
      <c r="W7" s="1791"/>
      <c r="X7" s="1789">
        <f>ROUND(SUMPRODUCT(PRODUCT(1+N7:N$23)),4)</f>
        <v>1.4733000000000001</v>
      </c>
      <c r="Y7" s="1789">
        <f>ROUND(SUMPRODUCT(PRODUCT(1+O7:O$23)),4)</f>
        <v>1.3052999999999999</v>
      </c>
      <c r="Z7" s="1789">
        <f>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AE7</f>
        <v>1.6199999999999999E-2</v>
      </c>
      <c r="AG7" s="1790">
        <f>ROUND(AVERAGE(K7:K$24)/100,4)</f>
        <v>2.5899999999999999E-2</v>
      </c>
      <c r="AH7" s="1790">
        <f>ROUND(AVERAGE(L7:L$24)/100,4)</f>
        <v>1.49E-2</v>
      </c>
    </row>
    <row r="8" spans="1:34" s="1467" customFormat="1" ht="13.8" thickBot="1">
      <c r="A8" s="1462" t="s">
        <v>3033</v>
      </c>
      <c r="B8" s="1478">
        <f t="shared" si="2"/>
        <v>446.46299999999997</v>
      </c>
      <c r="C8" s="1478">
        <f t="shared" si="2"/>
        <v>333.27840000000003</v>
      </c>
      <c r="D8" s="1478">
        <f t="shared" si="3"/>
        <v>333.27840000000003</v>
      </c>
      <c r="E8" s="1478">
        <f t="shared" si="4"/>
        <v>637.28279999999995</v>
      </c>
      <c r="F8" s="1478">
        <f t="shared" si="4"/>
        <v>288.68830000000003</v>
      </c>
      <c r="G8" s="2939"/>
      <c r="H8" s="1465">
        <v>1</v>
      </c>
      <c r="I8" s="1465">
        <v>1.7</v>
      </c>
      <c r="J8" s="1465">
        <v>1.92</v>
      </c>
      <c r="K8" s="1465">
        <v>1.64</v>
      </c>
      <c r="L8" s="1479">
        <v>2.0099999999999998</v>
      </c>
      <c r="M8" s="1472"/>
      <c r="N8" s="1473">
        <f t="shared" ref="N8:N13" si="6">I8/100</f>
        <v>1.7000000000000001E-2</v>
      </c>
      <c r="O8" s="1474">
        <f t="shared" ref="O8:Q11" si="7">J8/100</f>
        <v>1.9199999999999998E-2</v>
      </c>
      <c r="P8" s="1474">
        <f t="shared" si="7"/>
        <v>1.6399999999999998E-2</v>
      </c>
      <c r="Q8" s="1474">
        <f t="shared" si="7"/>
        <v>2.0099999999999996E-2</v>
      </c>
      <c r="R8" s="1475"/>
      <c r="S8" s="1473">
        <f>B8/B9-1</f>
        <v>1.6999999999999904E-2</v>
      </c>
      <c r="T8" s="1474">
        <f>C8/C9-1</f>
        <v>1.9200000000000106E-2</v>
      </c>
      <c r="U8" s="1474">
        <f>D8/D9-1</f>
        <v>1.9200000000000106E-2</v>
      </c>
      <c r="V8" s="1474">
        <f>E8/E9-1</f>
        <v>1.639999999999997E-2</v>
      </c>
      <c r="W8" s="1791"/>
      <c r="X8" s="1789">
        <f>ROUND(SUMPRODUCT(PRODUCT(1+N8:N$23)),4)</f>
        <v>1.4517</v>
      </c>
      <c r="Y8" s="1789">
        <f>ROUND(SUMPRODUCT(PRODUCT(1+O8:O$23)),4)</f>
        <v>1.2928999999999999</v>
      </c>
      <c r="Z8" s="1789">
        <f>Y8</f>
        <v>1.2928999999999999</v>
      </c>
      <c r="AA8" s="1789">
        <f>ROUND(SUMPRODUCT(PRODUCT(1+P8:P$23)),4)</f>
        <v>1.5068999999999999</v>
      </c>
      <c r="AB8" s="1789">
        <f>ROUND(SUMPRODUCT(PRODUCT(1+Q8:Q$23)),4)</f>
        <v>1.2557</v>
      </c>
      <c r="AC8" s="1791"/>
      <c r="AD8" s="1790">
        <f>ROUND(AVERAGE(I8:I$24)/100,4)</f>
        <v>2.4E-2</v>
      </c>
      <c r="AE8" s="1790">
        <f>ROUND(AVERAGE(J8:J$24)/100,4)</f>
        <v>1.66E-2</v>
      </c>
      <c r="AF8" s="1790">
        <f>AE8</f>
        <v>1.66E-2</v>
      </c>
      <c r="AG8" s="1790">
        <f>ROUND(AVERAGE(K8:K$24)/100,4)</f>
        <v>2.6499999999999999E-2</v>
      </c>
      <c r="AH8" s="1790">
        <f>ROUND(AVERAGE(L8:L$24)/100,4)</f>
        <v>1.43E-2</v>
      </c>
    </row>
    <row r="9" spans="1:34">
      <c r="A9" s="1462" t="s">
        <v>3030</v>
      </c>
      <c r="B9" s="1470">
        <v>439</v>
      </c>
      <c r="C9" s="1470">
        <v>327</v>
      </c>
      <c r="D9" s="1470">
        <f t="shared" si="3"/>
        <v>327</v>
      </c>
      <c r="E9" s="1470">
        <v>627</v>
      </c>
      <c r="F9" s="1471">
        <v>283</v>
      </c>
      <c r="G9" s="2926">
        <v>2017</v>
      </c>
      <c r="H9" s="1463">
        <v>4</v>
      </c>
      <c r="I9" s="1463">
        <v>1.71</v>
      </c>
      <c r="J9" s="1463">
        <v>1.78</v>
      </c>
      <c r="K9" s="1463">
        <v>1.71</v>
      </c>
      <c r="L9" s="1464">
        <v>1.43</v>
      </c>
      <c r="N9" s="1473">
        <f t="shared" si="6"/>
        <v>1.7100000000000001E-2</v>
      </c>
      <c r="O9" s="1474">
        <f t="shared" si="7"/>
        <v>1.78E-2</v>
      </c>
      <c r="P9" s="1474">
        <f t="shared" si="7"/>
        <v>1.7100000000000001E-2</v>
      </c>
      <c r="Q9" s="1474">
        <f t="shared" si="7"/>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8" thickBot="1">
      <c r="A10" s="1462" t="s">
        <v>3031</v>
      </c>
      <c r="B10" s="1478">
        <f t="shared" ref="B10:C12" si="8">B11*(1+N10)</f>
        <v>431.80730811680002</v>
      </c>
      <c r="C10" s="1478">
        <f t="shared" si="8"/>
        <v>320.57880516480003</v>
      </c>
      <c r="D10" s="1478">
        <f t="shared" si="3"/>
        <v>320.57880516480003</v>
      </c>
      <c r="E10" s="1478">
        <f t="shared" ref="E10:F12" si="9">E11*(1+P10)</f>
        <v>615.96110553196797</v>
      </c>
      <c r="F10" s="1478">
        <f t="shared" si="9"/>
        <v>279.46777300108801</v>
      </c>
      <c r="G10" s="2922"/>
      <c r="H10" s="1465">
        <v>3</v>
      </c>
      <c r="I10" s="1465">
        <v>2.98</v>
      </c>
      <c r="J10" s="1465">
        <v>2.11</v>
      </c>
      <c r="K10" s="1465">
        <v>3.24</v>
      </c>
      <c r="L10" s="1479">
        <v>1.72</v>
      </c>
      <c r="M10" s="1472"/>
      <c r="N10" s="1473">
        <f t="shared" si="6"/>
        <v>2.98E-2</v>
      </c>
      <c r="O10" s="1474">
        <f t="shared" si="7"/>
        <v>2.1099999999999997E-2</v>
      </c>
      <c r="P10" s="1474">
        <f t="shared" si="7"/>
        <v>3.2400000000000005E-2</v>
      </c>
      <c r="Q10" s="1474">
        <f t="shared" si="7"/>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1386</v>
      </c>
      <c r="B11" s="1478">
        <f t="shared" si="8"/>
        <v>419.31181600000002</v>
      </c>
      <c r="C11" s="1478">
        <f t="shared" si="8"/>
        <v>313.95436800000004</v>
      </c>
      <c r="D11" s="1478">
        <f t="shared" si="3"/>
        <v>313.95436800000004</v>
      </c>
      <c r="E11" s="1478">
        <f t="shared" si="9"/>
        <v>596.63028431999999</v>
      </c>
      <c r="F11" s="1478">
        <f t="shared" si="9"/>
        <v>274.74220703999998</v>
      </c>
      <c r="G11" s="2921"/>
      <c r="H11" s="1466">
        <v>2</v>
      </c>
      <c r="I11" s="1466">
        <v>3.4</v>
      </c>
      <c r="J11" s="1466">
        <v>2</v>
      </c>
      <c r="K11" s="1466">
        <v>3.82</v>
      </c>
      <c r="L11" s="1480">
        <v>1.68</v>
      </c>
      <c r="M11" s="1472"/>
      <c r="N11" s="1473">
        <f t="shared" si="6"/>
        <v>3.4000000000000002E-2</v>
      </c>
      <c r="O11" s="1474">
        <f t="shared" si="7"/>
        <v>0.02</v>
      </c>
      <c r="P11" s="1474">
        <f t="shared" si="7"/>
        <v>3.8199999999999998E-2</v>
      </c>
      <c r="Q11" s="1474">
        <f t="shared" si="7"/>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8" thickBot="1">
      <c r="A12" s="1462" t="s">
        <v>1161</v>
      </c>
      <c r="B12" s="1478">
        <f t="shared" si="8"/>
        <v>405.524</v>
      </c>
      <c r="C12" s="1478">
        <f t="shared" si="8"/>
        <v>307.79840000000002</v>
      </c>
      <c r="D12" s="1478">
        <f t="shared" si="3"/>
        <v>307.79840000000002</v>
      </c>
      <c r="E12" s="1478">
        <f t="shared" si="9"/>
        <v>574.67759999999998</v>
      </c>
      <c r="F12" s="1478">
        <f t="shared" si="9"/>
        <v>270.20280000000002</v>
      </c>
      <c r="G12" s="2922"/>
      <c r="H12" s="1465">
        <v>1</v>
      </c>
      <c r="I12" s="1465">
        <v>3.45</v>
      </c>
      <c r="J12" s="1465">
        <v>1.92</v>
      </c>
      <c r="K12" s="1465">
        <v>3.92</v>
      </c>
      <c r="L12" s="1479">
        <v>1.58</v>
      </c>
      <c r="M12" s="1472"/>
      <c r="N12" s="1473">
        <f t="shared" si="6"/>
        <v>3.4500000000000003E-2</v>
      </c>
      <c r="O12" s="1474">
        <f t="shared" ref="O12:Q27" si="10">J12/100</f>
        <v>1.9199999999999998E-2</v>
      </c>
      <c r="P12" s="1474">
        <f t="shared" si="10"/>
        <v>3.9199999999999999E-2</v>
      </c>
      <c r="Q12" s="1474">
        <f t="shared" si="10"/>
        <v>1.5800000000000002E-2</v>
      </c>
      <c r="R12" s="1475"/>
      <c r="S12" s="1473">
        <f>B12/B13-1</f>
        <v>3.4499999999999975E-2</v>
      </c>
      <c r="T12" s="1474">
        <f>C12/C13-1</f>
        <v>1.9200000000000106E-2</v>
      </c>
      <c r="U12" s="1474">
        <f>D12/D13-1</f>
        <v>1.9200000000000106E-2</v>
      </c>
      <c r="V12" s="1474">
        <f>E12/E13-1</f>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 t="shared" si="3"/>
        <v>302</v>
      </c>
      <c r="E13" s="1470">
        <v>553</v>
      </c>
      <c r="F13" s="1471">
        <v>266</v>
      </c>
      <c r="G13" s="3686">
        <v>2016</v>
      </c>
      <c r="H13" s="1463">
        <v>4</v>
      </c>
      <c r="I13" s="1463">
        <v>4.5599999999999996</v>
      </c>
      <c r="J13" s="1463">
        <v>2.15</v>
      </c>
      <c r="K13" s="1463">
        <v>5.32</v>
      </c>
      <c r="L13" s="1464">
        <v>1.57</v>
      </c>
      <c r="N13" s="1473">
        <f t="shared" si="6"/>
        <v>4.5599999999999995E-2</v>
      </c>
      <c r="O13" s="1474">
        <f t="shared" si="10"/>
        <v>2.1499999999999998E-2</v>
      </c>
      <c r="P13" s="1474">
        <f t="shared" si="10"/>
        <v>5.3200000000000004E-2</v>
      </c>
      <c r="Q13" s="1474">
        <f t="shared" si="10"/>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11">B13/(1+N13)</f>
        <v>374.90436113236416</v>
      </c>
      <c r="C14" s="1478">
        <f t="shared" si="11"/>
        <v>295.64366128242779</v>
      </c>
      <c r="D14" s="1478">
        <f t="shared" ref="D14:D73" si="12">C14</f>
        <v>295.64366128242779</v>
      </c>
      <c r="E14" s="1478">
        <f t="shared" ref="E14:F16" si="13">E13/(1+P13)</f>
        <v>525.06646410938095</v>
      </c>
      <c r="F14" s="1478">
        <f t="shared" si="13"/>
        <v>261.88835286009646</v>
      </c>
      <c r="G14" s="3683"/>
      <c r="H14" s="1465">
        <v>3</v>
      </c>
      <c r="I14" s="1465">
        <v>4.12</v>
      </c>
      <c r="J14" s="1465">
        <v>2</v>
      </c>
      <c r="K14" s="1465">
        <v>4.79</v>
      </c>
      <c r="L14" s="1479">
        <v>1.97</v>
      </c>
      <c r="N14" s="1473">
        <f t="shared" ref="N14:Q48" si="14">I14/100</f>
        <v>4.1200000000000001E-2</v>
      </c>
      <c r="O14" s="1474">
        <f t="shared" si="10"/>
        <v>0.02</v>
      </c>
      <c r="P14" s="1474">
        <f t="shared" si="10"/>
        <v>4.7899999999999998E-2</v>
      </c>
      <c r="Q14" s="1474">
        <f t="shared" si="10"/>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11"/>
        <v>360.06949782209392</v>
      </c>
      <c r="C15" s="1478">
        <f t="shared" si="11"/>
        <v>289.84672674747821</v>
      </c>
      <c r="D15" s="1478">
        <f t="shared" si="12"/>
        <v>289.84672674747821</v>
      </c>
      <c r="E15" s="1478">
        <f t="shared" si="13"/>
        <v>501.06543001181495</v>
      </c>
      <c r="F15" s="1478">
        <f t="shared" si="13"/>
        <v>256.82882500744967</v>
      </c>
      <c r="G15" s="3683"/>
      <c r="H15" s="1466">
        <v>2</v>
      </c>
      <c r="I15" s="1466">
        <v>3.85</v>
      </c>
      <c r="J15" s="1466">
        <v>1.95</v>
      </c>
      <c r="K15" s="1466">
        <v>4.4800000000000004</v>
      </c>
      <c r="L15" s="1480">
        <v>1.41</v>
      </c>
      <c r="N15" s="1473">
        <f t="shared" si="14"/>
        <v>3.85E-2</v>
      </c>
      <c r="O15" s="1474">
        <f t="shared" si="10"/>
        <v>1.95E-2</v>
      </c>
      <c r="P15" s="1474">
        <f t="shared" si="10"/>
        <v>4.4800000000000006E-2</v>
      </c>
      <c r="Q15" s="1474">
        <f t="shared" si="10"/>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8" thickBot="1">
      <c r="A16" s="1462" t="s">
        <v>152</v>
      </c>
      <c r="B16" s="1478">
        <f t="shared" si="11"/>
        <v>346.720748986128</v>
      </c>
      <c r="C16" s="1478">
        <f t="shared" si="11"/>
        <v>284.30282172386285</v>
      </c>
      <c r="D16" s="1478">
        <f t="shared" si="12"/>
        <v>284.30282172386285</v>
      </c>
      <c r="E16" s="1478">
        <f t="shared" si="13"/>
        <v>479.58023546306947</v>
      </c>
      <c r="F16" s="1478">
        <f t="shared" si="13"/>
        <v>253.25788877571213</v>
      </c>
      <c r="G16" s="3684"/>
      <c r="H16" s="1465">
        <v>1</v>
      </c>
      <c r="I16" s="1465">
        <v>4.09</v>
      </c>
      <c r="J16" s="1465">
        <v>2.93</v>
      </c>
      <c r="K16" s="1465">
        <v>4.54</v>
      </c>
      <c r="L16" s="1479">
        <v>1.48</v>
      </c>
      <c r="N16" s="1473">
        <f t="shared" si="14"/>
        <v>4.0899999999999999E-2</v>
      </c>
      <c r="O16" s="1474">
        <f t="shared" si="10"/>
        <v>2.9300000000000003E-2</v>
      </c>
      <c r="P16" s="1474">
        <f t="shared" si="10"/>
        <v>4.5400000000000003E-2</v>
      </c>
      <c r="Q16" s="1474">
        <f t="shared" si="10"/>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8" thickBot="1">
      <c r="A17" s="1462" t="s">
        <v>151</v>
      </c>
      <c r="B17" s="1470">
        <v>333</v>
      </c>
      <c r="C17" s="1470">
        <v>277</v>
      </c>
      <c r="D17" s="1470">
        <f t="shared" si="12"/>
        <v>277</v>
      </c>
      <c r="E17" s="1470">
        <v>459</v>
      </c>
      <c r="F17" s="1471">
        <v>249</v>
      </c>
      <c r="G17" s="3682">
        <v>2015</v>
      </c>
      <c r="H17" s="1483">
        <v>4</v>
      </c>
      <c r="I17" s="1483">
        <v>1.63</v>
      </c>
      <c r="J17" s="1483">
        <v>1.1100000000000001</v>
      </c>
      <c r="K17" s="1483">
        <v>1.77</v>
      </c>
      <c r="L17" s="1484">
        <v>1.89</v>
      </c>
      <c r="N17" s="1485">
        <f t="shared" si="14"/>
        <v>1.6299999999999999E-2</v>
      </c>
      <c r="O17" s="1486">
        <f t="shared" si="10"/>
        <v>1.11E-2</v>
      </c>
      <c r="P17" s="1486">
        <f t="shared" si="10"/>
        <v>1.77E-2</v>
      </c>
      <c r="Q17" s="1486">
        <f t="shared" si="10"/>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15">B17/(1+N17)</f>
        <v>327.65915576109415</v>
      </c>
      <c r="C18" s="1478">
        <f t="shared" si="15"/>
        <v>273.95905449510434</v>
      </c>
      <c r="D18" s="1478">
        <f t="shared" si="12"/>
        <v>273.95905449510434</v>
      </c>
      <c r="E18" s="1478">
        <f t="shared" ref="E18:F20" si="16">E17/(1+P17)</f>
        <v>451.01699911565294</v>
      </c>
      <c r="F18" s="1478">
        <f t="shared" si="16"/>
        <v>244.38119540681129</v>
      </c>
      <c r="G18" s="3683"/>
      <c r="H18" s="1488">
        <v>3</v>
      </c>
      <c r="I18" s="1488">
        <v>1.65</v>
      </c>
      <c r="J18" s="1488">
        <v>0.92</v>
      </c>
      <c r="K18" s="1488">
        <v>1.88</v>
      </c>
      <c r="L18" s="1489">
        <v>1.26</v>
      </c>
      <c r="N18" s="1473">
        <f t="shared" si="14"/>
        <v>1.6500000000000001E-2</v>
      </c>
      <c r="O18" s="1490">
        <f t="shared" si="10"/>
        <v>9.1999999999999998E-3</v>
      </c>
      <c r="P18" s="1490">
        <f t="shared" si="10"/>
        <v>1.8799999999999997E-2</v>
      </c>
      <c r="Q18" s="1490">
        <f t="shared" si="10"/>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15"/>
        <v>322.34053690220776</v>
      </c>
      <c r="C19" s="1478">
        <f t="shared" si="15"/>
        <v>271.46160770422546</v>
      </c>
      <c r="D19" s="1478">
        <f t="shared" si="12"/>
        <v>271.46160770422546</v>
      </c>
      <c r="E19" s="1478">
        <f t="shared" si="16"/>
        <v>442.69434542172456</v>
      </c>
      <c r="F19" s="1478">
        <f t="shared" si="16"/>
        <v>241.34030753190925</v>
      </c>
      <c r="G19" s="3683"/>
      <c r="H19" s="1466">
        <v>2</v>
      </c>
      <c r="I19" s="1466">
        <v>0.77</v>
      </c>
      <c r="J19" s="1466">
        <v>0.69</v>
      </c>
      <c r="K19" s="1466">
        <v>0.8</v>
      </c>
      <c r="L19" s="1480">
        <v>0.88</v>
      </c>
      <c r="N19" s="1473">
        <f t="shared" si="14"/>
        <v>7.7000000000000002E-3</v>
      </c>
      <c r="O19" s="1490">
        <f t="shared" si="10"/>
        <v>6.8999999999999999E-3</v>
      </c>
      <c r="P19" s="1490">
        <f t="shared" si="10"/>
        <v>8.0000000000000002E-3</v>
      </c>
      <c r="Q19" s="1490">
        <f t="shared" si="10"/>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15"/>
        <v>319.87748030386797</v>
      </c>
      <c r="C20" s="1478">
        <f t="shared" si="15"/>
        <v>269.60135833173649</v>
      </c>
      <c r="D20" s="1478">
        <f t="shared" si="12"/>
        <v>269.60135833173649</v>
      </c>
      <c r="E20" s="1478">
        <f t="shared" si="16"/>
        <v>439.18089823583784</v>
      </c>
      <c r="F20" s="1478">
        <f t="shared" si="16"/>
        <v>239.23503918706311</v>
      </c>
      <c r="G20" s="3684"/>
      <c r="H20" s="1465">
        <v>1</v>
      </c>
      <c r="I20" s="1465">
        <v>0.51</v>
      </c>
      <c r="J20" s="1465">
        <v>0.54</v>
      </c>
      <c r="K20" s="1465">
        <v>0.48</v>
      </c>
      <c r="L20" s="1479">
        <v>0.93</v>
      </c>
      <c r="N20" s="1481">
        <f t="shared" si="14"/>
        <v>5.1000000000000004E-3</v>
      </c>
      <c r="O20" s="1482">
        <f t="shared" si="10"/>
        <v>5.4000000000000003E-3</v>
      </c>
      <c r="P20" s="1482">
        <f t="shared" si="10"/>
        <v>4.7999999999999996E-3</v>
      </c>
      <c r="Q20" s="1482">
        <f t="shared" si="10"/>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8" thickBot="1">
      <c r="A21" s="1462" t="s">
        <v>147</v>
      </c>
      <c r="B21" s="1491">
        <v>318</v>
      </c>
      <c r="C21" s="1491">
        <v>268</v>
      </c>
      <c r="D21" s="1491">
        <f t="shared" si="12"/>
        <v>268</v>
      </c>
      <c r="E21" s="1491">
        <v>437</v>
      </c>
      <c r="F21" s="1492">
        <v>237</v>
      </c>
      <c r="G21" s="3682">
        <v>2014</v>
      </c>
      <c r="H21" s="1483">
        <v>4</v>
      </c>
      <c r="I21" s="1483">
        <v>0.21</v>
      </c>
      <c r="J21" s="1483">
        <v>0.41</v>
      </c>
      <c r="K21" s="1483">
        <v>0.12</v>
      </c>
      <c r="L21" s="1484">
        <v>0.89</v>
      </c>
      <c r="N21" s="1473">
        <f t="shared" si="14"/>
        <v>2.0999999999999999E-3</v>
      </c>
      <c r="O21" s="1474">
        <f t="shared" si="10"/>
        <v>4.0999999999999995E-3</v>
      </c>
      <c r="P21" s="1474">
        <f t="shared" si="10"/>
        <v>1.1999999999999999E-3</v>
      </c>
      <c r="Q21" s="1474">
        <f t="shared" si="10"/>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17">B21/(1+N21)</f>
        <v>317.33359944117353</v>
      </c>
      <c r="C22" s="1478">
        <f t="shared" si="17"/>
        <v>266.90568668459315</v>
      </c>
      <c r="D22" s="1478">
        <f t="shared" si="12"/>
        <v>266.90568668459315</v>
      </c>
      <c r="E22" s="1478">
        <f t="shared" ref="E22:F24" si="18">E21/(1+P21)</f>
        <v>436.47622852576905</v>
      </c>
      <c r="F22" s="1478">
        <f t="shared" si="18"/>
        <v>234.90930716622066</v>
      </c>
      <c r="G22" s="3683"/>
      <c r="H22" s="1493">
        <v>3</v>
      </c>
      <c r="I22" s="1493">
        <v>0.83</v>
      </c>
      <c r="J22" s="1493">
        <v>1.47</v>
      </c>
      <c r="K22" s="1493">
        <v>0.65</v>
      </c>
      <c r="L22" s="1494">
        <v>0.72</v>
      </c>
      <c r="N22" s="1473">
        <f t="shared" si="14"/>
        <v>8.3000000000000001E-3</v>
      </c>
      <c r="O22" s="1474">
        <f t="shared" si="10"/>
        <v>1.47E-2</v>
      </c>
      <c r="P22" s="1474">
        <f t="shared" si="10"/>
        <v>6.5000000000000006E-3</v>
      </c>
      <c r="Q22" s="1474">
        <f t="shared" si="10"/>
        <v>7.1999999999999998E-3</v>
      </c>
      <c r="R22" s="1475"/>
      <c r="S22" s="1473"/>
      <c r="T22" s="1474"/>
      <c r="U22" s="1474"/>
      <c r="V22" s="1474"/>
      <c r="X22" s="1460">
        <f>ROUND(SUMPRODUCT(PRODUCT(1+N22:N$23)),4)</f>
        <v>1.0325</v>
      </c>
      <c r="Y22" s="1460">
        <f>ROUND(SUMPRODUCT(PRODUCT(1+O22:O$23)),4)</f>
        <v>1.0353000000000001</v>
      </c>
      <c r="Z22" s="1460">
        <f>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8" thickBot="1">
      <c r="A23" s="1462" t="s">
        <v>145</v>
      </c>
      <c r="B23" s="1478">
        <f t="shared" si="17"/>
        <v>314.72141172386546</v>
      </c>
      <c r="C23" s="1478">
        <f t="shared" si="17"/>
        <v>263.03901319069001</v>
      </c>
      <c r="D23" s="1478">
        <f t="shared" si="12"/>
        <v>263.03901319069001</v>
      </c>
      <c r="E23" s="1478">
        <f t="shared" si="18"/>
        <v>433.65745506782821</v>
      </c>
      <c r="F23" s="1478">
        <f t="shared" si="18"/>
        <v>233.23005080045735</v>
      </c>
      <c r="G23" s="3683"/>
      <c r="H23" s="1483">
        <v>2</v>
      </c>
      <c r="I23" s="1483">
        <v>2.4</v>
      </c>
      <c r="J23" s="1483">
        <v>2.0299999999999998</v>
      </c>
      <c r="K23" s="1483">
        <v>2.59</v>
      </c>
      <c r="L23" s="1484">
        <v>1.52</v>
      </c>
      <c r="N23" s="1473">
        <f t="shared" si="14"/>
        <v>2.4E-2</v>
      </c>
      <c r="O23" s="1474">
        <f t="shared" si="10"/>
        <v>2.0299999999999999E-2</v>
      </c>
      <c r="P23" s="1474">
        <f t="shared" si="10"/>
        <v>2.5899999999999999E-2</v>
      </c>
      <c r="Q23" s="1474">
        <f t="shared" si="10"/>
        <v>1.52E-2</v>
      </c>
      <c r="R23" s="1475"/>
      <c r="S23" s="1473"/>
      <c r="T23" s="1474"/>
      <c r="U23" s="1474"/>
      <c r="V23" s="1474"/>
      <c r="X23" s="1460">
        <f>1+N23</f>
        <v>1.024</v>
      </c>
      <c r="Y23" s="1460">
        <f>1+O23</f>
        <v>1.0203</v>
      </c>
      <c r="Z23" s="1460">
        <f>Y23</f>
        <v>1.0203</v>
      </c>
      <c r="AA23" s="1460">
        <f>1+P23</f>
        <v>1.0259</v>
      </c>
      <c r="AB23" s="1460">
        <f>1+Q23</f>
        <v>1.0152000000000001</v>
      </c>
      <c r="AD23" s="1461">
        <f>ROUND(AVERAGE(I23:I$24)/100,4)</f>
        <v>2.69E-2</v>
      </c>
      <c r="AE23" s="1461">
        <f>ROUND(AVERAGE(J23:J$24)/100,4)</f>
        <v>2.1899999999999999E-2</v>
      </c>
      <c r="AF23" s="1461">
        <f>AE23</f>
        <v>2.1899999999999999E-2</v>
      </c>
      <c r="AG23" s="1461">
        <f>ROUND(AVERAGE(K23:K$24)/100,4)</f>
        <v>2.9399999999999999E-2</v>
      </c>
      <c r="AH23" s="1461">
        <f>ROUND(AVERAGE(L23:L$24)/100,4)</f>
        <v>1.44E-2</v>
      </c>
    </row>
    <row r="24" spans="1:34" s="1499" customFormat="1" ht="13.8" thickBot="1">
      <c r="A24" s="1495" t="s">
        <v>144</v>
      </c>
      <c r="B24" s="1496">
        <f t="shared" si="17"/>
        <v>307.34512863658733</v>
      </c>
      <c r="C24" s="1496">
        <f t="shared" si="17"/>
        <v>257.80556031626975</v>
      </c>
      <c r="D24" s="1496">
        <f t="shared" si="12"/>
        <v>257.80556031626975</v>
      </c>
      <c r="E24" s="1496">
        <f t="shared" si="18"/>
        <v>422.70928459677179</v>
      </c>
      <c r="F24" s="1496">
        <f t="shared" si="18"/>
        <v>229.73803270336617</v>
      </c>
      <c r="G24" s="3684"/>
      <c r="H24" s="1497">
        <v>1</v>
      </c>
      <c r="I24" s="1497">
        <v>2.97</v>
      </c>
      <c r="J24" s="1497">
        <v>2.34</v>
      </c>
      <c r="K24" s="1497">
        <v>3.28</v>
      </c>
      <c r="L24" s="1498">
        <v>1.36</v>
      </c>
      <c r="N24" s="1500">
        <f t="shared" si="14"/>
        <v>2.9700000000000001E-2</v>
      </c>
      <c r="O24" s="1501">
        <f t="shared" si="10"/>
        <v>2.3399999999999997E-2</v>
      </c>
      <c r="P24" s="1501">
        <f t="shared" si="10"/>
        <v>3.2799999999999996E-2</v>
      </c>
      <c r="Q24" s="1501">
        <f t="shared" si="10"/>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8" thickBot="1">
      <c r="A25" s="1462" t="s">
        <v>1163</v>
      </c>
      <c r="B25" s="1470">
        <v>299</v>
      </c>
      <c r="C25" s="1470">
        <v>252</v>
      </c>
      <c r="D25" s="1470">
        <f t="shared" si="12"/>
        <v>252</v>
      </c>
      <c r="E25" s="1470">
        <v>409</v>
      </c>
      <c r="F25" s="1471">
        <v>227</v>
      </c>
      <c r="G25" s="3687">
        <v>2013</v>
      </c>
      <c r="H25" s="1507">
        <v>4</v>
      </c>
      <c r="I25" s="1507">
        <v>1.83</v>
      </c>
      <c r="J25" s="1507">
        <v>1.68</v>
      </c>
      <c r="K25" s="1507">
        <v>1.97</v>
      </c>
      <c r="L25" s="1508">
        <v>0.87</v>
      </c>
      <c r="N25" s="1485">
        <f t="shared" si="14"/>
        <v>1.83E-2</v>
      </c>
      <c r="O25" s="1486">
        <f t="shared" si="10"/>
        <v>1.6799999999999999E-2</v>
      </c>
      <c r="P25" s="1486">
        <f t="shared" si="10"/>
        <v>1.9699999999999999E-2</v>
      </c>
      <c r="Q25" s="1486">
        <f t="shared" si="10"/>
        <v>8.6999999999999994E-3</v>
      </c>
      <c r="R25" s="1475"/>
      <c r="S25" s="1476"/>
      <c r="T25" s="1477"/>
      <c r="U25" s="1477"/>
      <c r="V25" s="1477"/>
      <c r="X25" s="1477"/>
      <c r="Y25" s="1477"/>
      <c r="Z25" s="1477"/>
    </row>
    <row r="26" spans="1:34">
      <c r="A26" s="1462" t="s">
        <v>1164</v>
      </c>
      <c r="B26" s="1478">
        <f t="shared" ref="B26:C28" si="19">B25/(1+N25)</f>
        <v>293.62663262299913</v>
      </c>
      <c r="C26" s="1478">
        <f t="shared" si="19"/>
        <v>247.83634933123525</v>
      </c>
      <c r="D26" s="1478">
        <f t="shared" si="12"/>
        <v>247.83634933123525</v>
      </c>
      <c r="E26" s="1478">
        <f t="shared" ref="E26:F28" si="20">E25/(1+P25)</f>
        <v>401.09836226341076</v>
      </c>
      <c r="F26" s="1478">
        <f t="shared" si="20"/>
        <v>225.04213343908003</v>
      </c>
      <c r="G26" s="3688"/>
      <c r="H26" s="1488">
        <v>3</v>
      </c>
      <c r="I26" s="1488">
        <v>1.86</v>
      </c>
      <c r="J26" s="1488">
        <v>1.72</v>
      </c>
      <c r="K26" s="1488">
        <v>1.98</v>
      </c>
      <c r="L26" s="1489">
        <v>0.88</v>
      </c>
      <c r="N26" s="1473">
        <f t="shared" si="14"/>
        <v>1.8600000000000002E-2</v>
      </c>
      <c r="O26" s="1490">
        <f t="shared" si="10"/>
        <v>1.72E-2</v>
      </c>
      <c r="P26" s="1490">
        <f t="shared" si="10"/>
        <v>1.9799999999999998E-2</v>
      </c>
      <c r="Q26" s="1490">
        <f t="shared" si="10"/>
        <v>8.8000000000000005E-3</v>
      </c>
      <c r="R26" s="1475"/>
      <c r="S26" s="1473"/>
      <c r="T26" s="1474"/>
      <c r="U26" s="1474"/>
      <c r="V26" s="1474"/>
    </row>
    <row r="27" spans="1:34">
      <c r="A27" s="1462" t="s">
        <v>1165</v>
      </c>
      <c r="B27" s="1478">
        <f t="shared" si="19"/>
        <v>288.2649053828776</v>
      </c>
      <c r="C27" s="1478">
        <f t="shared" si="19"/>
        <v>243.64564425013293</v>
      </c>
      <c r="D27" s="1478">
        <f t="shared" si="12"/>
        <v>243.64564425013293</v>
      </c>
      <c r="E27" s="1478">
        <f t="shared" si="20"/>
        <v>393.31080825986544</v>
      </c>
      <c r="F27" s="1478">
        <f t="shared" si="20"/>
        <v>223.07903790551154</v>
      </c>
      <c r="G27" s="3688"/>
      <c r="H27" s="1466">
        <v>2</v>
      </c>
      <c r="I27" s="1466">
        <v>2.04</v>
      </c>
      <c r="J27" s="1466">
        <v>2.33</v>
      </c>
      <c r="K27" s="1466">
        <v>2.0699999999999998</v>
      </c>
      <c r="L27" s="1480">
        <v>0.69</v>
      </c>
      <c r="N27" s="1473">
        <f t="shared" si="14"/>
        <v>2.0400000000000001E-2</v>
      </c>
      <c r="O27" s="1490">
        <f t="shared" si="10"/>
        <v>2.3300000000000001E-2</v>
      </c>
      <c r="P27" s="1490">
        <f t="shared" si="10"/>
        <v>2.07E-2</v>
      </c>
      <c r="Q27" s="1490">
        <f t="shared" si="10"/>
        <v>6.8999999999999999E-3</v>
      </c>
      <c r="R27" s="1475"/>
      <c r="S27" s="1473"/>
      <c r="T27" s="1474"/>
      <c r="U27" s="1474"/>
      <c r="V27" s="1474"/>
      <c r="X27" s="1509"/>
      <c r="Y27" s="1510"/>
    </row>
    <row r="28" spans="1:34">
      <c r="A28" s="1462" t="s">
        <v>1166</v>
      </c>
      <c r="B28" s="1478">
        <f t="shared" si="19"/>
        <v>282.50186729015837</v>
      </c>
      <c r="C28" s="1478">
        <f t="shared" si="19"/>
        <v>238.09796174155468</v>
      </c>
      <c r="D28" s="1478">
        <f t="shared" si="12"/>
        <v>238.09796174155468</v>
      </c>
      <c r="E28" s="1478">
        <f t="shared" si="20"/>
        <v>385.33438646014054</v>
      </c>
      <c r="F28" s="1478">
        <f t="shared" si="20"/>
        <v>221.55034055567739</v>
      </c>
      <c r="G28" s="3689"/>
      <c r="H28" s="1465">
        <v>1</v>
      </c>
      <c r="I28" s="1465">
        <v>1.67</v>
      </c>
      <c r="J28" s="1465">
        <v>1.31</v>
      </c>
      <c r="K28" s="1465">
        <v>1.85</v>
      </c>
      <c r="L28" s="1479">
        <v>0.96</v>
      </c>
      <c r="N28" s="1481">
        <f t="shared" si="14"/>
        <v>1.67E-2</v>
      </c>
      <c r="O28" s="1482">
        <f t="shared" si="14"/>
        <v>1.3100000000000001E-2</v>
      </c>
      <c r="P28" s="1482">
        <f t="shared" si="14"/>
        <v>1.8500000000000003E-2</v>
      </c>
      <c r="Q28" s="1482">
        <f t="shared" si="14"/>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8" thickBot="1">
      <c r="A29" s="1462" t="s">
        <v>1167</v>
      </c>
      <c r="B29" s="1512">
        <v>278</v>
      </c>
      <c r="C29" s="1512">
        <v>234</v>
      </c>
      <c r="D29" s="1512">
        <f t="shared" si="12"/>
        <v>234</v>
      </c>
      <c r="E29" s="1512">
        <v>379</v>
      </c>
      <c r="F29" s="1513">
        <v>220</v>
      </c>
      <c r="G29" s="3682">
        <v>2012</v>
      </c>
      <c r="H29" s="1483">
        <v>4</v>
      </c>
      <c r="I29" s="1483">
        <v>0.91</v>
      </c>
      <c r="J29" s="1483">
        <v>0.68</v>
      </c>
      <c r="K29" s="1483">
        <v>0.98</v>
      </c>
      <c r="L29" s="1484">
        <v>0.9</v>
      </c>
      <c r="N29" s="1473">
        <f t="shared" si="14"/>
        <v>9.1000000000000004E-3</v>
      </c>
      <c r="O29" s="1474">
        <f t="shared" si="14"/>
        <v>6.8000000000000005E-3</v>
      </c>
      <c r="P29" s="1474">
        <f t="shared" si="14"/>
        <v>9.7999999999999997E-3</v>
      </c>
      <c r="Q29" s="1474">
        <f t="shared" si="14"/>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12"/>
        <v>232.41954707985698</v>
      </c>
      <c r="E30" s="1478">
        <f t="shared" ref="E30:F32" si="21">E29/(1+P29)</f>
        <v>375.32184591008121</v>
      </c>
      <c r="F30" s="1478">
        <f t="shared" si="21"/>
        <v>218.03766105054513</v>
      </c>
      <c r="G30" s="3683"/>
      <c r="H30" s="1488">
        <v>3</v>
      </c>
      <c r="I30" s="1488">
        <v>0.09</v>
      </c>
      <c r="J30" s="1488">
        <v>0.28999999999999998</v>
      </c>
      <c r="K30" s="1488">
        <v>-0.01</v>
      </c>
      <c r="L30" s="1489">
        <v>0.57999999999999996</v>
      </c>
      <c r="N30" s="1473">
        <f t="shared" si="14"/>
        <v>8.9999999999999998E-4</v>
      </c>
      <c r="O30" s="1474">
        <f t="shared" si="14"/>
        <v>2.8999999999999998E-3</v>
      </c>
      <c r="P30" s="1474">
        <f t="shared" si="14"/>
        <v>-1E-4</v>
      </c>
      <c r="Q30" s="1474">
        <f t="shared" si="14"/>
        <v>5.7999999999999996E-3</v>
      </c>
      <c r="R30" s="1475"/>
      <c r="S30" s="1473"/>
      <c r="T30" s="1474"/>
      <c r="U30" s="1474"/>
      <c r="V30" s="1474"/>
    </row>
    <row r="31" spans="1:34">
      <c r="A31" s="1462" t="s">
        <v>1169</v>
      </c>
      <c r="B31" s="1478">
        <f>B30/(1+N30)</f>
        <v>275.24529281292263</v>
      </c>
      <c r="C31" s="1478">
        <f>C30/(1+O30)</f>
        <v>231.74747938962707</v>
      </c>
      <c r="D31" s="1478">
        <f t="shared" si="12"/>
        <v>231.74747938962707</v>
      </c>
      <c r="E31" s="1478">
        <f t="shared" si="21"/>
        <v>375.35938184826603</v>
      </c>
      <c r="F31" s="1478">
        <f t="shared" si="21"/>
        <v>216.78033510692495</v>
      </c>
      <c r="G31" s="3683"/>
      <c r="H31" s="1466">
        <v>2</v>
      </c>
      <c r="I31" s="1466">
        <v>0.02</v>
      </c>
      <c r="J31" s="1466">
        <v>0.12</v>
      </c>
      <c r="K31" s="1466">
        <v>-0.08</v>
      </c>
      <c r="L31" s="1480">
        <v>1.24</v>
      </c>
      <c r="N31" s="1473">
        <f t="shared" si="14"/>
        <v>2.0000000000000001E-4</v>
      </c>
      <c r="O31" s="1474">
        <f t="shared" si="14"/>
        <v>1.1999999999999999E-3</v>
      </c>
      <c r="P31" s="1474">
        <f t="shared" si="14"/>
        <v>-8.0000000000000004E-4</v>
      </c>
      <c r="Q31" s="1474">
        <f t="shared" si="14"/>
        <v>1.24E-2</v>
      </c>
      <c r="R31" s="1475"/>
      <c r="S31" s="1473"/>
      <c r="T31" s="1474"/>
      <c r="U31" s="1474"/>
      <c r="V31" s="1474"/>
    </row>
    <row r="32" spans="1:34" ht="13.8" thickBot="1">
      <c r="A32" s="1462" t="s">
        <v>1170</v>
      </c>
      <c r="B32" s="1478">
        <f>B31/(1+N31)</f>
        <v>275.19025476197027</v>
      </c>
      <c r="C32" s="1514">
        <v>232</v>
      </c>
      <c r="D32" s="1514">
        <f t="shared" si="12"/>
        <v>232</v>
      </c>
      <c r="E32" s="1478">
        <f t="shared" si="21"/>
        <v>375.65990977608692</v>
      </c>
      <c r="F32" s="1478">
        <f t="shared" si="21"/>
        <v>214.12518283971252</v>
      </c>
      <c r="G32" s="3684"/>
      <c r="H32" s="1465">
        <v>1</v>
      </c>
      <c r="I32" s="1465">
        <v>0.02</v>
      </c>
      <c r="J32" s="1465">
        <v>0.13</v>
      </c>
      <c r="K32" s="1465">
        <v>-0.04</v>
      </c>
      <c r="L32" s="1479">
        <v>0.46</v>
      </c>
      <c r="N32" s="1473">
        <f t="shared" si="14"/>
        <v>2.0000000000000001E-4</v>
      </c>
      <c r="O32" s="1474">
        <f t="shared" si="14"/>
        <v>1.2999999999999999E-3</v>
      </c>
      <c r="P32" s="1474">
        <f t="shared" si="14"/>
        <v>-4.0000000000000002E-4</v>
      </c>
      <c r="Q32" s="1474">
        <f t="shared" si="14"/>
        <v>4.5999999999999999E-3</v>
      </c>
      <c r="R32" s="1475"/>
      <c r="S32" s="1481">
        <f>B32/B33-1</f>
        <v>6.9183549807361189E-4</v>
      </c>
      <c r="T32" s="1482">
        <f>C32/C33-1</f>
        <v>0</v>
      </c>
      <c r="U32" s="1482">
        <f>E32/E33-1</f>
        <v>-9.0449527636460303E-4</v>
      </c>
      <c r="V32" s="1482">
        <f>F32/F33-1</f>
        <v>5.2825485432512753E-3</v>
      </c>
      <c r="X32" s="1461"/>
      <c r="Y32" s="1461"/>
      <c r="Z32" s="1461"/>
    </row>
    <row r="33" spans="1:26" ht="13.8" thickBot="1">
      <c r="A33" s="1462" t="s">
        <v>1171</v>
      </c>
      <c r="B33" s="1470">
        <v>275</v>
      </c>
      <c r="C33" s="1470">
        <v>232</v>
      </c>
      <c r="D33" s="1470">
        <f t="shared" si="12"/>
        <v>232</v>
      </c>
      <c r="E33" s="1470">
        <v>376</v>
      </c>
      <c r="F33" s="1471">
        <v>213</v>
      </c>
      <c r="G33" s="3682">
        <v>2011</v>
      </c>
      <c r="H33" s="1483">
        <v>4</v>
      </c>
      <c r="I33" s="1483">
        <v>-0.2</v>
      </c>
      <c r="J33" s="1483">
        <v>0.04</v>
      </c>
      <c r="K33" s="1483">
        <v>-0.34</v>
      </c>
      <c r="L33" s="1484">
        <v>0.46</v>
      </c>
      <c r="N33" s="1485">
        <f t="shared" si="14"/>
        <v>-2E-3</v>
      </c>
      <c r="O33" s="1486">
        <f t="shared" si="14"/>
        <v>4.0000000000000002E-4</v>
      </c>
      <c r="P33" s="1486">
        <f t="shared" si="14"/>
        <v>-3.4000000000000002E-3</v>
      </c>
      <c r="Q33" s="1486">
        <f t="shared" si="14"/>
        <v>4.5999999999999999E-3</v>
      </c>
      <c r="R33" s="1475"/>
      <c r="S33" s="1476"/>
      <c r="T33" s="1477"/>
      <c r="U33" s="1477"/>
      <c r="V33" s="1477"/>
      <c r="X33" s="1477"/>
      <c r="Y33" s="1477"/>
      <c r="Z33" s="1477"/>
    </row>
    <row r="34" spans="1:26">
      <c r="A34" s="1462" t="s">
        <v>1172</v>
      </c>
      <c r="B34" s="1478">
        <f t="shared" ref="B34:C36" si="22">B33/(1+N33)</f>
        <v>275.55110220440883</v>
      </c>
      <c r="C34" s="1478">
        <f t="shared" si="22"/>
        <v>231.90723710515795</v>
      </c>
      <c r="D34" s="1478">
        <f t="shared" si="12"/>
        <v>231.90723710515795</v>
      </c>
      <c r="E34" s="1478">
        <f t="shared" ref="E34:F36" si="23">E33/(1+P33)</f>
        <v>377.28276138872161</v>
      </c>
      <c r="F34" s="1478">
        <f t="shared" si="23"/>
        <v>212.02468644236512</v>
      </c>
      <c r="G34" s="3683">
        <v>2011</v>
      </c>
      <c r="H34" s="1488">
        <v>3</v>
      </c>
      <c r="I34" s="1488">
        <v>0.13</v>
      </c>
      <c r="J34" s="1488">
        <v>0.75</v>
      </c>
      <c r="K34" s="1488">
        <v>-0.08</v>
      </c>
      <c r="L34" s="1489">
        <v>0.53</v>
      </c>
      <c r="N34" s="1473">
        <f t="shared" si="14"/>
        <v>1.2999999999999999E-3</v>
      </c>
      <c r="O34" s="1490">
        <f t="shared" si="14"/>
        <v>7.4999999999999997E-3</v>
      </c>
      <c r="P34" s="1490">
        <f t="shared" si="14"/>
        <v>-8.0000000000000004E-4</v>
      </c>
      <c r="Q34" s="1490">
        <f t="shared" si="14"/>
        <v>5.3E-3</v>
      </c>
      <c r="R34" s="1475"/>
      <c r="S34" s="1473"/>
      <c r="T34" s="1474"/>
      <c r="U34" s="1474"/>
      <c r="V34" s="1474"/>
    </row>
    <row r="35" spans="1:26">
      <c r="A35" s="1462" t="s">
        <v>1173</v>
      </c>
      <c r="B35" s="1478">
        <f t="shared" si="22"/>
        <v>275.19335084830601</v>
      </c>
      <c r="C35" s="1478">
        <f t="shared" si="22"/>
        <v>230.18088050139744</v>
      </c>
      <c r="D35" s="1478">
        <f t="shared" si="12"/>
        <v>230.18088050139744</v>
      </c>
      <c r="E35" s="1478">
        <f t="shared" si="23"/>
        <v>377.58482925212331</v>
      </c>
      <c r="F35" s="1478">
        <f t="shared" si="23"/>
        <v>210.90687997847917</v>
      </c>
      <c r="G35" s="3683">
        <v>2011</v>
      </c>
      <c r="H35" s="1466">
        <v>2</v>
      </c>
      <c r="I35" s="1466">
        <v>-0.4</v>
      </c>
      <c r="J35" s="1466">
        <v>0.17</v>
      </c>
      <c r="K35" s="1466">
        <v>-0.57999999999999996</v>
      </c>
      <c r="L35" s="1480">
        <v>-0.2</v>
      </c>
      <c r="N35" s="1473">
        <f t="shared" si="14"/>
        <v>-4.0000000000000001E-3</v>
      </c>
      <c r="O35" s="1490">
        <f t="shared" si="14"/>
        <v>1.7000000000000001E-3</v>
      </c>
      <c r="P35" s="1490">
        <f t="shared" si="14"/>
        <v>-5.7999999999999996E-3</v>
      </c>
      <c r="Q35" s="1490">
        <f t="shared" si="14"/>
        <v>-2E-3</v>
      </c>
      <c r="R35" s="1475"/>
      <c r="S35" s="1473"/>
      <c r="T35" s="1474"/>
      <c r="U35" s="1474"/>
      <c r="V35" s="1474"/>
    </row>
    <row r="36" spans="1:26" ht="13.8" thickBot="1">
      <c r="A36" s="1462" t="s">
        <v>1174</v>
      </c>
      <c r="B36" s="1478">
        <f t="shared" si="22"/>
        <v>276.29854502841971</v>
      </c>
      <c r="C36" s="1478">
        <f t="shared" si="22"/>
        <v>229.79023709833027</v>
      </c>
      <c r="D36" s="1478">
        <f t="shared" si="12"/>
        <v>229.79023709833027</v>
      </c>
      <c r="E36" s="1478">
        <f t="shared" si="23"/>
        <v>379.78759731655936</v>
      </c>
      <c r="F36" s="1478">
        <f t="shared" si="23"/>
        <v>211.32953905659235</v>
      </c>
      <c r="G36" s="3684">
        <v>2011</v>
      </c>
      <c r="H36" s="1465">
        <v>1</v>
      </c>
      <c r="I36" s="1465">
        <v>2.65</v>
      </c>
      <c r="J36" s="1465">
        <v>3.76</v>
      </c>
      <c r="K36" s="1465">
        <v>1.89</v>
      </c>
      <c r="L36" s="1479">
        <v>7.95</v>
      </c>
      <c r="N36" s="1481">
        <f t="shared" si="14"/>
        <v>2.6499999999999999E-2</v>
      </c>
      <c r="O36" s="1482">
        <f t="shared" si="14"/>
        <v>3.7599999999999995E-2</v>
      </c>
      <c r="P36" s="1482">
        <f t="shared" si="14"/>
        <v>1.89E-2</v>
      </c>
      <c r="Q36" s="1482">
        <f t="shared" si="14"/>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8" thickBot="1">
      <c r="A37" s="1462" t="s">
        <v>1175</v>
      </c>
      <c r="B37" s="1470">
        <v>269</v>
      </c>
      <c r="C37" s="1470">
        <v>221</v>
      </c>
      <c r="D37" s="1470">
        <f t="shared" si="12"/>
        <v>221</v>
      </c>
      <c r="E37" s="1470">
        <v>373</v>
      </c>
      <c r="F37" s="1471">
        <v>196</v>
      </c>
      <c r="G37" s="3682">
        <v>2010</v>
      </c>
      <c r="H37" s="1483">
        <v>4</v>
      </c>
      <c r="I37" s="1483">
        <v>5.72</v>
      </c>
      <c r="J37" s="1483">
        <v>6.57</v>
      </c>
      <c r="K37" s="1483">
        <v>5.72</v>
      </c>
      <c r="L37" s="1484">
        <v>2.72</v>
      </c>
      <c r="N37" s="1473">
        <f t="shared" si="14"/>
        <v>5.7200000000000001E-2</v>
      </c>
      <c r="O37" s="1474">
        <f t="shared" si="14"/>
        <v>6.5700000000000008E-2</v>
      </c>
      <c r="P37" s="1474">
        <f t="shared" si="14"/>
        <v>5.7200000000000001E-2</v>
      </c>
      <c r="Q37" s="1474">
        <f t="shared" si="14"/>
        <v>2.7200000000000002E-2</v>
      </c>
      <c r="R37" s="1475"/>
      <c r="S37" s="1476"/>
      <c r="T37" s="1477"/>
      <c r="U37" s="1477"/>
      <c r="V37" s="1477"/>
      <c r="X37" s="1477"/>
      <c r="Y37" s="1477"/>
      <c r="Z37" s="1477"/>
    </row>
    <row r="38" spans="1:26">
      <c r="A38" s="1462" t="s">
        <v>1176</v>
      </c>
      <c r="B38" s="1478">
        <f t="shared" ref="B38:C40" si="24">B37/(1+N37)</f>
        <v>254.44570563753314</v>
      </c>
      <c r="C38" s="1478">
        <f t="shared" si="24"/>
        <v>207.37543398705074</v>
      </c>
      <c r="D38" s="1478">
        <f t="shared" si="12"/>
        <v>207.37543398705074</v>
      </c>
      <c r="E38" s="1478">
        <f t="shared" ref="E38:F40" si="25">E37/(1+P37)</f>
        <v>352.81876655315932</v>
      </c>
      <c r="F38" s="1478">
        <f t="shared" si="25"/>
        <v>190.809968847352</v>
      </c>
      <c r="G38" s="3683">
        <v>2010</v>
      </c>
      <c r="H38" s="1488">
        <v>3</v>
      </c>
      <c r="I38" s="1488">
        <v>4.7300000000000004</v>
      </c>
      <c r="J38" s="1488">
        <v>3.9</v>
      </c>
      <c r="K38" s="1488">
        <v>5.03</v>
      </c>
      <c r="L38" s="1489">
        <v>4.21</v>
      </c>
      <c r="N38" s="1473">
        <f t="shared" si="14"/>
        <v>4.7300000000000002E-2</v>
      </c>
      <c r="O38" s="1474">
        <f t="shared" si="14"/>
        <v>3.9E-2</v>
      </c>
      <c r="P38" s="1474">
        <f t="shared" si="14"/>
        <v>5.0300000000000004E-2</v>
      </c>
      <c r="Q38" s="1474">
        <f t="shared" si="14"/>
        <v>4.2099999999999999E-2</v>
      </c>
      <c r="R38" s="1475"/>
      <c r="S38" s="1473"/>
      <c r="T38" s="1474"/>
      <c r="U38" s="1474"/>
      <c r="V38" s="1474"/>
    </row>
    <row r="39" spans="1:26">
      <c r="A39" s="1462" t="s">
        <v>1177</v>
      </c>
      <c r="B39" s="1478">
        <f t="shared" si="24"/>
        <v>242.95398227588385</v>
      </c>
      <c r="C39" s="1478">
        <f t="shared" si="24"/>
        <v>199.59137053614126</v>
      </c>
      <c r="D39" s="1478">
        <f t="shared" si="12"/>
        <v>199.59137053614126</v>
      </c>
      <c r="E39" s="1478">
        <f t="shared" si="25"/>
        <v>335.92189522342125</v>
      </c>
      <c r="F39" s="1478">
        <f t="shared" si="25"/>
        <v>183.10139991109489</v>
      </c>
      <c r="G39" s="3683">
        <v>2010</v>
      </c>
      <c r="H39" s="1466">
        <v>2</v>
      </c>
      <c r="I39" s="1466">
        <v>4.6900000000000004</v>
      </c>
      <c r="J39" s="1466">
        <v>3.55</v>
      </c>
      <c r="K39" s="1466">
        <v>5.07</v>
      </c>
      <c r="L39" s="1480">
        <v>4.2300000000000004</v>
      </c>
      <c r="N39" s="1473">
        <f t="shared" si="14"/>
        <v>4.6900000000000004E-2</v>
      </c>
      <c r="O39" s="1474">
        <f t="shared" si="14"/>
        <v>3.5499999999999997E-2</v>
      </c>
      <c r="P39" s="1474">
        <f t="shared" si="14"/>
        <v>5.0700000000000002E-2</v>
      </c>
      <c r="Q39" s="1474">
        <f t="shared" si="14"/>
        <v>4.2300000000000004E-2</v>
      </c>
      <c r="R39" s="1475"/>
      <c r="S39" s="1473"/>
      <c r="T39" s="1474"/>
      <c r="U39" s="1474"/>
      <c r="V39" s="1474"/>
    </row>
    <row r="40" spans="1:26" ht="13.8" thickBot="1">
      <c r="A40" s="1462" t="s">
        <v>1178</v>
      </c>
      <c r="B40" s="1478">
        <f t="shared" si="24"/>
        <v>232.06990378821649</v>
      </c>
      <c r="C40" s="1478">
        <f t="shared" si="24"/>
        <v>192.74878854286936</v>
      </c>
      <c r="D40" s="1478">
        <f t="shared" si="12"/>
        <v>192.74878854286936</v>
      </c>
      <c r="E40" s="1478">
        <f t="shared" si="25"/>
        <v>319.71247284992984</v>
      </c>
      <c r="F40" s="1478">
        <f t="shared" si="25"/>
        <v>175.67053622862409</v>
      </c>
      <c r="G40" s="3684">
        <v>2010</v>
      </c>
      <c r="H40" s="1465">
        <v>1</v>
      </c>
      <c r="I40" s="1465">
        <v>5.4</v>
      </c>
      <c r="J40" s="1465">
        <v>3.2</v>
      </c>
      <c r="K40" s="1465">
        <v>6.16</v>
      </c>
      <c r="L40" s="1479">
        <v>4.51</v>
      </c>
      <c r="N40" s="1473">
        <f t="shared" si="14"/>
        <v>5.4000000000000006E-2</v>
      </c>
      <c r="O40" s="1474">
        <f t="shared" si="14"/>
        <v>3.2000000000000001E-2</v>
      </c>
      <c r="P40" s="1474">
        <f t="shared" si="14"/>
        <v>6.1600000000000002E-2</v>
      </c>
      <c r="Q40" s="1474">
        <f t="shared" si="14"/>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8" thickBot="1">
      <c r="A41" s="1462" t="s">
        <v>1179</v>
      </c>
      <c r="B41" s="1470">
        <v>220</v>
      </c>
      <c r="C41" s="1470">
        <v>187</v>
      </c>
      <c r="D41" s="1470">
        <f t="shared" si="12"/>
        <v>187</v>
      </c>
      <c r="E41" s="1470">
        <v>301</v>
      </c>
      <c r="F41" s="1471">
        <v>168</v>
      </c>
      <c r="G41" s="3682">
        <v>2009</v>
      </c>
      <c r="H41" s="1483">
        <v>4</v>
      </c>
      <c r="I41" s="1483">
        <v>2.2999999999999998</v>
      </c>
      <c r="J41" s="1483">
        <v>1.04</v>
      </c>
      <c r="K41" s="1483">
        <v>2.84</v>
      </c>
      <c r="L41" s="1484">
        <v>0.67</v>
      </c>
      <c r="N41" s="1485">
        <f t="shared" si="14"/>
        <v>2.3E-2</v>
      </c>
      <c r="O41" s="1486">
        <f t="shared" si="14"/>
        <v>1.04E-2</v>
      </c>
      <c r="P41" s="1486">
        <f t="shared" si="14"/>
        <v>2.8399999999999998E-2</v>
      </c>
      <c r="Q41" s="1486">
        <f t="shared" si="14"/>
        <v>6.7000000000000002E-3</v>
      </c>
      <c r="R41" s="1475"/>
      <c r="S41" s="1476"/>
      <c r="T41" s="1477"/>
      <c r="U41" s="1477"/>
      <c r="V41" s="1477"/>
      <c r="X41" s="1477"/>
      <c r="Y41" s="1477"/>
      <c r="Z41" s="1477"/>
    </row>
    <row r="42" spans="1:26">
      <c r="A42" s="1462" t="s">
        <v>1180</v>
      </c>
      <c r="B42" s="1478">
        <f t="shared" ref="B42:C44" si="26">B41/(1+N41)</f>
        <v>215.05376344086022</v>
      </c>
      <c r="C42" s="1478">
        <f t="shared" si="26"/>
        <v>185.0752177355503</v>
      </c>
      <c r="D42" s="1478">
        <f t="shared" si="12"/>
        <v>185.0752177355503</v>
      </c>
      <c r="E42" s="1478">
        <f t="shared" ref="E42:F44" si="27">E41/(1+P41)</f>
        <v>292.68767016725008</v>
      </c>
      <c r="F42" s="1478">
        <f t="shared" si="27"/>
        <v>166.88189132810174</v>
      </c>
      <c r="G42" s="3683">
        <v>2009</v>
      </c>
      <c r="H42" s="1488">
        <v>3</v>
      </c>
      <c r="I42" s="1488">
        <v>2.1</v>
      </c>
      <c r="J42" s="1488">
        <v>1.86</v>
      </c>
      <c r="K42" s="1488">
        <v>2.29</v>
      </c>
      <c r="L42" s="1489">
        <v>0.85</v>
      </c>
      <c r="N42" s="1473">
        <f t="shared" si="14"/>
        <v>2.1000000000000001E-2</v>
      </c>
      <c r="O42" s="1490">
        <f t="shared" si="14"/>
        <v>1.8600000000000002E-2</v>
      </c>
      <c r="P42" s="1490">
        <f t="shared" si="14"/>
        <v>2.29E-2</v>
      </c>
      <c r="Q42" s="1490">
        <f t="shared" si="14"/>
        <v>8.5000000000000006E-3</v>
      </c>
      <c r="R42" s="1475"/>
      <c r="S42" s="1473"/>
      <c r="T42" s="1474"/>
      <c r="U42" s="1474"/>
      <c r="V42" s="1474"/>
    </row>
    <row r="43" spans="1:26">
      <c r="A43" s="1462" t="s">
        <v>1181</v>
      </c>
      <c r="B43" s="1478">
        <f t="shared" si="26"/>
        <v>210.630522469011</v>
      </c>
      <c r="C43" s="1478">
        <f t="shared" si="26"/>
        <v>181.69567812247232</v>
      </c>
      <c r="D43" s="1478">
        <f t="shared" si="12"/>
        <v>181.69567812247232</v>
      </c>
      <c r="E43" s="1478">
        <f t="shared" si="27"/>
        <v>286.13517466736738</v>
      </c>
      <c r="F43" s="1478">
        <f t="shared" si="27"/>
        <v>165.47535084591149</v>
      </c>
      <c r="G43" s="3683">
        <v>2009</v>
      </c>
      <c r="H43" s="1466">
        <v>2</v>
      </c>
      <c r="I43" s="1466">
        <v>0.86</v>
      </c>
      <c r="J43" s="1466">
        <v>-1.1299999999999999</v>
      </c>
      <c r="K43" s="1466">
        <v>1.79</v>
      </c>
      <c r="L43" s="1480">
        <v>-2.0699999999999998</v>
      </c>
      <c r="N43" s="1473">
        <f t="shared" si="14"/>
        <v>8.6E-3</v>
      </c>
      <c r="O43" s="1490">
        <f t="shared" si="14"/>
        <v>-1.1299999999999999E-2</v>
      </c>
      <c r="P43" s="1490">
        <f t="shared" si="14"/>
        <v>1.7899999999999999E-2</v>
      </c>
      <c r="Q43" s="1490">
        <f t="shared" si="14"/>
        <v>-2.07E-2</v>
      </c>
      <c r="R43" s="1475"/>
      <c r="S43" s="1473"/>
      <c r="T43" s="1474"/>
      <c r="U43" s="1474"/>
      <c r="V43" s="1474"/>
    </row>
    <row r="44" spans="1:26">
      <c r="A44" s="1462" t="s">
        <v>1182</v>
      </c>
      <c r="B44" s="1478">
        <f t="shared" si="26"/>
        <v>208.83454537875372</v>
      </c>
      <c r="C44" s="1478">
        <f t="shared" si="26"/>
        <v>183.77230517090351</v>
      </c>
      <c r="D44" s="1478">
        <f t="shared" si="12"/>
        <v>183.77230517090351</v>
      </c>
      <c r="E44" s="1478">
        <f t="shared" si="27"/>
        <v>281.10342338870947</v>
      </c>
      <c r="F44" s="1478">
        <f t="shared" si="27"/>
        <v>168.97309388942256</v>
      </c>
      <c r="G44" s="3684">
        <v>2009</v>
      </c>
      <c r="H44" s="1465">
        <v>1</v>
      </c>
      <c r="I44" s="1465">
        <v>-2.64</v>
      </c>
      <c r="J44" s="1465">
        <v>-2.5299999999999998</v>
      </c>
      <c r="K44" s="1465">
        <v>-3.02</v>
      </c>
      <c r="L44" s="1479">
        <v>1.52</v>
      </c>
      <c r="N44" s="1481">
        <f t="shared" si="14"/>
        <v>-2.64E-2</v>
      </c>
      <c r="O44" s="1482">
        <f t="shared" si="14"/>
        <v>-2.53E-2</v>
      </c>
      <c r="P44" s="1482">
        <f t="shared" si="14"/>
        <v>-3.0200000000000001E-2</v>
      </c>
      <c r="Q44" s="1482">
        <f t="shared" si="14"/>
        <v>1.52E-2</v>
      </c>
      <c r="R44" s="1475"/>
      <c r="S44" s="1481">
        <f>B44/B45-1</f>
        <v>-2.4137638417038754E-2</v>
      </c>
      <c r="T44" s="1482">
        <f>C44/C45-1</f>
        <v>-2.248773845264096E-2</v>
      </c>
      <c r="U44" s="1482">
        <f>E44/E45-1</f>
        <v>-2.7323794502735366E-2</v>
      </c>
      <c r="V44" s="1482">
        <f>F44/F45-1</f>
        <v>1.7910204153148035E-2</v>
      </c>
      <c r="X44" s="1461"/>
      <c r="Y44" s="1461"/>
      <c r="Z44" s="1461"/>
    </row>
    <row r="45" spans="1:26" ht="13.8" thickBot="1">
      <c r="A45" s="1462" t="s">
        <v>1183</v>
      </c>
      <c r="B45" s="1512">
        <v>214</v>
      </c>
      <c r="C45" s="1512">
        <v>188</v>
      </c>
      <c r="D45" s="1512">
        <f t="shared" si="12"/>
        <v>188</v>
      </c>
      <c r="E45" s="1512">
        <v>289</v>
      </c>
      <c r="F45" s="1513">
        <v>166</v>
      </c>
      <c r="G45" s="3682">
        <v>2008</v>
      </c>
      <c r="H45" s="1483">
        <v>4</v>
      </c>
      <c r="I45" s="1483">
        <v>1.73</v>
      </c>
      <c r="J45" s="1483">
        <v>0.03</v>
      </c>
      <c r="K45" s="1483">
        <v>2.59</v>
      </c>
      <c r="L45" s="1484">
        <v>-1.66</v>
      </c>
      <c r="N45" s="1473">
        <f t="shared" si="14"/>
        <v>1.7299999999999999E-2</v>
      </c>
      <c r="O45" s="1474">
        <f t="shared" si="14"/>
        <v>2.9999999999999997E-4</v>
      </c>
      <c r="P45" s="1474">
        <f t="shared" si="14"/>
        <v>2.5899999999999999E-2</v>
      </c>
      <c r="Q45" s="1474">
        <f t="shared" si="14"/>
        <v>-1.66E-2</v>
      </c>
      <c r="R45" s="1475"/>
      <c r="S45" s="1476"/>
      <c r="T45" s="1477"/>
      <c r="U45" s="1477"/>
      <c r="V45" s="1477"/>
      <c r="X45" s="1477"/>
      <c r="Y45" s="1477"/>
      <c r="Z45" s="1477"/>
    </row>
    <row r="46" spans="1:26">
      <c r="A46" s="1462" t="s">
        <v>1184</v>
      </c>
      <c r="B46" s="1478">
        <f t="shared" ref="B46:C48" si="28">B45/(1+N45)</f>
        <v>210.36075887152265</v>
      </c>
      <c r="C46" s="1478">
        <f t="shared" si="28"/>
        <v>187.94361691492554</v>
      </c>
      <c r="D46" s="1478">
        <f t="shared" si="12"/>
        <v>187.94361691492554</v>
      </c>
      <c r="E46" s="1478">
        <f t="shared" ref="E46:F48" si="29">E45/(1+P45)</f>
        <v>281.70386977288234</v>
      </c>
      <c r="F46" s="1478">
        <f t="shared" si="29"/>
        <v>168.80211511083994</v>
      </c>
      <c r="G46" s="3683">
        <v>2008</v>
      </c>
      <c r="H46" s="1488">
        <v>3</v>
      </c>
      <c r="I46" s="1488">
        <v>1.96</v>
      </c>
      <c r="J46" s="1488">
        <v>2.36</v>
      </c>
      <c r="K46" s="1488">
        <v>1.82</v>
      </c>
      <c r="L46" s="1489">
        <v>2.2200000000000002</v>
      </c>
      <c r="N46" s="1473">
        <f t="shared" si="14"/>
        <v>1.9599999999999999E-2</v>
      </c>
      <c r="O46" s="1474">
        <f t="shared" si="14"/>
        <v>2.3599999999999999E-2</v>
      </c>
      <c r="P46" s="1474">
        <f t="shared" si="14"/>
        <v>1.8200000000000001E-2</v>
      </c>
      <c r="Q46" s="1474">
        <f t="shared" si="14"/>
        <v>2.2200000000000001E-2</v>
      </c>
      <c r="R46" s="1475"/>
      <c r="S46" s="1473"/>
      <c r="T46" s="1474"/>
      <c r="U46" s="1474"/>
      <c r="V46" s="1474"/>
    </row>
    <row r="47" spans="1:26">
      <c r="A47" s="1462" t="s">
        <v>1185</v>
      </c>
      <c r="B47" s="1478">
        <f t="shared" si="28"/>
        <v>206.31694671589116</v>
      </c>
      <c r="C47" s="1478">
        <f t="shared" si="28"/>
        <v>183.61041121036101</v>
      </c>
      <c r="D47" s="1478">
        <f t="shared" si="12"/>
        <v>183.61041121036101</v>
      </c>
      <c r="E47" s="1478">
        <f t="shared" si="29"/>
        <v>276.66850301795557</v>
      </c>
      <c r="F47" s="1478">
        <f t="shared" si="29"/>
        <v>165.1360938278614</v>
      </c>
      <c r="G47" s="3683">
        <v>2008</v>
      </c>
      <c r="H47" s="1466">
        <v>2</v>
      </c>
      <c r="I47" s="1466">
        <v>4.93</v>
      </c>
      <c r="J47" s="1466">
        <v>7.38</v>
      </c>
      <c r="K47" s="1466">
        <v>3.98</v>
      </c>
      <c r="L47" s="1480">
        <v>6.86</v>
      </c>
      <c r="N47" s="1473">
        <f t="shared" si="14"/>
        <v>4.9299999999999997E-2</v>
      </c>
      <c r="O47" s="1474">
        <f t="shared" si="14"/>
        <v>7.3800000000000004E-2</v>
      </c>
      <c r="P47" s="1474">
        <f t="shared" si="14"/>
        <v>3.9800000000000002E-2</v>
      </c>
      <c r="Q47" s="1474">
        <f t="shared" si="14"/>
        <v>6.8600000000000008E-2</v>
      </c>
      <c r="R47" s="1475"/>
      <c r="S47" s="1473"/>
      <c r="T47" s="1474"/>
      <c r="U47" s="1474"/>
      <c r="V47" s="1474"/>
    </row>
    <row r="48" spans="1:26" s="1518" customFormat="1" ht="13.8" thickBot="1">
      <c r="A48" s="1462" t="s">
        <v>1186</v>
      </c>
      <c r="B48" s="1515">
        <f t="shared" si="28"/>
        <v>196.62341248059772</v>
      </c>
      <c r="C48" s="1515">
        <f t="shared" si="28"/>
        <v>170.99125648199012</v>
      </c>
      <c r="D48" s="1515">
        <f t="shared" si="12"/>
        <v>170.99125648199012</v>
      </c>
      <c r="E48" s="1515">
        <f t="shared" si="29"/>
        <v>266.07857570490052</v>
      </c>
      <c r="F48" s="1515">
        <f t="shared" si="29"/>
        <v>154.53499328828505</v>
      </c>
      <c r="G48" s="3684">
        <v>2008</v>
      </c>
      <c r="H48" s="1516">
        <v>1</v>
      </c>
      <c r="I48" s="1516">
        <v>4.1399999999999997</v>
      </c>
      <c r="J48" s="1516">
        <v>3.45</v>
      </c>
      <c r="K48" s="1516">
        <v>4.95</v>
      </c>
      <c r="L48" s="1517">
        <v>4.82</v>
      </c>
      <c r="N48" s="1519">
        <f t="shared" si="14"/>
        <v>4.1399999999999999E-2</v>
      </c>
      <c r="O48" s="1520">
        <f t="shared" si="14"/>
        <v>3.4500000000000003E-2</v>
      </c>
      <c r="P48" s="1520">
        <f t="shared" si="14"/>
        <v>4.9500000000000002E-2</v>
      </c>
      <c r="Q48" s="1520">
        <f t="shared" si="14"/>
        <v>4.82E-2</v>
      </c>
      <c r="R48" s="1521"/>
      <c r="S48" s="1519">
        <f>B48/B49-1</f>
        <v>4.5869215322328349E-2</v>
      </c>
      <c r="T48" s="1520">
        <f>C48/C49-1</f>
        <v>3.6310645345394743E-2</v>
      </c>
      <c r="U48" s="1520">
        <f>E48/E49-1</f>
        <v>4.7553447657088688E-2</v>
      </c>
      <c r="V48" s="1520">
        <f>F48/F49-1</f>
        <v>4.4155360055980086E-2</v>
      </c>
      <c r="X48" s="1522"/>
      <c r="Y48" s="1522"/>
      <c r="Z48" s="1522"/>
    </row>
    <row r="49" spans="1:26" ht="13.8" thickBot="1">
      <c r="A49" s="1462" t="s">
        <v>1187</v>
      </c>
      <c r="B49" s="1470">
        <v>188</v>
      </c>
      <c r="C49" s="1470">
        <v>165</v>
      </c>
      <c r="D49" s="1470">
        <f t="shared" si="12"/>
        <v>165</v>
      </c>
      <c r="E49" s="1470">
        <v>254</v>
      </c>
      <c r="F49" s="1471">
        <v>148</v>
      </c>
      <c r="G49" s="3682">
        <v>2007</v>
      </c>
      <c r="H49" s="1523">
        <v>4</v>
      </c>
      <c r="I49" s="1523">
        <v>5.51</v>
      </c>
      <c r="J49" s="1523">
        <v>4.8899999999999997</v>
      </c>
      <c r="K49" s="1523">
        <v>6.43</v>
      </c>
      <c r="L49" s="1524">
        <v>5.36</v>
      </c>
      <c r="N49" s="1525">
        <f t="shared" ref="N49:O52" si="30">B49/B50-1</f>
        <v>4.1339718365245526E-2</v>
      </c>
      <c r="O49" s="1526">
        <f t="shared" si="30"/>
        <v>4.0324492593776018E-2</v>
      </c>
      <c r="P49" s="1526">
        <f t="shared" ref="P49:Q52" si="31">E49/E50-1</f>
        <v>6.1625555347990968E-2</v>
      </c>
      <c r="Q49" s="1526">
        <f t="shared" si="31"/>
        <v>4.6757569250590603E-2</v>
      </c>
      <c r="R49" s="1475"/>
      <c r="S49" s="1476"/>
      <c r="T49" s="1477"/>
      <c r="U49" s="1477"/>
      <c r="V49" s="1477"/>
      <c r="X49" s="1477"/>
      <c r="Y49" s="1477"/>
      <c r="Z49" s="1477"/>
    </row>
    <row r="50" spans="1:26">
      <c r="A50" s="1462" t="s">
        <v>1188</v>
      </c>
      <c r="B50" s="1478">
        <f t="shared" ref="B50:C52" si="32">B51+(B$49-B$53)*I50/SUM(I$49:I$52)</f>
        <v>180.5366651097618</v>
      </c>
      <c r="C50" s="1478">
        <f t="shared" si="32"/>
        <v>158.60435967302453</v>
      </c>
      <c r="D50" s="1478">
        <f t="shared" si="12"/>
        <v>158.60435967302453</v>
      </c>
      <c r="E50" s="1478">
        <f t="shared" ref="E50:F52" si="33">E51+(E$49-E$53)*K50/SUM(K$49:K$52)</f>
        <v>239.25573260785075</v>
      </c>
      <c r="F50" s="1478">
        <f t="shared" si="33"/>
        <v>141.38899430740037</v>
      </c>
      <c r="G50" s="3683">
        <v>2007</v>
      </c>
      <c r="H50" s="1488">
        <v>3</v>
      </c>
      <c r="I50" s="1488">
        <v>8.65</v>
      </c>
      <c r="J50" s="1488">
        <v>8.06</v>
      </c>
      <c r="K50" s="1488">
        <v>9.94</v>
      </c>
      <c r="L50" s="1489">
        <v>5.8</v>
      </c>
      <c r="N50" s="1525">
        <f t="shared" si="30"/>
        <v>6.940217571740015E-2</v>
      </c>
      <c r="O50" s="1526">
        <f t="shared" si="30"/>
        <v>7.1197482471153428E-2</v>
      </c>
      <c r="P50" s="1526">
        <f t="shared" si="31"/>
        <v>0.10529679922579582</v>
      </c>
      <c r="Q50" s="1526">
        <f t="shared" si="31"/>
        <v>5.3292245059512133E-2</v>
      </c>
      <c r="R50" s="1475"/>
      <c r="S50" s="1473"/>
      <c r="T50" s="1474"/>
      <c r="U50" s="1474"/>
      <c r="V50" s="1474"/>
      <c r="X50" s="1527"/>
      <c r="Y50" s="1527"/>
      <c r="Z50" s="1527"/>
    </row>
    <row r="51" spans="1:26">
      <c r="A51" s="1462" t="s">
        <v>1189</v>
      </c>
      <c r="B51" s="1478">
        <f t="shared" si="32"/>
        <v>168.82017748715555</v>
      </c>
      <c r="C51" s="1478">
        <f t="shared" si="32"/>
        <v>148.06267029972753</v>
      </c>
      <c r="D51" s="1478">
        <f t="shared" si="12"/>
        <v>148.06267029972753</v>
      </c>
      <c r="E51" s="1478">
        <f t="shared" si="33"/>
        <v>216.46288379323747</v>
      </c>
      <c r="F51" s="1478">
        <f t="shared" si="33"/>
        <v>134.23529411764704</v>
      </c>
      <c r="G51" s="3683">
        <v>2007</v>
      </c>
      <c r="H51" s="1466">
        <v>2</v>
      </c>
      <c r="I51" s="1466">
        <v>3.67</v>
      </c>
      <c r="J51" s="1466">
        <v>2.3199999999999998</v>
      </c>
      <c r="K51" s="1466">
        <v>5.0199999999999996</v>
      </c>
      <c r="L51" s="1480">
        <v>6.71</v>
      </c>
      <c r="N51" s="1525">
        <f t="shared" si="30"/>
        <v>3.0339138143848032E-2</v>
      </c>
      <c r="O51" s="1526">
        <f t="shared" si="30"/>
        <v>2.0922341588790472E-2</v>
      </c>
      <c r="P51" s="1526">
        <f t="shared" si="31"/>
        <v>5.6164796592717003E-2</v>
      </c>
      <c r="Q51" s="1526">
        <f t="shared" si="31"/>
        <v>6.5704536723887319E-2</v>
      </c>
      <c r="R51" s="1475"/>
      <c r="S51" s="1473"/>
      <c r="T51" s="1474"/>
      <c r="U51" s="1474"/>
      <c r="V51" s="1474"/>
      <c r="X51" s="1527"/>
      <c r="Y51" s="1527"/>
      <c r="Z51" s="1527"/>
    </row>
    <row r="52" spans="1:26">
      <c r="A52" s="1462" t="s">
        <v>1190</v>
      </c>
      <c r="B52" s="1478">
        <f t="shared" si="32"/>
        <v>163.84913591779542</v>
      </c>
      <c r="C52" s="1478">
        <f t="shared" si="32"/>
        <v>145.0283378746594</v>
      </c>
      <c r="D52" s="1478">
        <f t="shared" si="12"/>
        <v>145.0283378746594</v>
      </c>
      <c r="E52" s="1478">
        <f t="shared" si="33"/>
        <v>204.95180722891567</v>
      </c>
      <c r="F52" s="1478">
        <f t="shared" si="33"/>
        <v>125.95920303605313</v>
      </c>
      <c r="G52" s="3684">
        <v>2007</v>
      </c>
      <c r="H52" s="1465">
        <v>1</v>
      </c>
      <c r="I52" s="1465">
        <v>3.58</v>
      </c>
      <c r="J52" s="1465">
        <v>3.08</v>
      </c>
      <c r="K52" s="1465">
        <v>4.34</v>
      </c>
      <c r="L52" s="1479">
        <v>3.21</v>
      </c>
      <c r="N52" s="1528">
        <f t="shared" si="30"/>
        <v>3.0497710174814063E-2</v>
      </c>
      <c r="O52" s="1529">
        <f t="shared" si="30"/>
        <v>2.8569772160704998E-2</v>
      </c>
      <c r="P52" s="1529">
        <f t="shared" si="31"/>
        <v>5.1034908866234296E-2</v>
      </c>
      <c r="Q52" s="1529">
        <f t="shared" si="31"/>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8" thickBot="1">
      <c r="A53" s="1462" t="s">
        <v>1191</v>
      </c>
      <c r="B53" s="1491">
        <v>159</v>
      </c>
      <c r="C53" s="1491">
        <v>141</v>
      </c>
      <c r="D53" s="1491">
        <f t="shared" si="12"/>
        <v>141</v>
      </c>
      <c r="E53" s="1491">
        <v>195</v>
      </c>
      <c r="F53" s="1492">
        <v>122</v>
      </c>
      <c r="G53" s="3682">
        <v>2006</v>
      </c>
      <c r="H53" s="1483">
        <v>4</v>
      </c>
      <c r="I53" s="1483">
        <v>3.79</v>
      </c>
      <c r="J53" s="1483">
        <v>2.21</v>
      </c>
      <c r="K53" s="1483">
        <v>5.65</v>
      </c>
      <c r="L53" s="1484">
        <v>5.41</v>
      </c>
      <c r="N53" s="1525">
        <f t="shared" ref="N53:O56" si="34">I53/SUM(I$53:I$56)*(B$53/B$57-1)</f>
        <v>7.245466462748526E-2</v>
      </c>
      <c r="O53" s="1526">
        <f t="shared" si="34"/>
        <v>2.3237230038062766E-2</v>
      </c>
      <c r="P53" s="1526">
        <f t="shared" ref="P53:Q56" si="35">K53/SUM(K$53:K$56)*(E$53/E$57-1)</f>
        <v>0.16146893866323722</v>
      </c>
      <c r="Q53" s="1526">
        <f t="shared" si="35"/>
        <v>5.0755230321793784E-2</v>
      </c>
      <c r="R53" s="1475"/>
      <c r="S53" s="1476"/>
      <c r="T53" s="1477"/>
      <c r="U53" s="1477"/>
      <c r="V53" s="1477"/>
      <c r="X53" s="1527"/>
      <c r="Y53" s="1527"/>
      <c r="Z53" s="1527"/>
    </row>
    <row r="54" spans="1:26">
      <c r="A54" s="1462" t="s">
        <v>1192</v>
      </c>
      <c r="B54" s="1478">
        <f t="shared" ref="B54:C56" si="36">B55+(B$53-B$57)*I54/SUM(I$53:I$56)</f>
        <v>149.00125628140702</v>
      </c>
      <c r="C54" s="1478">
        <f t="shared" si="36"/>
        <v>137.95592286501378</v>
      </c>
      <c r="D54" s="1478">
        <f t="shared" si="12"/>
        <v>137.95592286501378</v>
      </c>
      <c r="E54" s="1478">
        <f t="shared" ref="E54:F56" si="37">E55+(E$53-E$57)*K54/SUM(K$53:K$56)</f>
        <v>169.97231450719823</v>
      </c>
      <c r="F54" s="1478">
        <f t="shared" si="37"/>
        <v>116.21390374331551</v>
      </c>
      <c r="G54" s="3683">
        <v>2006</v>
      </c>
      <c r="H54" s="1488">
        <v>3</v>
      </c>
      <c r="I54" s="1488">
        <v>0.92</v>
      </c>
      <c r="J54" s="1488">
        <v>1.08</v>
      </c>
      <c r="K54" s="1488">
        <v>0.73</v>
      </c>
      <c r="L54" s="1489">
        <v>1.08</v>
      </c>
      <c r="N54" s="1525">
        <f t="shared" si="34"/>
        <v>1.7587939698492462E-2</v>
      </c>
      <c r="O54" s="1526">
        <f t="shared" si="34"/>
        <v>1.1355750425840628E-2</v>
      </c>
      <c r="P54" s="1526">
        <f t="shared" si="35"/>
        <v>2.0862358446754544E-2</v>
      </c>
      <c r="Q54" s="1526">
        <f t="shared" si="35"/>
        <v>1.0132282578103011E-2</v>
      </c>
      <c r="R54" s="1475"/>
      <c r="S54" s="1473"/>
      <c r="T54" s="1474"/>
      <c r="U54" s="1474"/>
      <c r="V54" s="1474"/>
      <c r="X54" s="1527"/>
      <c r="Y54" s="1527"/>
      <c r="Z54" s="1527"/>
    </row>
    <row r="55" spans="1:26">
      <c r="A55" s="1462" t="s">
        <v>1193</v>
      </c>
      <c r="B55" s="1478">
        <f t="shared" si="36"/>
        <v>146.57412060301507</v>
      </c>
      <c r="C55" s="1478">
        <f t="shared" si="36"/>
        <v>136.46831955922866</v>
      </c>
      <c r="D55" s="1478">
        <f t="shared" si="12"/>
        <v>136.46831955922866</v>
      </c>
      <c r="E55" s="1478">
        <f t="shared" si="37"/>
        <v>166.73864894795128</v>
      </c>
      <c r="F55" s="1478">
        <f t="shared" si="37"/>
        <v>115.05882352941177</v>
      </c>
      <c r="G55" s="3683">
        <v>2006</v>
      </c>
      <c r="H55" s="1466">
        <v>2</v>
      </c>
      <c r="I55" s="1466">
        <v>0.96</v>
      </c>
      <c r="J55" s="1466">
        <v>0.25</v>
      </c>
      <c r="K55" s="1466">
        <v>1.9</v>
      </c>
      <c r="L55" s="1480">
        <v>0.95</v>
      </c>
      <c r="N55" s="1525">
        <f t="shared" si="34"/>
        <v>1.8352632728861701E-2</v>
      </c>
      <c r="O55" s="1526">
        <f t="shared" si="34"/>
        <v>2.6286459319075526E-3</v>
      </c>
      <c r="P55" s="1526">
        <f t="shared" si="35"/>
        <v>5.4299289107991269E-2</v>
      </c>
      <c r="Q55" s="1526">
        <f t="shared" si="35"/>
        <v>8.9126559714794995E-3</v>
      </c>
      <c r="R55" s="1475"/>
      <c r="S55" s="1473"/>
      <c r="T55" s="1474"/>
      <c r="U55" s="1474"/>
      <c r="V55" s="1474"/>
      <c r="X55" s="1527"/>
      <c r="Y55" s="1527"/>
      <c r="Z55" s="1527"/>
    </row>
    <row r="56" spans="1:26">
      <c r="A56" s="1462" t="s">
        <v>1194</v>
      </c>
      <c r="B56" s="1478">
        <f t="shared" si="36"/>
        <v>144.04145728643215</v>
      </c>
      <c r="C56" s="1478">
        <f t="shared" si="36"/>
        <v>136.12396694214877</v>
      </c>
      <c r="D56" s="1478">
        <f t="shared" si="12"/>
        <v>136.12396694214877</v>
      </c>
      <c r="E56" s="1478">
        <f t="shared" si="37"/>
        <v>158.32225913621264</v>
      </c>
      <c r="F56" s="1478">
        <f t="shared" si="37"/>
        <v>114.04278074866311</v>
      </c>
      <c r="G56" s="3684">
        <v>2006</v>
      </c>
      <c r="H56" s="1465">
        <v>1</v>
      </c>
      <c r="I56" s="1465">
        <v>2.29</v>
      </c>
      <c r="J56" s="1465">
        <v>3.72</v>
      </c>
      <c r="K56" s="1465">
        <v>0.75</v>
      </c>
      <c r="L56" s="1479">
        <v>0.04</v>
      </c>
      <c r="N56" s="1528">
        <f t="shared" si="34"/>
        <v>4.3778675988638847E-2</v>
      </c>
      <c r="O56" s="1529">
        <f t="shared" si="34"/>
        <v>3.9114251466784385E-2</v>
      </c>
      <c r="P56" s="1529">
        <f t="shared" si="35"/>
        <v>2.1433929911049188E-2</v>
      </c>
      <c r="Q56" s="1529">
        <f t="shared" si="35"/>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8" thickBot="1">
      <c r="A57" s="1462" t="s">
        <v>1195</v>
      </c>
      <c r="B57" s="1491">
        <v>138</v>
      </c>
      <c r="C57" s="1491">
        <v>131</v>
      </c>
      <c r="D57" s="1491">
        <f t="shared" si="12"/>
        <v>131</v>
      </c>
      <c r="E57" s="1491">
        <v>155</v>
      </c>
      <c r="F57" s="1492">
        <v>114</v>
      </c>
      <c r="G57" s="3682">
        <v>2005</v>
      </c>
      <c r="H57" s="1483">
        <v>4</v>
      </c>
      <c r="I57" s="1483">
        <v>3.29</v>
      </c>
      <c r="J57" s="1483">
        <v>1.44</v>
      </c>
      <c r="K57" s="1483">
        <v>0.66</v>
      </c>
      <c r="L57" s="1484">
        <v>7.78</v>
      </c>
      <c r="N57" s="1525">
        <f t="shared" ref="N57:O60" si="38">I57/SUM(I$57:I$60)*(B$57/B$61-1)</f>
        <v>9.9404603216919935E-2</v>
      </c>
      <c r="O57" s="1526">
        <f t="shared" si="38"/>
        <v>4.7636550760861554E-2</v>
      </c>
      <c r="P57" s="1526">
        <f t="shared" ref="P57:Q60" si="39">K57/SUM(K$57:K$60)*(E$57/E$61-1)</f>
        <v>8.3756345177664976E-2</v>
      </c>
      <c r="Q57" s="1526">
        <f t="shared" si="39"/>
        <v>5.2148766661559584E-2</v>
      </c>
      <c r="R57" s="1475"/>
      <c r="S57" s="1476"/>
      <c r="T57" s="1477"/>
      <c r="U57" s="1477"/>
      <c r="V57" s="1477"/>
      <c r="X57" s="1527"/>
      <c r="Y57" s="1527"/>
      <c r="Z57" s="1527"/>
    </row>
    <row r="58" spans="1:26">
      <c r="A58" s="1462" t="s">
        <v>1196</v>
      </c>
      <c r="B58" s="1478">
        <f t="shared" ref="B58:C60" si="40">B59+(B$57-B$61)*I58/SUM(I$57:I$60)</f>
        <v>125.9720430107527</v>
      </c>
      <c r="C58" s="1478">
        <f t="shared" si="40"/>
        <v>125.1883408071749</v>
      </c>
      <c r="D58" s="1478">
        <f t="shared" si="12"/>
        <v>125.1883408071749</v>
      </c>
      <c r="E58" s="1478">
        <f t="shared" ref="E58:F60" si="41">E59+(E$57-E$61)*K58/SUM(K$57:K$60)</f>
        <v>144.61421319796952</v>
      </c>
      <c r="F58" s="1478">
        <f t="shared" si="41"/>
        <v>108.42008196721311</v>
      </c>
      <c r="G58" s="3683">
        <v>2005</v>
      </c>
      <c r="H58" s="1488">
        <v>3</v>
      </c>
      <c r="I58" s="1488">
        <v>0.46</v>
      </c>
      <c r="J58" s="1488">
        <v>0.32</v>
      </c>
      <c r="K58" s="1488">
        <v>0.42</v>
      </c>
      <c r="L58" s="1489">
        <v>0.64</v>
      </c>
      <c r="N58" s="1525">
        <f t="shared" si="38"/>
        <v>1.3898515951301874E-2</v>
      </c>
      <c r="O58" s="1526">
        <f t="shared" si="38"/>
        <v>1.0585900169080346E-2</v>
      </c>
      <c r="P58" s="1526">
        <f t="shared" si="39"/>
        <v>5.3299492385786795E-2</v>
      </c>
      <c r="Q58" s="1526">
        <f t="shared" si="39"/>
        <v>4.2898728359123568E-3</v>
      </c>
      <c r="R58" s="1475"/>
      <c r="S58" s="1473"/>
      <c r="T58" s="1474"/>
      <c r="U58" s="1474"/>
      <c r="V58" s="1474"/>
      <c r="X58" s="1527"/>
      <c r="Y58" s="1527"/>
      <c r="Z58" s="1527"/>
    </row>
    <row r="59" spans="1:26">
      <c r="A59" s="1462" t="s">
        <v>1197</v>
      </c>
      <c r="B59" s="1478">
        <f t="shared" si="40"/>
        <v>124.29032258064517</v>
      </c>
      <c r="C59" s="1478">
        <f t="shared" si="40"/>
        <v>123.8968609865471</v>
      </c>
      <c r="D59" s="1478">
        <f t="shared" si="12"/>
        <v>123.8968609865471</v>
      </c>
      <c r="E59" s="1478">
        <f t="shared" si="41"/>
        <v>138.00507614213197</v>
      </c>
      <c r="F59" s="1478">
        <f t="shared" si="41"/>
        <v>107.96106557377048</v>
      </c>
      <c r="G59" s="3683">
        <v>2005</v>
      </c>
      <c r="H59" s="1466">
        <v>2</v>
      </c>
      <c r="I59" s="1466">
        <v>0.47</v>
      </c>
      <c r="J59" s="1466">
        <v>0.1</v>
      </c>
      <c r="K59" s="1466">
        <v>0.52</v>
      </c>
      <c r="L59" s="1480">
        <v>0.79</v>
      </c>
      <c r="N59" s="1525">
        <f t="shared" si="38"/>
        <v>1.420065760241713E-2</v>
      </c>
      <c r="O59" s="1526">
        <f t="shared" si="38"/>
        <v>3.3080938028376083E-3</v>
      </c>
      <c r="P59" s="1526">
        <f t="shared" si="39"/>
        <v>6.598984771573603E-2</v>
      </c>
      <c r="Q59" s="1526">
        <f t="shared" si="39"/>
        <v>5.2953117818293153E-3</v>
      </c>
      <c r="R59" s="1475"/>
      <c r="S59" s="1473"/>
      <c r="T59" s="1474"/>
      <c r="U59" s="1474"/>
      <c r="V59" s="1474"/>
      <c r="X59" s="1527"/>
      <c r="Y59" s="1527"/>
      <c r="Z59" s="1527"/>
    </row>
    <row r="60" spans="1:26">
      <c r="A60" s="1462" t="s">
        <v>1198</v>
      </c>
      <c r="B60" s="1478">
        <f t="shared" si="40"/>
        <v>122.57204301075269</v>
      </c>
      <c r="C60" s="1478">
        <f t="shared" si="40"/>
        <v>123.4932735426009</v>
      </c>
      <c r="D60" s="1478">
        <f t="shared" si="12"/>
        <v>123.4932735426009</v>
      </c>
      <c r="E60" s="1478">
        <f t="shared" si="41"/>
        <v>129.82233502538071</v>
      </c>
      <c r="F60" s="1478">
        <f t="shared" si="41"/>
        <v>107.39446721311475</v>
      </c>
      <c r="G60" s="3684">
        <v>2005</v>
      </c>
      <c r="H60" s="1465">
        <v>1</v>
      </c>
      <c r="I60" s="1465">
        <v>0.43</v>
      </c>
      <c r="J60" s="1465">
        <v>0.37</v>
      </c>
      <c r="K60" s="1465">
        <v>0.37</v>
      </c>
      <c r="L60" s="1479">
        <v>0.55000000000000004</v>
      </c>
      <c r="N60" s="1528">
        <f t="shared" si="38"/>
        <v>1.2992090997956099E-2</v>
      </c>
      <c r="O60" s="1529">
        <f t="shared" si="38"/>
        <v>1.2239947070499151E-2</v>
      </c>
      <c r="P60" s="1529">
        <f t="shared" si="39"/>
        <v>4.6954314720812178E-2</v>
      </c>
      <c r="Q60" s="1529">
        <f t="shared" si="39"/>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8" thickBot="1">
      <c r="A61" s="1462" t="s">
        <v>1199</v>
      </c>
      <c r="B61" s="1512">
        <v>121</v>
      </c>
      <c r="C61" s="1512">
        <v>122</v>
      </c>
      <c r="D61" s="1512">
        <f t="shared" si="12"/>
        <v>122</v>
      </c>
      <c r="E61" s="1512">
        <v>124</v>
      </c>
      <c r="F61" s="1513">
        <v>107</v>
      </c>
      <c r="G61" s="3682">
        <v>2004</v>
      </c>
      <c r="H61" s="1483">
        <v>4</v>
      </c>
      <c r="I61" s="1483">
        <v>0.33</v>
      </c>
      <c r="J61" s="1483">
        <v>0.5</v>
      </c>
      <c r="K61" s="1483">
        <v>0.5</v>
      </c>
      <c r="L61" s="1484">
        <v>0</v>
      </c>
      <c r="N61" s="1525">
        <f t="shared" ref="N61:O64" si="42">I61/SUM(I$61:I$64)*(B$61/B$65-1)</f>
        <v>1.3391770148526898E-2</v>
      </c>
      <c r="O61" s="1526">
        <f t="shared" si="42"/>
        <v>1.063264221158958E-2</v>
      </c>
      <c r="P61" s="1526">
        <f t="shared" ref="P61:Q64" si="43">K61/SUM(K$61:K$64)*(E$61/E$65-1)</f>
        <v>2.2244466688911134E-2</v>
      </c>
      <c r="Q61" s="1526">
        <f t="shared" si="43"/>
        <v>0</v>
      </c>
      <c r="R61" s="1475"/>
      <c r="S61" s="1476"/>
      <c r="T61" s="1477"/>
      <c r="U61" s="1477"/>
      <c r="V61" s="1477"/>
      <c r="X61" s="1527"/>
      <c r="Y61" s="1527"/>
      <c r="Z61" s="1527"/>
    </row>
    <row r="62" spans="1:26">
      <c r="A62" s="1462" t="s">
        <v>1200</v>
      </c>
      <c r="B62" s="1478">
        <f t="shared" ref="B62:C64" si="44">B63+(B$61-B$65)*I62/SUM(I$61:I$64)</f>
        <v>119.51351351351352</v>
      </c>
      <c r="C62" s="1478">
        <f t="shared" si="44"/>
        <v>120.7878787878788</v>
      </c>
      <c r="D62" s="1478">
        <f t="shared" si="12"/>
        <v>120.7878787878788</v>
      </c>
      <c r="E62" s="1478">
        <f t="shared" ref="E62:F64" si="45">E63+(E$61-E$65)*K62/SUM(K$61:K$64)</f>
        <v>121.5975975975976</v>
      </c>
      <c r="F62" s="1478">
        <f t="shared" si="45"/>
        <v>107</v>
      </c>
      <c r="G62" s="3683">
        <v>2004</v>
      </c>
      <c r="H62" s="1488">
        <v>3</v>
      </c>
      <c r="I62" s="1488">
        <v>0.56000000000000005</v>
      </c>
      <c r="J62" s="1488">
        <v>0.8</v>
      </c>
      <c r="K62" s="1488">
        <v>0.83</v>
      </c>
      <c r="L62" s="1489">
        <v>0.06</v>
      </c>
      <c r="N62" s="1525">
        <f t="shared" si="42"/>
        <v>2.2725428130833527E-2</v>
      </c>
      <c r="O62" s="1526">
        <f t="shared" si="42"/>
        <v>1.7012227538543329E-2</v>
      </c>
      <c r="P62" s="1526">
        <f t="shared" si="43"/>
        <v>3.6925814703592477E-2</v>
      </c>
      <c r="Q62" s="1526">
        <f t="shared" si="43"/>
        <v>2.8846153846153744E-2</v>
      </c>
      <c r="R62" s="1475"/>
      <c r="S62" s="1473"/>
      <c r="T62" s="1474"/>
      <c r="U62" s="1474"/>
      <c r="V62" s="1474"/>
      <c r="X62" s="1527"/>
      <c r="Y62" s="1527"/>
      <c r="Z62" s="1527"/>
    </row>
    <row r="63" spans="1:26">
      <c r="A63" s="1462" t="s">
        <v>1201</v>
      </c>
      <c r="B63" s="1478">
        <f t="shared" si="44"/>
        <v>116.99099099099099</v>
      </c>
      <c r="C63" s="1478">
        <f t="shared" si="44"/>
        <v>118.84848484848486</v>
      </c>
      <c r="D63" s="1478">
        <f t="shared" si="12"/>
        <v>118.84848484848486</v>
      </c>
      <c r="E63" s="1478">
        <f t="shared" si="45"/>
        <v>117.60960960960961</v>
      </c>
      <c r="F63" s="1478">
        <f t="shared" si="45"/>
        <v>104</v>
      </c>
      <c r="G63" s="3683">
        <v>2004</v>
      </c>
      <c r="H63" s="1466">
        <v>2</v>
      </c>
      <c r="I63" s="1466">
        <v>1</v>
      </c>
      <c r="J63" s="1466">
        <v>1.5</v>
      </c>
      <c r="K63" s="1466">
        <v>1.5</v>
      </c>
      <c r="L63" s="1480">
        <v>0</v>
      </c>
      <c r="N63" s="1525">
        <f t="shared" si="42"/>
        <v>4.0581121662202721E-2</v>
      </c>
      <c r="O63" s="1526">
        <f t="shared" si="42"/>
        <v>3.1897926634768738E-2</v>
      </c>
      <c r="P63" s="1526">
        <f t="shared" si="43"/>
        <v>6.6733400066733395E-2</v>
      </c>
      <c r="Q63" s="1526">
        <f t="shared" si="43"/>
        <v>0</v>
      </c>
      <c r="R63" s="1475"/>
      <c r="S63" s="1473"/>
      <c r="T63" s="1474"/>
      <c r="U63" s="1474"/>
      <c r="V63" s="1474"/>
      <c r="X63" s="1527"/>
      <c r="Y63" s="1527"/>
      <c r="Z63" s="1527"/>
    </row>
    <row r="64" spans="1:26" s="1518" customFormat="1" ht="13.8" thickBot="1">
      <c r="A64" s="1462" t="s">
        <v>1202</v>
      </c>
      <c r="B64" s="1515">
        <f t="shared" si="44"/>
        <v>112.48648648648648</v>
      </c>
      <c r="C64" s="1515">
        <f t="shared" si="44"/>
        <v>115.21212121212122</v>
      </c>
      <c r="D64" s="1515">
        <f t="shared" si="12"/>
        <v>115.21212121212122</v>
      </c>
      <c r="E64" s="1515">
        <f t="shared" si="45"/>
        <v>110.4024024024024</v>
      </c>
      <c r="F64" s="1515">
        <f t="shared" si="45"/>
        <v>104</v>
      </c>
      <c r="G64" s="3684">
        <v>2004</v>
      </c>
      <c r="H64" s="1516">
        <v>1</v>
      </c>
      <c r="I64" s="1516">
        <v>0.33</v>
      </c>
      <c r="J64" s="1516">
        <v>0.5</v>
      </c>
      <c r="K64" s="1516">
        <v>0.5</v>
      </c>
      <c r="L64" s="1517">
        <v>0</v>
      </c>
      <c r="N64" s="1530">
        <f t="shared" si="42"/>
        <v>1.3391770148526898E-2</v>
      </c>
      <c r="O64" s="1531">
        <f t="shared" si="42"/>
        <v>1.063264221158958E-2</v>
      </c>
      <c r="P64" s="1531">
        <f t="shared" si="43"/>
        <v>2.2244466688911134E-2</v>
      </c>
      <c r="Q64" s="1531">
        <f t="shared" si="43"/>
        <v>0</v>
      </c>
      <c r="R64" s="1521"/>
      <c r="S64" s="1519">
        <f>B64/B65-1</f>
        <v>1.3391770148526883E-2</v>
      </c>
      <c r="T64" s="1520">
        <f>C64/C65-1</f>
        <v>1.063264221158966E-2</v>
      </c>
      <c r="U64" s="1520">
        <f>E64/E65-1</f>
        <v>2.2244466688911224E-2</v>
      </c>
      <c r="V64" s="1520">
        <f>F64/F65-1</f>
        <v>0</v>
      </c>
      <c r="X64" s="1532"/>
      <c r="Y64" s="1532"/>
      <c r="Z64" s="1532"/>
    </row>
    <row r="65" spans="1:26" ht="13.8" thickBot="1">
      <c r="A65" s="1462" t="s">
        <v>1203</v>
      </c>
      <c r="B65" s="1533">
        <v>111</v>
      </c>
      <c r="C65" s="1533">
        <v>114</v>
      </c>
      <c r="D65" s="1533">
        <f t="shared" si="12"/>
        <v>114</v>
      </c>
      <c r="E65" s="1533">
        <v>108</v>
      </c>
      <c r="F65" s="1534">
        <v>104</v>
      </c>
      <c r="G65" s="3682">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46">B67+(B$65-B$69)/4</f>
        <v>109.75</v>
      </c>
      <c r="C66" s="1537">
        <f t="shared" si="46"/>
        <v>112.25</v>
      </c>
      <c r="D66" s="1537">
        <f t="shared" si="12"/>
        <v>112.25</v>
      </c>
      <c r="E66" s="1537">
        <f t="shared" ref="E66:F68" si="47">E67+(E$65-E$69)/4</f>
        <v>107.25</v>
      </c>
      <c r="F66" s="1537">
        <f t="shared" si="47"/>
        <v>103.5</v>
      </c>
      <c r="G66" s="3683">
        <v>2003</v>
      </c>
      <c r="H66" s="1488">
        <v>3</v>
      </c>
      <c r="I66" s="1535"/>
      <c r="J66" s="1535"/>
      <c r="K66" s="1535"/>
      <c r="L66" s="1535"/>
      <c r="X66" s="1527"/>
      <c r="Y66" s="1527"/>
      <c r="Z66" s="1527"/>
    </row>
    <row r="67" spans="1:26">
      <c r="A67" s="1462" t="s">
        <v>1205</v>
      </c>
      <c r="B67" s="1537">
        <f t="shared" si="46"/>
        <v>108.5</v>
      </c>
      <c r="C67" s="1537">
        <f t="shared" si="46"/>
        <v>110.5</v>
      </c>
      <c r="D67" s="1537">
        <f t="shared" si="12"/>
        <v>110.5</v>
      </c>
      <c r="E67" s="1537">
        <f t="shared" si="47"/>
        <v>106.5</v>
      </c>
      <c r="F67" s="1537">
        <f t="shared" si="47"/>
        <v>103</v>
      </c>
      <c r="G67" s="3683">
        <v>2003</v>
      </c>
      <c r="H67" s="1466">
        <v>2</v>
      </c>
      <c r="I67" s="1535"/>
      <c r="J67" s="1535"/>
      <c r="K67" s="1535"/>
      <c r="L67" s="1535"/>
      <c r="X67" s="1527"/>
      <c r="Y67" s="1527"/>
      <c r="Z67" s="1527"/>
    </row>
    <row r="68" spans="1:26" ht="13.8" thickBot="1">
      <c r="A68" s="1462" t="s">
        <v>1206</v>
      </c>
      <c r="B68" s="1537">
        <f t="shared" si="46"/>
        <v>107.25</v>
      </c>
      <c r="C68" s="1537">
        <f t="shared" si="46"/>
        <v>108.75</v>
      </c>
      <c r="D68" s="1537">
        <f t="shared" si="12"/>
        <v>108.75</v>
      </c>
      <c r="E68" s="1537">
        <f t="shared" si="47"/>
        <v>105.75</v>
      </c>
      <c r="F68" s="1537">
        <f t="shared" si="47"/>
        <v>102.5</v>
      </c>
      <c r="G68" s="3684">
        <v>2003</v>
      </c>
      <c r="H68" s="1538">
        <v>1</v>
      </c>
      <c r="I68" s="1535"/>
      <c r="J68" s="1535"/>
      <c r="K68" s="1535"/>
      <c r="L68" s="1535"/>
      <c r="S68" s="1473"/>
      <c r="T68" s="1474"/>
      <c r="U68" s="1474"/>
      <c r="X68" s="1527"/>
      <c r="Y68" s="1527"/>
      <c r="Z68" s="1527"/>
    </row>
    <row r="69" spans="1:26" ht="13.8" thickBot="1">
      <c r="A69" s="1462" t="s">
        <v>1207</v>
      </c>
      <c r="B69" s="1539">
        <v>106</v>
      </c>
      <c r="C69" s="1539">
        <v>107</v>
      </c>
      <c r="D69" s="1539">
        <f t="shared" si="12"/>
        <v>107</v>
      </c>
      <c r="E69" s="1539">
        <v>105</v>
      </c>
      <c r="F69" s="1540">
        <v>102</v>
      </c>
      <c r="G69" s="3682">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48">B71+(B$69-B$73)/4</f>
        <v>105</v>
      </c>
      <c r="C70" s="1537">
        <f t="shared" si="48"/>
        <v>106</v>
      </c>
      <c r="D70" s="1537">
        <f t="shared" si="12"/>
        <v>106</v>
      </c>
      <c r="E70" s="1537">
        <f t="shared" ref="E70:F72" si="49">E71+(E$69-E$73)/4</f>
        <v>104.5</v>
      </c>
      <c r="F70" s="1537">
        <f t="shared" si="49"/>
        <v>101.5</v>
      </c>
      <c r="G70" s="3683">
        <v>2002</v>
      </c>
      <c r="H70" s="1488">
        <v>3</v>
      </c>
      <c r="I70" s="1535"/>
      <c r="J70" s="1535"/>
      <c r="K70" s="1535"/>
      <c r="L70" s="1535"/>
      <c r="X70" s="1527"/>
      <c r="Y70" s="1527"/>
      <c r="Z70" s="1527"/>
    </row>
    <row r="71" spans="1:26">
      <c r="A71" s="1462" t="s">
        <v>1209</v>
      </c>
      <c r="B71" s="1537">
        <f t="shared" si="48"/>
        <v>104</v>
      </c>
      <c r="C71" s="1537">
        <f t="shared" si="48"/>
        <v>105</v>
      </c>
      <c r="D71" s="1537">
        <f t="shared" si="12"/>
        <v>105</v>
      </c>
      <c r="E71" s="1537">
        <f t="shared" si="49"/>
        <v>104</v>
      </c>
      <c r="F71" s="1537">
        <f t="shared" si="49"/>
        <v>101</v>
      </c>
      <c r="G71" s="3683">
        <v>2002</v>
      </c>
      <c r="H71" s="1466">
        <v>2</v>
      </c>
      <c r="I71" s="1535"/>
      <c r="J71" s="1535"/>
      <c r="K71" s="1535"/>
      <c r="L71" s="1535"/>
      <c r="X71" s="1527"/>
      <c r="Y71" s="1527"/>
      <c r="Z71" s="1527"/>
    </row>
    <row r="72" spans="1:26" s="1499" customFormat="1" ht="13.8" thickBot="1">
      <c r="A72" s="1495" t="s">
        <v>1210</v>
      </c>
      <c r="B72" s="1541">
        <f t="shared" si="48"/>
        <v>103</v>
      </c>
      <c r="C72" s="1541">
        <f t="shared" si="48"/>
        <v>104</v>
      </c>
      <c r="D72" s="1541">
        <f t="shared" si="12"/>
        <v>104</v>
      </c>
      <c r="E72" s="1541">
        <f t="shared" si="49"/>
        <v>103.5</v>
      </c>
      <c r="F72" s="1541">
        <f t="shared" si="49"/>
        <v>100.5</v>
      </c>
      <c r="G72" s="3684">
        <v>2002</v>
      </c>
      <c r="H72" s="1542">
        <v>1</v>
      </c>
      <c r="I72" s="1543"/>
      <c r="J72" s="1543"/>
      <c r="K72" s="1543"/>
      <c r="L72" s="1543"/>
      <c r="N72" s="1544"/>
      <c r="S72" s="1544"/>
      <c r="X72" s="1545"/>
      <c r="Y72" s="1545"/>
      <c r="Z72" s="1545"/>
    </row>
    <row r="73" spans="1:26" ht="13.8" thickBot="1">
      <c r="B73" s="1546">
        <v>102</v>
      </c>
      <c r="C73" s="1547">
        <v>103</v>
      </c>
      <c r="D73" s="1547">
        <f t="shared" si="12"/>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8"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8"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3001</v>
      </c>
      <c r="C1" s="3691" t="s">
        <v>3002</v>
      </c>
      <c r="D1" s="3692"/>
      <c r="E1" s="3692"/>
      <c r="F1" s="3692"/>
      <c r="G1" s="3692"/>
      <c r="H1" s="3692"/>
      <c r="I1" s="3692"/>
      <c r="J1" s="3692"/>
      <c r="K1" s="3692"/>
      <c r="L1" s="3692"/>
      <c r="M1" s="3692"/>
      <c r="N1" s="3692"/>
      <c r="O1" s="3692"/>
      <c r="P1" s="3692"/>
      <c r="Q1" s="3692"/>
      <c r="R1" s="3692"/>
      <c r="S1" s="3693"/>
      <c r="T1" s="1205" t="s">
        <v>3003</v>
      </c>
    </row>
    <row r="2" spans="1:45" s="707" customFormat="1">
      <c r="A2" s="1206"/>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5"/>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9"/>
      <c r="B4" s="1210"/>
      <c r="C4" s="1211"/>
      <c r="D4" s="1212"/>
      <c r="E4" s="1212"/>
      <c r="F4" s="1709"/>
      <c r="G4" s="1709"/>
      <c r="H4" s="1709"/>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70" t="s">
        <v>3005</v>
      </c>
      <c r="C5" s="1217"/>
      <c r="D5" s="1218"/>
      <c r="E5" s="1218"/>
      <c r="F5" s="1712"/>
      <c r="G5" s="1712"/>
      <c r="H5" s="1712"/>
      <c r="I5" s="1712"/>
      <c r="J5" s="1712"/>
      <c r="K5" s="1712"/>
      <c r="L5" s="1713"/>
      <c r="M5" s="1714"/>
      <c r="N5" s="1714"/>
      <c r="O5" s="1712"/>
      <c r="P5" s="1712"/>
      <c r="Q5" s="1712"/>
      <c r="R5" s="1712"/>
      <c r="S5" s="1715"/>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6"/>
      <c r="B6" s="1117"/>
      <c r="C6" s="1123">
        <v>100</v>
      </c>
      <c r="D6" s="1120">
        <f>C6-$T5</f>
        <v>100</v>
      </c>
      <c r="E6" s="1120">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71" t="s">
        <v>3006</v>
      </c>
      <c r="C7" s="1122"/>
      <c r="D7" s="1116"/>
      <c r="E7" s="1116"/>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6"/>
      <c r="B8" s="1117"/>
      <c r="C8" s="1123">
        <v>100</v>
      </c>
      <c r="D8" s="1120">
        <f>C8-$T7</f>
        <v>100</v>
      </c>
      <c r="E8" s="1120">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71" t="s">
        <v>3007</v>
      </c>
      <c r="C9" s="1122"/>
      <c r="D9" s="1116"/>
      <c r="E9" s="1116"/>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6"/>
      <c r="B10" s="1210"/>
      <c r="C10" s="1221">
        <v>100</v>
      </c>
      <c r="D10" s="1222">
        <f>C10-$T9</f>
        <v>100</v>
      </c>
      <c r="E10" s="1222">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70" t="s">
        <v>3008</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6"/>
      <c r="B12" s="1117"/>
      <c r="C12" s="1123">
        <v>100</v>
      </c>
      <c r="D12" s="1120">
        <f>C12-$T11</f>
        <v>100</v>
      </c>
      <c r="E12" s="1120">
        <f t="shared" ref="E12:S12" si="5">D12-$T11</f>
        <v>100</v>
      </c>
      <c r="F12" s="1120">
        <f t="shared" si="5"/>
        <v>100</v>
      </c>
      <c r="G12" s="1120">
        <f t="shared" si="5"/>
        <v>100</v>
      </c>
      <c r="H12" s="1120">
        <f t="shared" si="5"/>
        <v>100</v>
      </c>
      <c r="I12" s="1120">
        <f t="shared" si="5"/>
        <v>100</v>
      </c>
      <c r="J12" s="1120">
        <f t="shared" si="5"/>
        <v>100</v>
      </c>
      <c r="K12" s="1120">
        <f t="shared" si="5"/>
        <v>100</v>
      </c>
      <c r="L12" s="1120">
        <f t="shared" si="5"/>
        <v>100</v>
      </c>
      <c r="M12" s="1120">
        <f t="shared" si="5"/>
        <v>100</v>
      </c>
      <c r="N12" s="1120">
        <f t="shared" si="5"/>
        <v>100</v>
      </c>
      <c r="O12" s="1120">
        <f t="shared" si="5"/>
        <v>100</v>
      </c>
      <c r="P12" s="1120">
        <f t="shared" si="5"/>
        <v>100</v>
      </c>
      <c r="Q12" s="1120">
        <f t="shared" si="5"/>
        <v>100</v>
      </c>
      <c r="R12" s="1120">
        <f>Q12-$T11</f>
        <v>100</v>
      </c>
      <c r="S12" s="1120">
        <f t="shared" si="5"/>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70" t="s">
        <v>3009</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70" t="s">
        <v>3010</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3011</v>
      </c>
      <c r="B17" s="2917" t="s">
        <v>3012</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8"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8" t="s">
        <v>3013</v>
      </c>
      <c r="E19" s="1793"/>
      <c r="F19" s="1793"/>
      <c r="G19" s="1793"/>
      <c r="H19" s="1281"/>
      <c r="I19" s="168"/>
      <c r="J19" s="168"/>
      <c r="K19" s="168"/>
      <c r="L19" s="168"/>
      <c r="M19" s="168"/>
      <c r="N19" s="168"/>
      <c r="O19" s="168"/>
      <c r="P19" s="168"/>
      <c r="Q19" s="168"/>
      <c r="R19" s="788"/>
      <c r="S19" s="138"/>
    </row>
    <row r="20" spans="1:45" ht="16.2" thickBot="1">
      <c r="A20" s="715" t="s">
        <v>3014</v>
      </c>
      <c r="B20" s="338" t="e">
        <f ca="1">IF(D20="——",S22,S22-F20)</f>
        <v>#REF!</v>
      </c>
      <c r="C20" s="168"/>
      <c r="D20" s="2919" t="s">
        <v>3015</v>
      </c>
      <c r="E20" s="1794"/>
      <c r="F20" s="1205" t="e">
        <f ca="1">SUMIF(INDIRECT("'"&amp;H20&amp;"'"&amp;"!A:A"),"承租人权益价值",INDIRECT("'"&amp;H20&amp;"'"&amp;"!c:c"))</f>
        <v>#REF!</v>
      </c>
      <c r="G20" s="1205" t="s">
        <v>3016</v>
      </c>
      <c r="H20" s="2920"/>
      <c r="I20" s="168"/>
      <c r="J20" s="168"/>
      <c r="K20" s="168"/>
      <c r="L20" s="168"/>
      <c r="M20" s="168"/>
      <c r="N20" s="168"/>
      <c r="O20" s="168"/>
      <c r="P20" s="168"/>
      <c r="Q20" s="168"/>
      <c r="R20" s="788"/>
      <c r="S20" s="138"/>
    </row>
    <row r="21" spans="1:45" ht="15.6">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474" t="s">
        <v>33</v>
      </c>
      <c r="D22" s="3475"/>
      <c r="E22" s="3475"/>
      <c r="F22" s="3475"/>
      <c r="G22" s="3475"/>
      <c r="H22" s="3475"/>
      <c r="I22" s="3475"/>
      <c r="J22" s="3475"/>
      <c r="K22" s="3475"/>
      <c r="L22" s="3475"/>
      <c r="M22" s="3475"/>
      <c r="N22" s="3475"/>
      <c r="O22" s="3475"/>
      <c r="P22" s="3475"/>
      <c r="Q22" s="3690"/>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6" customWidth="1"/>
    <col min="2" max="9" width="12.109375" style="1946" customWidth="1"/>
    <col min="10" max="16384" width="9" style="1946"/>
  </cols>
  <sheetData>
    <row r="1" spans="1:9" ht="18" thickBot="1">
      <c r="A1" s="3258" t="str">
        <f>IF(项目基本情况!B9="房地产市场价值","估价结果一览表","结果表-2")</f>
        <v>结果表-2</v>
      </c>
      <c r="B1" s="3258"/>
      <c r="C1" s="3258"/>
      <c r="D1" s="3258"/>
      <c r="E1" s="3258"/>
      <c r="F1" s="3258"/>
      <c r="G1" s="3258"/>
      <c r="H1" s="3258"/>
      <c r="I1" s="3258"/>
    </row>
    <row r="2" spans="1:9" ht="30" customHeight="1" thickTop="1">
      <c r="A2" s="3259" t="s">
        <v>1641</v>
      </c>
      <c r="B2" s="3259" t="s">
        <v>1642</v>
      </c>
      <c r="C2" s="3259" t="s">
        <v>1643</v>
      </c>
      <c r="D2" s="3259" t="str">
        <f>结果表!D116</f>
        <v>出让国有建设用地使用权价值</v>
      </c>
      <c r="E2" s="3259"/>
      <c r="F2" s="3259" t="str">
        <f>结果表!F116</f>
        <v>在建建筑物价值</v>
      </c>
      <c r="G2" s="3259"/>
      <c r="H2" s="3259" t="str">
        <f>IF(项目基本情况!B9="房地产市场价值","房地产市场价值","房地产价值")</f>
        <v>房地产价值</v>
      </c>
      <c r="I2" s="3259"/>
    </row>
    <row r="3" spans="1:9" ht="15.6">
      <c r="A3" s="3260"/>
      <c r="B3" s="3260"/>
      <c r="C3" s="3260"/>
      <c r="D3" s="1045" t="s">
        <v>1638</v>
      </c>
      <c r="E3" s="1045" t="s">
        <v>1644</v>
      </c>
      <c r="F3" s="1045" t="s">
        <v>1638</v>
      </c>
      <c r="G3" s="1045" t="s">
        <v>1639</v>
      </c>
      <c r="H3" s="1045" t="s">
        <v>1638</v>
      </c>
      <c r="I3" s="1045" t="s">
        <v>1639</v>
      </c>
    </row>
    <row r="4" spans="1:9" ht="30">
      <c r="A4" s="1974" t="str">
        <f>项目基本情况!S2</f>
        <v>北京市东城区香河园街1号11号楼房地产</v>
      </c>
      <c r="B4" s="1045">
        <f>项目基本情况!C17</f>
        <v>50120.32</v>
      </c>
      <c r="C4" s="1045">
        <f>项目基本情况!C18</f>
        <v>5235.2</v>
      </c>
      <c r="D4" s="1045">
        <f ca="1">结果表!D118</f>
        <v>156201</v>
      </c>
      <c r="E4" s="1045">
        <f ca="1">结果表!E118</f>
        <v>31165</v>
      </c>
      <c r="F4" s="1045">
        <f ca="1">结果表!F118</f>
        <v>32447</v>
      </c>
      <c r="G4" s="1045">
        <f ca="1">结果表!G118</f>
        <v>6474</v>
      </c>
      <c r="H4" s="1045">
        <f ca="1">结果表!H118</f>
        <v>188648</v>
      </c>
      <c r="I4" s="1045">
        <f ca="1">结果表!I118</f>
        <v>37639</v>
      </c>
    </row>
    <row r="5" spans="1:9" ht="30" customHeight="1">
      <c r="A5" s="3260" t="s">
        <v>1640</v>
      </c>
      <c r="B5" s="3260"/>
      <c r="C5" s="3260"/>
      <c r="D5" s="3261" t="str">
        <f ca="1">结果表!D119</f>
        <v>壹拾伍亿陆仟贰佰零壹万元整</v>
      </c>
      <c r="E5" s="3261"/>
      <c r="F5" s="3261" t="str">
        <f ca="1">结果表!F119</f>
        <v>叁亿贰仟肆佰肆拾柒万元整</v>
      </c>
      <c r="G5" s="3261"/>
      <c r="H5" s="3261" t="str">
        <f ca="1">结果表!H119</f>
        <v>壹拾捌亿捌仟陆佰肆拾捌万元整</v>
      </c>
      <c r="I5" s="3261"/>
    </row>
    <row r="6" spans="1:9" ht="15.6">
      <c r="A6" s="3262" t="str">
        <f>结果表!A120</f>
        <v>估价师知悉的法定优先受偿款</v>
      </c>
      <c r="B6" s="3262"/>
      <c r="C6" s="3262"/>
      <c r="D6" s="3262">
        <f>结果表!D120</f>
        <v>0</v>
      </c>
      <c r="E6" s="3262"/>
      <c r="F6" s="3262"/>
      <c r="G6" s="3262"/>
      <c r="H6" s="3262"/>
      <c r="I6" s="3262"/>
    </row>
    <row r="7" spans="1:9" ht="15">
      <c r="A7" s="3260" t="s">
        <v>1640</v>
      </c>
      <c r="B7" s="3260"/>
      <c r="C7" s="3260"/>
      <c r="D7" s="3263" t="str">
        <f>结果表!D121</f>
        <v>零元整</v>
      </c>
      <c r="E7" s="3264"/>
      <c r="F7" s="3264"/>
      <c r="G7" s="3264"/>
      <c r="H7" s="3264"/>
      <c r="I7" s="3265"/>
    </row>
    <row r="8" spans="1:9" ht="15.6">
      <c r="A8" s="3262" t="str">
        <f>结果表!A122</f>
        <v>房地产抵押价值</v>
      </c>
      <c r="B8" s="3262"/>
      <c r="C8" s="3262"/>
      <c r="D8" s="3262">
        <f ca="1">结果表!D122</f>
        <v>188648</v>
      </c>
      <c r="E8" s="3262"/>
      <c r="F8" s="3262"/>
      <c r="G8" s="3262"/>
      <c r="H8" s="3262"/>
      <c r="I8" s="3262"/>
    </row>
    <row r="9" spans="1:9" ht="15">
      <c r="A9" s="3260" t="s">
        <v>1640</v>
      </c>
      <c r="B9" s="3260"/>
      <c r="C9" s="3260"/>
      <c r="D9" s="3261" t="str">
        <f ca="1">结果表!D123</f>
        <v>壹拾捌亿捌仟陆佰肆拾捌万元整</v>
      </c>
      <c r="E9" s="3261"/>
      <c r="F9" s="3261"/>
      <c r="G9" s="3261"/>
      <c r="H9" s="3261"/>
      <c r="I9" s="3261"/>
    </row>
    <row r="10" spans="1:9" ht="15.6">
      <c r="A10" s="3262" t="str">
        <f>结果表!A124</f>
        <v/>
      </c>
      <c r="B10" s="3262"/>
      <c r="C10" s="3262"/>
      <c r="D10" s="3262" t="str">
        <f>结果表!D124</f>
        <v>——</v>
      </c>
      <c r="E10" s="3262"/>
      <c r="F10" s="3262"/>
      <c r="G10" s="3262"/>
      <c r="H10" s="3262"/>
      <c r="I10" s="3262"/>
    </row>
    <row r="11" spans="1:9" ht="15">
      <c r="A11" s="3260" t="s">
        <v>1640</v>
      </c>
      <c r="B11" s="3260"/>
      <c r="C11" s="3260"/>
      <c r="D11" s="3261" t="e">
        <f>结果表!D125</f>
        <v>#VALUE!</v>
      </c>
      <c r="E11" s="3261"/>
      <c r="F11" s="3261"/>
      <c r="G11" s="3261"/>
      <c r="H11" s="3261"/>
      <c r="I11" s="3261"/>
    </row>
    <row r="12" spans="1:9" ht="15.6">
      <c r="A12" s="3262" t="str">
        <f>结果表!A126</f>
        <v/>
      </c>
      <c r="B12" s="3262"/>
      <c r="C12" s="3262"/>
      <c r="D12" s="3262" t="str">
        <f>结果表!D126</f>
        <v>——</v>
      </c>
      <c r="E12" s="3262"/>
      <c r="F12" s="3262"/>
      <c r="G12" s="3262"/>
      <c r="H12" s="3262"/>
      <c r="I12" s="3262"/>
    </row>
    <row r="13" spans="1:9" ht="15.6" thickBot="1">
      <c r="A13" s="3266" t="s">
        <v>1640</v>
      </c>
      <c r="B13" s="3266"/>
      <c r="C13" s="3266"/>
      <c r="D13" s="3267" t="e">
        <f>结果表!D127</f>
        <v>#VALUE!</v>
      </c>
      <c r="E13" s="3267"/>
      <c r="F13" s="3267"/>
      <c r="G13" s="3267"/>
      <c r="H13" s="3267"/>
      <c r="I13" s="3267"/>
    </row>
    <row r="14" spans="1:9" ht="14.4" thickTop="1">
      <c r="A14" s="3268" t="s">
        <v>1645</v>
      </c>
      <c r="B14" s="3268"/>
      <c r="C14" s="3268"/>
      <c r="D14" s="3268"/>
      <c r="E14" s="3268"/>
      <c r="F14" s="3268"/>
      <c r="G14" s="3268"/>
      <c r="H14" s="3268"/>
      <c r="I14" s="3268"/>
    </row>
    <row r="16" spans="1:9" ht="17.399999999999999">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66215</v>
      </c>
      <c r="C2" s="2" t="s">
        <v>133</v>
      </c>
      <c r="D2" s="243"/>
      <c r="E2" s="243"/>
      <c r="F2" s="243"/>
      <c r="G2" s="243"/>
    </row>
    <row r="3" spans="1:7" s="244" customFormat="1" ht="18" customHeight="1" thickBot="1">
      <c r="A3" s="247" t="s">
        <v>85</v>
      </c>
      <c r="B3" s="248">
        <f ca="1">ROUND(B2*10000/'数据-汇总表'!E3,0)</f>
        <v>13211</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1002</v>
      </c>
      <c r="D10" s="1033">
        <f>'数据-汇总表'!E6</f>
        <v>50120.32</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1002</v>
      </c>
      <c r="D19" s="1037">
        <f>'数据-汇总表'!E3</f>
        <v>50120.32</v>
      </c>
      <c r="E19" s="255">
        <f>'数据-取费表'!B31</f>
        <v>200</v>
      </c>
      <c r="F19" s="275"/>
      <c r="G19" s="1" t="s">
        <v>1074</v>
      </c>
    </row>
    <row r="20" spans="1:7" s="258" customFormat="1" ht="13.5" customHeight="1">
      <c r="A20" s="949" t="s">
        <v>1057</v>
      </c>
      <c r="B20" s="254" t="s">
        <v>104</v>
      </c>
      <c r="C20" s="276">
        <f>ROUND((C5+C19)*F20,0)</f>
        <v>432</v>
      </c>
      <c r="D20" s="276"/>
      <c r="E20" s="276"/>
      <c r="F20" s="277">
        <f>'数据-取费表'!B37</f>
        <v>0.02</v>
      </c>
      <c r="G20" s="1290"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2122</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2004</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97</v>
      </c>
      <c r="D24" s="282"/>
      <c r="E24" s="282"/>
      <c r="F24" s="283"/>
      <c r="G24" s="284" t="s">
        <v>109</v>
      </c>
    </row>
    <row r="25" spans="1:7" s="258" customFormat="1" ht="24">
      <c r="A25" s="952" t="s">
        <v>793</v>
      </c>
      <c r="B25" s="259" t="s">
        <v>1058</v>
      </c>
      <c r="C25" s="1356">
        <f ca="1">ROUND(IF('数据-取费表'!B22&lt;=1,C20*F22*'数据-取费表'!B23/2,C20*(POWER((1+F22),'数据-取费表'!B23/2)-1)),0)</f>
        <v>21</v>
      </c>
      <c r="D25" s="282"/>
      <c r="E25" s="285"/>
      <c r="F25" s="283"/>
      <c r="G25" s="286" t="s">
        <v>110</v>
      </c>
    </row>
    <row r="26" spans="1:7" s="258" customFormat="1">
      <c r="A26" s="952" t="s">
        <v>795</v>
      </c>
      <c r="B26" s="259" t="s">
        <v>1060</v>
      </c>
      <c r="C26" s="282">
        <f ca="1">ROUND(IF('数据-取费表'!B22&lt;=1,F21*F22*'数据-取费表'!B23/2,F21*(POWER((1+F22),'数据-取费表'!B23/2)-1)),4)</f>
        <v>1E-3</v>
      </c>
      <c r="D26" s="282"/>
      <c r="E26" s="285"/>
      <c r="F26" s="283"/>
      <c r="G26" s="287"/>
    </row>
    <row r="27" spans="1:7" s="258" customFormat="1" ht="26.4">
      <c r="A27" s="949" t="s">
        <v>787</v>
      </c>
      <c r="B27" s="288" t="s">
        <v>112</v>
      </c>
      <c r="C27" s="289">
        <f>C28</f>
        <v>4409</v>
      </c>
      <c r="D27" s="279">
        <f>C29</f>
        <v>4.0000000000000001E-3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4409</v>
      </c>
      <c r="D28" s="279"/>
      <c r="E28" s="280"/>
      <c r="F28" s="290"/>
      <c r="G28" s="291"/>
    </row>
    <row r="29" spans="1:7" s="258" customFormat="1" ht="13.5" customHeight="1">
      <c r="A29" s="952" t="s">
        <v>792</v>
      </c>
      <c r="B29" s="292" t="s">
        <v>1063</v>
      </c>
      <c r="C29" s="282">
        <f>ROUND(C21*F27*'数据-取费表'!B21/'数据-取费表'!B20,4)</f>
        <v>4.0000000000000001E-3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31004</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27424</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25044</v>
      </c>
      <c r="D34" s="261"/>
      <c r="E34" s="264"/>
      <c r="F34" s="301">
        <f>IF('数据-取费表'!B24=0,1,'数据-取费表'!N16)</f>
        <v>1</v>
      </c>
      <c r="G34" s="263" t="s">
        <v>116</v>
      </c>
    </row>
    <row r="35" spans="1:7" ht="13.5" customHeight="1">
      <c r="A35" s="952" t="s">
        <v>796</v>
      </c>
      <c r="B35" s="259" t="s">
        <v>60</v>
      </c>
      <c r="C35" s="264">
        <f>ROUND(C34*F35,0)</f>
        <v>1002</v>
      </c>
      <c r="D35" s="264"/>
      <c r="E35" s="264"/>
      <c r="F35" s="303">
        <f>'数据-取费表'!B33</f>
        <v>0.04</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1002</v>
      </c>
      <c r="D37" s="261">
        <f>'数据-汇总表'!E3</f>
        <v>50120.32</v>
      </c>
      <c r="E37" s="293">
        <f>'数据-取费表'!B35</f>
        <v>200</v>
      </c>
      <c r="F37" s="303"/>
      <c r="G37" s="305" t="s">
        <v>119</v>
      </c>
    </row>
    <row r="38" spans="1:7" ht="13.5" customHeight="1">
      <c r="A38" s="952" t="s">
        <v>799</v>
      </c>
      <c r="B38" s="259" t="s">
        <v>63</v>
      </c>
      <c r="C38" s="264">
        <f>ROUND(C34*F38,0)</f>
        <v>376</v>
      </c>
      <c r="D38" s="264"/>
      <c r="E38" s="264"/>
      <c r="F38" s="303">
        <f>'数据-取费表'!B36</f>
        <v>1.4999999999999999E-2</v>
      </c>
      <c r="G38" s="263" t="s">
        <v>117</v>
      </c>
    </row>
    <row r="39" spans="1:7" s="258" customFormat="1" ht="13.5" customHeight="1">
      <c r="A39" s="949" t="s">
        <v>783</v>
      </c>
      <c r="B39" s="254" t="s">
        <v>104</v>
      </c>
      <c r="C39" s="276">
        <f>ROUND(C33*F20,0)</f>
        <v>548</v>
      </c>
      <c r="D39" s="276"/>
      <c r="E39" s="276"/>
      <c r="F39" s="277"/>
      <c r="G39" s="1290"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1329</v>
      </c>
      <c r="D41" s="279">
        <f ca="1">C44</f>
        <v>1E-3</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1303</v>
      </c>
      <c r="D42" s="282"/>
      <c r="E42" s="282"/>
      <c r="F42" s="283"/>
      <c r="G42" s="3559" t="s">
        <v>121</v>
      </c>
    </row>
    <row r="43" spans="1:7" ht="13.5" customHeight="1">
      <c r="A43" s="952" t="s">
        <v>792</v>
      </c>
      <c r="B43" s="259" t="s">
        <v>1064</v>
      </c>
      <c r="C43" s="282">
        <f ca="1">ROUND(IF('数据-取费表'!B22&lt;=1,C39*F22*'数据-取费表'!B21/2,C39*(POWER((1+F22),'数据-取费表'!B21/2)-1)),0)</f>
        <v>26</v>
      </c>
      <c r="D43" s="282"/>
      <c r="E43" s="282"/>
      <c r="F43" s="283"/>
      <c r="G43" s="3560"/>
    </row>
    <row r="44" spans="1:7" ht="13.5" customHeight="1">
      <c r="A44" s="952" t="s">
        <v>793</v>
      </c>
      <c r="B44" s="259" t="s">
        <v>1066</v>
      </c>
      <c r="C44" s="282">
        <f ca="1">ROUND(IF('数据-取费表'!B22&lt;=1,C40*F22*'数据-取费表'!B21/2,C40*(POWER((1+F22),'数据-取费表'!B21/2)-1)),4)</f>
        <v>1E-3</v>
      </c>
      <c r="D44" s="282"/>
      <c r="E44" s="282"/>
      <c r="F44" s="283"/>
      <c r="G44" s="3561"/>
    </row>
    <row r="45" spans="1:7" s="258" customFormat="1" ht="13.5" customHeight="1">
      <c r="A45" s="949" t="s">
        <v>786</v>
      </c>
      <c r="B45" s="288" t="s">
        <v>112</v>
      </c>
      <c r="C45" s="289">
        <f>C46</f>
        <v>5594</v>
      </c>
      <c r="D45" s="279">
        <f>C47</f>
        <v>4.0000000000000001E-3</v>
      </c>
      <c r="E45" s="280" t="s">
        <v>129</v>
      </c>
      <c r="F45" s="290"/>
      <c r="G45" s="291" t="s">
        <v>1072</v>
      </c>
    </row>
    <row r="46" spans="1:7" s="258" customFormat="1" ht="13.5" customHeight="1">
      <c r="A46" s="952" t="s">
        <v>794</v>
      </c>
      <c r="B46" s="292" t="s">
        <v>1065</v>
      </c>
      <c r="C46" s="293">
        <f>ROUND((C33+C39)*F27,0)</f>
        <v>5594</v>
      </c>
      <c r="D46" s="307"/>
      <c r="E46" s="280"/>
      <c r="F46" s="290"/>
      <c r="G46" s="291"/>
    </row>
    <row r="47" spans="1:7" s="258" customFormat="1" ht="13.5" customHeight="1">
      <c r="A47" s="952" t="s">
        <v>792</v>
      </c>
      <c r="B47" s="292" t="s">
        <v>1067</v>
      </c>
      <c r="C47" s="282">
        <f>ROUND(C40*F27,4)</f>
        <v>4.0000000000000001E-3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37861</v>
      </c>
      <c r="D49" s="276"/>
      <c r="E49" s="276"/>
      <c r="F49" s="308"/>
      <c r="G49" s="278" t="s">
        <v>1073</v>
      </c>
    </row>
    <row r="50" spans="1:7" s="302" customFormat="1" ht="24">
      <c r="A50" s="949" t="s">
        <v>789</v>
      </c>
      <c r="B50" s="254" t="s">
        <v>124</v>
      </c>
      <c r="C50" s="276"/>
      <c r="D50" s="276"/>
      <c r="E50" s="276"/>
      <c r="F50" s="308">
        <f>IF('数据-取费表'!B24=0,'数据-取费表'!N16,1)</f>
        <v>0.93</v>
      </c>
      <c r="G50" s="291" t="s">
        <v>125</v>
      </c>
    </row>
    <row r="51" spans="1:7" ht="16.5" customHeight="1">
      <c r="A51" s="949" t="s">
        <v>790</v>
      </c>
      <c r="B51" s="254" t="s">
        <v>132</v>
      </c>
      <c r="C51" s="276">
        <f ca="1">ROUND(C49*F50,0)</f>
        <v>35211</v>
      </c>
      <c r="D51" s="276"/>
      <c r="E51" s="276"/>
      <c r="F51" s="308"/>
      <c r="G51" s="278" t="s">
        <v>64</v>
      </c>
    </row>
    <row r="52" spans="1:7" s="252" customFormat="1" ht="16.8" thickBot="1">
      <c r="A52" s="309" t="s">
        <v>65</v>
      </c>
      <c r="B52" s="310"/>
      <c r="C52" s="311">
        <f ca="1">C31+C51</f>
        <v>66215</v>
      </c>
      <c r="D52" s="310"/>
      <c r="E52" s="310"/>
      <c r="F52" s="310"/>
      <c r="G52" s="312"/>
    </row>
    <row r="55" spans="1:7" ht="15">
      <c r="B55" s="314" t="s">
        <v>66</v>
      </c>
      <c r="C55" s="315"/>
    </row>
    <row r="56" spans="1:7">
      <c r="B56" s="317" t="s">
        <v>67</v>
      </c>
      <c r="C56" s="318">
        <f ca="1">ROUND(C51/C52,3)</f>
        <v>0.53200000000000003</v>
      </c>
    </row>
    <row r="57" spans="1:7">
      <c r="B57" s="317" t="s">
        <v>68</v>
      </c>
      <c r="C57" s="319">
        <f ca="1">1-C56</f>
        <v>0.46799999999999997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694" t="s">
        <v>156</v>
      </c>
      <c r="B1" s="3694"/>
      <c r="C1" s="3694"/>
      <c r="D1" s="3694"/>
      <c r="E1" s="3694"/>
      <c r="F1" s="369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695" t="s">
        <v>169</v>
      </c>
      <c r="B2" s="3695"/>
      <c r="C2" s="3695"/>
      <c r="D2" s="3695"/>
      <c r="E2" s="3695"/>
      <c r="F2" s="369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69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69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694" t="s">
        <v>871</v>
      </c>
      <c r="B1" s="3694"/>
    </row>
    <row r="2" spans="1:6" ht="15" thickBot="1">
      <c r="A2" s="1058"/>
      <c r="B2" s="1058"/>
    </row>
    <row r="3" spans="1:6" ht="15" thickBot="1">
      <c r="A3" s="1058"/>
      <c r="B3" s="1058"/>
      <c r="C3" s="1062" t="s">
        <v>874</v>
      </c>
      <c r="D3" s="1062" t="s">
        <v>875</v>
      </c>
      <c r="E3" s="1062" t="s">
        <v>876</v>
      </c>
      <c r="F3" s="1062" t="s">
        <v>877</v>
      </c>
    </row>
    <row r="4" spans="1:6" ht="15" thickBot="1">
      <c r="A4" s="1060" t="s">
        <v>872</v>
      </c>
      <c r="B4" s="1061" t="s">
        <v>873</v>
      </c>
      <c r="C4" s="1062"/>
      <c r="D4" s="1062"/>
      <c r="E4" s="1062"/>
      <c r="F4" s="1062"/>
    </row>
    <row r="5" spans="1:6" ht="15" thickBot="1">
      <c r="A5" s="838" t="s">
        <v>878</v>
      </c>
      <c r="B5" s="839" t="s">
        <v>879</v>
      </c>
      <c r="C5" s="1063">
        <v>8.8999999999999996E-2</v>
      </c>
      <c r="D5" s="1063">
        <v>7.3999999999999996E-2</v>
      </c>
      <c r="E5" s="1063">
        <v>7.4999999999999997E-2</v>
      </c>
      <c r="F5" s="1064">
        <v>0.1</v>
      </c>
    </row>
    <row r="6" spans="1:6" ht="15" thickBot="1">
      <c r="A6" s="838" t="s">
        <v>212</v>
      </c>
      <c r="B6" s="832" t="s">
        <v>880</v>
      </c>
      <c r="C6" s="1065">
        <v>0.1</v>
      </c>
      <c r="D6" s="1065">
        <v>9.0999999999999998E-2</v>
      </c>
      <c r="E6" s="1065">
        <v>9.0999999999999998E-2</v>
      </c>
      <c r="F6" s="1066">
        <v>0.1</v>
      </c>
    </row>
    <row r="7" spans="1:6" ht="15" thickBot="1">
      <c r="A7" s="838" t="s">
        <v>212</v>
      </c>
      <c r="B7" s="842" t="s">
        <v>201</v>
      </c>
      <c r="C7" s="1065">
        <v>8.5999999999999993E-2</v>
      </c>
      <c r="D7" s="1065">
        <v>9.6000000000000002E-2</v>
      </c>
      <c r="E7" s="1065">
        <v>7.5999999999999998E-2</v>
      </c>
      <c r="F7" s="1066">
        <v>0.1</v>
      </c>
    </row>
    <row r="8" spans="1:6" ht="15" thickBot="1">
      <c r="A8" s="838" t="s">
        <v>212</v>
      </c>
      <c r="B8" s="832" t="s">
        <v>213</v>
      </c>
      <c r="C8" s="1065">
        <v>9.9000000000000005E-2</v>
      </c>
      <c r="D8" s="1065">
        <v>9.8000000000000004E-2</v>
      </c>
      <c r="E8" s="1065">
        <v>9.8000000000000004E-2</v>
      </c>
      <c r="F8" s="1066">
        <v>0.1</v>
      </c>
    </row>
    <row r="9" spans="1:6" ht="15" thickBot="1">
      <c r="A9" s="848" t="s">
        <v>212</v>
      </c>
      <c r="B9" s="843" t="s">
        <v>225</v>
      </c>
      <c r="C9" s="1067">
        <v>0.05</v>
      </c>
      <c r="D9" s="1075"/>
      <c r="E9" s="1075"/>
      <c r="F9" s="1076"/>
    </row>
    <row r="10" spans="1:6" ht="15" thickBot="1">
      <c r="A10" s="838" t="s">
        <v>269</v>
      </c>
      <c r="B10" s="839" t="s">
        <v>881</v>
      </c>
      <c r="C10" s="1063">
        <v>8.8999999999999996E-2</v>
      </c>
      <c r="D10" s="1063">
        <v>7.2999999999999995E-2</v>
      </c>
      <c r="E10" s="1063">
        <v>8.2000000000000003E-2</v>
      </c>
      <c r="F10" s="1064">
        <v>0.1</v>
      </c>
    </row>
    <row r="11" spans="1:6" ht="15" thickBot="1">
      <c r="A11" s="838" t="s">
        <v>269</v>
      </c>
      <c r="B11" s="842" t="s">
        <v>188</v>
      </c>
      <c r="C11" s="1065">
        <v>8.8999999999999996E-2</v>
      </c>
      <c r="D11" s="1065">
        <v>7.2999999999999995E-2</v>
      </c>
      <c r="E11" s="1065">
        <v>8.2000000000000003E-2</v>
      </c>
      <c r="F11" s="1066">
        <v>0.1</v>
      </c>
    </row>
    <row r="12" spans="1:6" ht="15" thickBot="1">
      <c r="A12" s="838" t="s">
        <v>269</v>
      </c>
      <c r="B12" s="842" t="s">
        <v>138</v>
      </c>
      <c r="C12" s="1065">
        <v>6.0999999999999999E-2</v>
      </c>
      <c r="D12" s="1065">
        <v>7.0999999999999994E-2</v>
      </c>
      <c r="E12" s="1065">
        <v>9.6000000000000002E-2</v>
      </c>
      <c r="F12" s="1066">
        <v>0.1</v>
      </c>
    </row>
    <row r="13" spans="1:6" ht="15" thickBot="1">
      <c r="A13" s="838" t="s">
        <v>269</v>
      </c>
      <c r="B13" s="842" t="s">
        <v>214</v>
      </c>
      <c r="C13" s="1065">
        <v>6.9000000000000006E-2</v>
      </c>
      <c r="D13" s="1065">
        <v>6.5000000000000002E-2</v>
      </c>
      <c r="E13" s="1065">
        <v>6.6000000000000003E-2</v>
      </c>
      <c r="F13" s="1066">
        <v>0.1</v>
      </c>
    </row>
    <row r="14" spans="1:6" ht="15" thickBot="1">
      <c r="A14" s="838" t="s">
        <v>269</v>
      </c>
      <c r="B14" s="842" t="s">
        <v>226</v>
      </c>
      <c r="C14" s="1065">
        <v>0.1</v>
      </c>
      <c r="D14" s="1065">
        <v>6.5000000000000002E-2</v>
      </c>
      <c r="E14" s="1065">
        <v>7.0000000000000007E-2</v>
      </c>
      <c r="F14" s="1066">
        <v>0.1</v>
      </c>
    </row>
    <row r="15" spans="1:6" ht="15" thickBot="1">
      <c r="A15" s="838" t="s">
        <v>269</v>
      </c>
      <c r="B15" s="842" t="s">
        <v>237</v>
      </c>
      <c r="C15" s="1065">
        <v>9.8000000000000004E-2</v>
      </c>
      <c r="D15" s="1065">
        <v>8.8999999999999996E-2</v>
      </c>
      <c r="E15" s="1065">
        <v>8.8999999999999996E-2</v>
      </c>
      <c r="F15" s="1066">
        <v>0.1</v>
      </c>
    </row>
    <row r="16" spans="1:6" ht="15" thickBot="1">
      <c r="A16" s="838" t="s">
        <v>269</v>
      </c>
      <c r="B16" s="842" t="s">
        <v>248</v>
      </c>
      <c r="C16" s="1065">
        <v>7.0000000000000007E-2</v>
      </c>
      <c r="D16" s="1065">
        <v>9.2999999999999999E-2</v>
      </c>
      <c r="E16" s="1065">
        <v>9.6000000000000002E-2</v>
      </c>
      <c r="F16" s="1066">
        <v>0.1</v>
      </c>
    </row>
    <row r="17" spans="1:6" ht="15" thickBot="1">
      <c r="A17" s="838" t="s">
        <v>269</v>
      </c>
      <c r="B17" s="842" t="s">
        <v>259</v>
      </c>
      <c r="C17" s="1065">
        <v>9.5000000000000001E-2</v>
      </c>
      <c r="D17" s="1065">
        <v>0.1</v>
      </c>
      <c r="E17" s="1065">
        <v>0.1</v>
      </c>
      <c r="F17" s="1077"/>
    </row>
    <row r="18" spans="1:6" ht="15" thickBot="1">
      <c r="A18" s="838" t="s">
        <v>269</v>
      </c>
      <c r="B18" s="842" t="s">
        <v>271</v>
      </c>
      <c r="C18" s="1065">
        <v>7.3999999999999996E-2</v>
      </c>
      <c r="D18" s="1065">
        <v>9.9000000000000005E-2</v>
      </c>
      <c r="E18" s="1065">
        <v>0.1</v>
      </c>
      <c r="F18" s="1077"/>
    </row>
    <row r="19" spans="1:6" ht="15" thickBot="1">
      <c r="A19" s="838" t="s">
        <v>269</v>
      </c>
      <c r="B19" s="842" t="s">
        <v>281</v>
      </c>
      <c r="C19" s="1065">
        <v>9.9000000000000005E-2</v>
      </c>
      <c r="D19" s="1065">
        <v>7.5999999999999998E-2</v>
      </c>
      <c r="E19" s="1065">
        <v>8.6999999999999994E-2</v>
      </c>
      <c r="F19" s="1077"/>
    </row>
    <row r="20" spans="1:6" ht="15" thickBot="1">
      <c r="A20" s="838" t="s">
        <v>269</v>
      </c>
      <c r="B20" s="842" t="s">
        <v>291</v>
      </c>
      <c r="C20" s="1065">
        <v>9.8000000000000004E-2</v>
      </c>
      <c r="D20" s="1065">
        <v>8.5000000000000006E-2</v>
      </c>
      <c r="E20" s="1065">
        <v>8.2000000000000003E-2</v>
      </c>
      <c r="F20" s="1077"/>
    </row>
    <row r="21" spans="1:6" ht="15" thickBot="1">
      <c r="A21" s="838" t="s">
        <v>269</v>
      </c>
      <c r="B21" s="842" t="s">
        <v>301</v>
      </c>
      <c r="C21" s="1065">
        <v>6.6000000000000003E-2</v>
      </c>
      <c r="D21" s="1065">
        <v>6.4000000000000001E-2</v>
      </c>
      <c r="E21" s="1065">
        <v>6.5000000000000002E-2</v>
      </c>
      <c r="F21" s="1077"/>
    </row>
    <row r="22" spans="1:6" ht="15" thickBot="1">
      <c r="A22" s="838" t="s">
        <v>269</v>
      </c>
      <c r="B22" s="842" t="s">
        <v>882</v>
      </c>
      <c r="C22" s="1065">
        <v>0.08</v>
      </c>
      <c r="D22" s="1065">
        <v>9.8000000000000004E-2</v>
      </c>
      <c r="E22" s="1065">
        <v>9.8000000000000004E-2</v>
      </c>
      <c r="F22" s="1077"/>
    </row>
    <row r="23" spans="1:6" ht="15" thickBot="1">
      <c r="A23" s="838" t="s">
        <v>269</v>
      </c>
      <c r="B23" s="842" t="s">
        <v>322</v>
      </c>
      <c r="C23" s="1065">
        <v>9.9000000000000005E-2</v>
      </c>
      <c r="D23" s="1065">
        <v>9.8000000000000004E-2</v>
      </c>
      <c r="E23" s="1065">
        <v>9.0999999999999998E-2</v>
      </c>
      <c r="F23" s="1077"/>
    </row>
    <row r="24" spans="1:6" ht="15" thickBot="1">
      <c r="A24" s="838" t="s">
        <v>269</v>
      </c>
      <c r="B24" s="842" t="s">
        <v>333</v>
      </c>
      <c r="C24" s="1065">
        <v>8.8999999999999996E-2</v>
      </c>
      <c r="D24" s="1065">
        <v>9.7000000000000003E-2</v>
      </c>
      <c r="E24" s="1065">
        <v>7.0000000000000007E-2</v>
      </c>
      <c r="F24" s="1077"/>
    </row>
    <row r="25" spans="1:6" ht="15" thickBot="1">
      <c r="A25" s="838" t="s">
        <v>269</v>
      </c>
      <c r="B25" s="842" t="s">
        <v>343</v>
      </c>
      <c r="C25" s="1065">
        <v>8.8999999999999996E-2</v>
      </c>
      <c r="D25" s="1065">
        <v>0.1</v>
      </c>
      <c r="E25" s="1065">
        <v>8.1000000000000003E-2</v>
      </c>
      <c r="F25" s="1077"/>
    </row>
    <row r="26" spans="1:6" ht="15" thickBot="1">
      <c r="A26" s="838" t="s">
        <v>269</v>
      </c>
      <c r="B26" s="842" t="s">
        <v>353</v>
      </c>
      <c r="C26" s="1078"/>
      <c r="D26" s="1065">
        <v>9.6000000000000002E-2</v>
      </c>
      <c r="E26" s="1065">
        <v>9.2999999999999999E-2</v>
      </c>
      <c r="F26" s="1077"/>
    </row>
    <row r="27" spans="1:6" ht="15" thickBot="1">
      <c r="A27" s="838" t="s">
        <v>269</v>
      </c>
      <c r="B27" s="842" t="s">
        <v>363</v>
      </c>
      <c r="C27" s="1078"/>
      <c r="D27" s="1065">
        <v>7.5999999999999998E-2</v>
      </c>
      <c r="E27" s="1065">
        <v>9.1999999999999998E-2</v>
      </c>
      <c r="F27" s="1077"/>
    </row>
    <row r="28" spans="1:6" ht="15" thickBot="1">
      <c r="A28" s="848" t="s">
        <v>269</v>
      </c>
      <c r="B28" s="843" t="s">
        <v>373</v>
      </c>
      <c r="C28" s="1075"/>
      <c r="D28" s="1067">
        <v>7.5999999999999998E-2</v>
      </c>
      <c r="E28" s="1067">
        <v>9.1999999999999998E-2</v>
      </c>
      <c r="F28" s="1076"/>
    </row>
    <row r="29" spans="1:6" ht="15" thickBot="1">
      <c r="A29" s="838" t="s">
        <v>442</v>
      </c>
      <c r="B29" s="839" t="s">
        <v>883</v>
      </c>
      <c r="C29" s="1063">
        <v>6.4000000000000001E-2</v>
      </c>
      <c r="D29" s="1063">
        <v>6.5000000000000002E-2</v>
      </c>
      <c r="E29" s="1063">
        <v>6.9000000000000006E-2</v>
      </c>
      <c r="F29" s="1064">
        <v>0.1</v>
      </c>
    </row>
    <row r="30" spans="1:6" ht="15" thickBot="1">
      <c r="A30" s="838" t="s">
        <v>442</v>
      </c>
      <c r="B30" s="842" t="s">
        <v>189</v>
      </c>
      <c r="C30" s="1065">
        <v>6.4000000000000001E-2</v>
      </c>
      <c r="D30" s="1065">
        <v>9.9000000000000005E-2</v>
      </c>
      <c r="E30" s="1065">
        <v>0.1</v>
      </c>
      <c r="F30" s="1066">
        <v>0.1</v>
      </c>
    </row>
    <row r="31" spans="1:6" ht="15" thickBot="1">
      <c r="A31" s="838" t="s">
        <v>442</v>
      </c>
      <c r="B31" s="842" t="s">
        <v>202</v>
      </c>
      <c r="C31" s="1065">
        <v>0.1</v>
      </c>
      <c r="D31" s="1065">
        <v>9.5000000000000001E-2</v>
      </c>
      <c r="E31" s="1065">
        <v>8.8999999999999996E-2</v>
      </c>
      <c r="F31" s="1066">
        <v>0.1</v>
      </c>
    </row>
    <row r="32" spans="1:6" ht="15" thickBot="1">
      <c r="A32" s="838" t="s">
        <v>442</v>
      </c>
      <c r="B32" s="842" t="s">
        <v>215</v>
      </c>
      <c r="C32" s="1065">
        <v>0.05</v>
      </c>
      <c r="D32" s="1065">
        <v>0.05</v>
      </c>
      <c r="E32" s="1065">
        <v>8.7999999999999995E-2</v>
      </c>
      <c r="F32" s="1066">
        <v>0.1</v>
      </c>
    </row>
    <row r="33" spans="1:6" ht="15" thickBot="1">
      <c r="A33" s="838" t="s">
        <v>442</v>
      </c>
      <c r="B33" s="842" t="s">
        <v>227</v>
      </c>
      <c r="C33" s="1065">
        <v>7.4999999999999997E-2</v>
      </c>
      <c r="D33" s="1065">
        <v>9.4E-2</v>
      </c>
      <c r="E33" s="1065">
        <v>9.7000000000000003E-2</v>
      </c>
      <c r="F33" s="1066">
        <v>0.1</v>
      </c>
    </row>
    <row r="34" spans="1:6" ht="15" thickBot="1">
      <c r="A34" s="838" t="s">
        <v>442</v>
      </c>
      <c r="B34" s="842" t="s">
        <v>238</v>
      </c>
      <c r="C34" s="1065">
        <v>9.8000000000000004E-2</v>
      </c>
      <c r="D34" s="1065">
        <v>8.5999999999999993E-2</v>
      </c>
      <c r="E34" s="1065">
        <v>9.7000000000000003E-2</v>
      </c>
      <c r="F34" s="1066">
        <v>0.1</v>
      </c>
    </row>
    <row r="35" spans="1:6" ht="15" thickBot="1">
      <c r="A35" s="838" t="s">
        <v>442</v>
      </c>
      <c r="B35" s="842" t="s">
        <v>249</v>
      </c>
      <c r="C35" s="1065">
        <v>5.8999999999999997E-2</v>
      </c>
      <c r="D35" s="1065">
        <v>6.5000000000000002E-2</v>
      </c>
      <c r="E35" s="1065">
        <v>7.0000000000000007E-2</v>
      </c>
      <c r="F35" s="1066">
        <v>0.1</v>
      </c>
    </row>
    <row r="36" spans="1:6" ht="15" thickBot="1">
      <c r="A36" s="838" t="s">
        <v>442</v>
      </c>
      <c r="B36" s="842" t="s">
        <v>260</v>
      </c>
      <c r="C36" s="1065">
        <v>6.3E-2</v>
      </c>
      <c r="D36" s="1065">
        <v>0.1</v>
      </c>
      <c r="E36" s="1065">
        <v>0.1</v>
      </c>
      <c r="F36" s="1066">
        <v>0.1</v>
      </c>
    </row>
    <row r="37" spans="1:6" ht="15" thickBot="1">
      <c r="A37" s="838" t="s">
        <v>442</v>
      </c>
      <c r="B37" s="842" t="s">
        <v>272</v>
      </c>
      <c r="C37" s="1065">
        <v>7.3999999999999996E-2</v>
      </c>
      <c r="D37" s="1065">
        <v>0.1</v>
      </c>
      <c r="E37" s="1065">
        <v>0.1</v>
      </c>
      <c r="F37" s="1066">
        <v>0.1</v>
      </c>
    </row>
    <row r="38" spans="1:6" ht="15" thickBot="1">
      <c r="A38" s="838" t="s">
        <v>442</v>
      </c>
      <c r="B38" s="842" t="s">
        <v>282</v>
      </c>
      <c r="C38" s="1065">
        <v>0.1</v>
      </c>
      <c r="D38" s="1065">
        <v>9.6000000000000002E-2</v>
      </c>
      <c r="E38" s="1065">
        <v>9.6000000000000002E-2</v>
      </c>
      <c r="F38" s="1077"/>
    </row>
    <row r="39" spans="1:6" ht="15" thickBot="1">
      <c r="A39" s="838" t="s">
        <v>442</v>
      </c>
      <c r="B39" s="842" t="s">
        <v>292</v>
      </c>
      <c r="C39" s="1065">
        <v>0.1</v>
      </c>
      <c r="D39" s="1065">
        <v>9.6000000000000002E-2</v>
      </c>
      <c r="E39" s="1065">
        <v>9.6000000000000002E-2</v>
      </c>
      <c r="F39" s="1077"/>
    </row>
    <row r="40" spans="1:6" ht="15" thickBot="1">
      <c r="A40" s="838" t="s">
        <v>442</v>
      </c>
      <c r="B40" s="842" t="s">
        <v>302</v>
      </c>
      <c r="C40" s="1065">
        <v>9.6000000000000002E-2</v>
      </c>
      <c r="D40" s="1065">
        <v>0.1</v>
      </c>
      <c r="E40" s="1065">
        <v>9.9000000000000005E-2</v>
      </c>
      <c r="F40" s="1077"/>
    </row>
    <row r="41" spans="1:6" ht="15" thickBot="1">
      <c r="A41" s="838" t="s">
        <v>442</v>
      </c>
      <c r="B41" s="842" t="s">
        <v>312</v>
      </c>
      <c r="C41" s="1065">
        <v>9.6000000000000002E-2</v>
      </c>
      <c r="D41" s="1065">
        <v>9.8000000000000004E-2</v>
      </c>
      <c r="E41" s="1065">
        <v>9.8000000000000004E-2</v>
      </c>
      <c r="F41" s="1077"/>
    </row>
    <row r="42" spans="1:6" ht="15" thickBot="1">
      <c r="A42" s="838" t="s">
        <v>442</v>
      </c>
      <c r="B42" s="842" t="s">
        <v>323</v>
      </c>
      <c r="C42" s="1065">
        <v>0.1</v>
      </c>
      <c r="D42" s="1065">
        <v>8.7999999999999995E-2</v>
      </c>
      <c r="E42" s="1065">
        <v>0.1</v>
      </c>
      <c r="F42" s="1077"/>
    </row>
    <row r="43" spans="1:6" ht="15" thickBot="1">
      <c r="A43" s="838" t="s">
        <v>442</v>
      </c>
      <c r="B43" s="842" t="s">
        <v>334</v>
      </c>
      <c r="C43" s="1065">
        <v>9.8000000000000004E-2</v>
      </c>
      <c r="D43" s="1065">
        <v>9.7000000000000003E-2</v>
      </c>
      <c r="E43" s="1065">
        <v>9.6000000000000002E-2</v>
      </c>
      <c r="F43" s="1077"/>
    </row>
    <row r="44" spans="1:6" ht="15" thickBot="1">
      <c r="A44" s="838" t="s">
        <v>442</v>
      </c>
      <c r="B44" s="842" t="s">
        <v>344</v>
      </c>
      <c r="C44" s="1065">
        <v>8.5999999999999993E-2</v>
      </c>
      <c r="D44" s="1065">
        <v>7.9000000000000001E-2</v>
      </c>
      <c r="E44" s="1065">
        <v>7.0999999999999994E-2</v>
      </c>
      <c r="F44" s="1077"/>
    </row>
    <row r="45" spans="1:6" ht="15" thickBot="1">
      <c r="A45" s="838" t="s">
        <v>442</v>
      </c>
      <c r="B45" s="842" t="s">
        <v>354</v>
      </c>
      <c r="C45" s="1065">
        <v>9.8000000000000004E-2</v>
      </c>
      <c r="D45" s="1065">
        <v>9.6000000000000002E-2</v>
      </c>
      <c r="E45" s="1065">
        <v>9.6000000000000002E-2</v>
      </c>
      <c r="F45" s="1077"/>
    </row>
    <row r="46" spans="1:6" ht="15" thickBot="1">
      <c r="A46" s="838" t="s">
        <v>442</v>
      </c>
      <c r="B46" s="842" t="s">
        <v>364</v>
      </c>
      <c r="C46" s="1065">
        <v>8.5999999999999993E-2</v>
      </c>
      <c r="D46" s="1065">
        <v>9.8000000000000004E-2</v>
      </c>
      <c r="E46" s="1065">
        <v>8.7999999999999995E-2</v>
      </c>
      <c r="F46" s="1077"/>
    </row>
    <row r="47" spans="1:6" ht="15" thickBot="1">
      <c r="A47" s="838" t="s">
        <v>442</v>
      </c>
      <c r="B47" s="842" t="s">
        <v>374</v>
      </c>
      <c r="C47" s="1065">
        <v>9.6000000000000002E-2</v>
      </c>
      <c r="D47" s="1078"/>
      <c r="E47" s="1065">
        <v>6.9000000000000006E-2</v>
      </c>
      <c r="F47" s="1077"/>
    </row>
    <row r="48" spans="1:6" ht="15" thickBot="1">
      <c r="A48" s="848" t="s">
        <v>442</v>
      </c>
      <c r="B48" s="843" t="s">
        <v>383</v>
      </c>
      <c r="C48" s="1067">
        <v>9.8000000000000004E-2</v>
      </c>
      <c r="D48" s="1075"/>
      <c r="E48" s="1067">
        <v>9.5000000000000001E-2</v>
      </c>
      <c r="F48" s="1076"/>
    </row>
    <row r="49" spans="1:6" ht="15" thickBot="1">
      <c r="A49" s="838" t="s">
        <v>137</v>
      </c>
      <c r="B49" s="839" t="s">
        <v>884</v>
      </c>
      <c r="C49" s="1063">
        <v>9.7000000000000003E-2</v>
      </c>
      <c r="D49" s="1063">
        <v>9.5000000000000001E-2</v>
      </c>
      <c r="E49" s="1063">
        <v>9.7000000000000003E-2</v>
      </c>
      <c r="F49" s="1064">
        <v>0.1</v>
      </c>
    </row>
    <row r="50" spans="1:6" ht="15" thickBot="1">
      <c r="A50" s="838" t="s">
        <v>137</v>
      </c>
      <c r="B50" s="832" t="s">
        <v>190</v>
      </c>
      <c r="C50" s="1065">
        <v>7.4999999999999997E-2</v>
      </c>
      <c r="D50" s="1065">
        <v>9.5000000000000001E-2</v>
      </c>
      <c r="E50" s="1065">
        <v>0.1</v>
      </c>
      <c r="F50" s="1066">
        <v>0.1</v>
      </c>
    </row>
    <row r="51" spans="1:6" ht="15" thickBot="1">
      <c r="A51" s="838" t="s">
        <v>137</v>
      </c>
      <c r="B51" s="832" t="s">
        <v>203</v>
      </c>
      <c r="C51" s="1065">
        <v>9.8000000000000004E-2</v>
      </c>
      <c r="D51" s="1065">
        <v>8.8999999999999996E-2</v>
      </c>
      <c r="E51" s="1065">
        <v>0.1</v>
      </c>
      <c r="F51" s="1066">
        <v>0.1</v>
      </c>
    </row>
    <row r="52" spans="1:6" ht="15" thickBot="1">
      <c r="A52" s="838" t="s">
        <v>137</v>
      </c>
      <c r="B52" s="832" t="s">
        <v>216</v>
      </c>
      <c r="C52" s="1065">
        <v>9.8000000000000004E-2</v>
      </c>
      <c r="D52" s="1065">
        <v>9.7000000000000003E-2</v>
      </c>
      <c r="E52" s="1065">
        <v>8.1000000000000003E-2</v>
      </c>
      <c r="F52" s="1066">
        <v>0.1</v>
      </c>
    </row>
    <row r="53" spans="1:6" ht="15" thickBot="1">
      <c r="A53" s="838" t="s">
        <v>137</v>
      </c>
      <c r="B53" s="832" t="s">
        <v>228</v>
      </c>
      <c r="C53" s="1065">
        <v>9.7000000000000003E-2</v>
      </c>
      <c r="D53" s="1065">
        <v>7.5999999999999998E-2</v>
      </c>
      <c r="E53" s="1065">
        <v>7.0999999999999994E-2</v>
      </c>
      <c r="F53" s="1066">
        <v>0.1</v>
      </c>
    </row>
    <row r="54" spans="1:6" ht="15" thickBot="1">
      <c r="A54" s="838" t="s">
        <v>137</v>
      </c>
      <c r="B54" s="832" t="s">
        <v>239</v>
      </c>
      <c r="C54" s="1065">
        <v>7.5999999999999998E-2</v>
      </c>
      <c r="D54" s="1065">
        <v>0.1</v>
      </c>
      <c r="E54" s="1065">
        <v>9.9000000000000005E-2</v>
      </c>
      <c r="F54" s="1066">
        <v>0.1</v>
      </c>
    </row>
    <row r="55" spans="1:6" ht="15" thickBot="1">
      <c r="A55" s="838" t="s">
        <v>137</v>
      </c>
      <c r="B55" s="832" t="s">
        <v>250</v>
      </c>
      <c r="C55" s="1065">
        <v>0.1</v>
      </c>
      <c r="D55" s="1065">
        <v>0.1</v>
      </c>
      <c r="E55" s="1065">
        <v>9.6000000000000002E-2</v>
      </c>
      <c r="F55" s="1066">
        <v>0.1</v>
      </c>
    </row>
    <row r="56" spans="1:6" ht="15" thickBot="1">
      <c r="A56" s="838" t="s">
        <v>137</v>
      </c>
      <c r="B56" s="832" t="s">
        <v>261</v>
      </c>
      <c r="C56" s="1065">
        <v>0.1</v>
      </c>
      <c r="D56" s="1065">
        <v>9.6000000000000002E-2</v>
      </c>
      <c r="E56" s="1065">
        <v>5.1999999999999998E-2</v>
      </c>
      <c r="F56" s="1066">
        <v>0.1</v>
      </c>
    </row>
    <row r="57" spans="1:6" ht="15" thickBot="1">
      <c r="A57" s="838" t="s">
        <v>137</v>
      </c>
      <c r="B57" s="832" t="s">
        <v>273</v>
      </c>
      <c r="C57" s="1065">
        <v>9.7000000000000003E-2</v>
      </c>
      <c r="D57" s="1065">
        <v>9.6000000000000002E-2</v>
      </c>
      <c r="E57" s="1065">
        <v>9.6000000000000002E-2</v>
      </c>
      <c r="F57" s="1066">
        <v>0.1</v>
      </c>
    </row>
    <row r="58" spans="1:6" ht="15" thickBot="1">
      <c r="A58" s="838" t="s">
        <v>137</v>
      </c>
      <c r="B58" s="832" t="s">
        <v>283</v>
      </c>
      <c r="C58" s="1065">
        <v>9.6000000000000002E-2</v>
      </c>
      <c r="D58" s="1065">
        <v>9.9000000000000005E-2</v>
      </c>
      <c r="E58" s="1065">
        <v>9.6000000000000002E-2</v>
      </c>
      <c r="F58" s="1066">
        <v>0.1</v>
      </c>
    </row>
    <row r="59" spans="1:6" ht="15" thickBot="1">
      <c r="A59" s="838" t="s">
        <v>137</v>
      </c>
      <c r="B59" s="832" t="s">
        <v>293</v>
      </c>
      <c r="C59" s="1065">
        <v>7.1999999999999995E-2</v>
      </c>
      <c r="D59" s="1065">
        <v>9.6000000000000002E-2</v>
      </c>
      <c r="E59" s="1065">
        <v>7.0999999999999994E-2</v>
      </c>
      <c r="F59" s="1066">
        <v>0.1</v>
      </c>
    </row>
    <row r="60" spans="1:6" ht="15" thickBot="1">
      <c r="A60" s="838" t="s">
        <v>137</v>
      </c>
      <c r="B60" s="832" t="s">
        <v>303</v>
      </c>
      <c r="C60" s="1065">
        <v>9.6000000000000002E-2</v>
      </c>
      <c r="D60" s="1065">
        <v>8.8999999999999996E-2</v>
      </c>
      <c r="E60" s="1065">
        <v>9.6000000000000002E-2</v>
      </c>
      <c r="F60" s="1066">
        <v>0.1</v>
      </c>
    </row>
    <row r="61" spans="1:6" ht="15" thickBot="1">
      <c r="A61" s="838" t="s">
        <v>137</v>
      </c>
      <c r="B61" s="832" t="s">
        <v>313</v>
      </c>
      <c r="C61" s="1065">
        <v>8.8999999999999996E-2</v>
      </c>
      <c r="D61" s="1065">
        <v>9.8000000000000004E-2</v>
      </c>
      <c r="E61" s="1065">
        <v>8.7999999999999995E-2</v>
      </c>
      <c r="F61" s="1077"/>
    </row>
    <row r="62" spans="1:6" ht="15" thickBot="1">
      <c r="A62" s="838" t="s">
        <v>137</v>
      </c>
      <c r="B62" s="832" t="s">
        <v>324</v>
      </c>
      <c r="C62" s="1065">
        <v>9.8000000000000004E-2</v>
      </c>
      <c r="D62" s="1065">
        <v>9.2999999999999999E-2</v>
      </c>
      <c r="E62" s="1065">
        <v>9.7000000000000003E-2</v>
      </c>
      <c r="F62" s="1077"/>
    </row>
    <row r="63" spans="1:6" ht="15" thickBot="1">
      <c r="A63" s="838" t="s">
        <v>137</v>
      </c>
      <c r="B63" s="832" t="s">
        <v>335</v>
      </c>
      <c r="C63" s="1065">
        <v>9.6000000000000002E-2</v>
      </c>
      <c r="D63" s="1065">
        <v>9.8000000000000004E-2</v>
      </c>
      <c r="E63" s="1065">
        <v>0.09</v>
      </c>
      <c r="F63" s="1077"/>
    </row>
    <row r="64" spans="1:6" ht="15" thickBot="1">
      <c r="A64" s="838" t="s">
        <v>137</v>
      </c>
      <c r="B64" s="832" t="s">
        <v>345</v>
      </c>
      <c r="C64" s="1065">
        <v>9.9000000000000005E-2</v>
      </c>
      <c r="D64" s="1065">
        <v>9.7000000000000003E-2</v>
      </c>
      <c r="E64" s="1065">
        <v>9.9000000000000005E-2</v>
      </c>
      <c r="F64" s="1077"/>
    </row>
    <row r="65" spans="1:6" ht="15" thickBot="1">
      <c r="A65" s="838" t="s">
        <v>137</v>
      </c>
      <c r="B65" s="832" t="s">
        <v>355</v>
      </c>
      <c r="C65" s="1065">
        <v>9.8000000000000004E-2</v>
      </c>
      <c r="D65" s="1065">
        <v>9.6000000000000002E-2</v>
      </c>
      <c r="E65" s="1065">
        <v>9.6000000000000002E-2</v>
      </c>
      <c r="F65" s="1077"/>
    </row>
    <row r="66" spans="1:6" ht="15" thickBot="1">
      <c r="A66" s="838" t="s">
        <v>137</v>
      </c>
      <c r="B66" s="832" t="s">
        <v>365</v>
      </c>
      <c r="C66" s="1065">
        <v>9.6000000000000002E-2</v>
      </c>
      <c r="D66" s="1065">
        <v>9.1999999999999998E-2</v>
      </c>
      <c r="E66" s="1065">
        <v>9.6000000000000002E-2</v>
      </c>
      <c r="F66" s="1077"/>
    </row>
    <row r="67" spans="1:6" ht="15" thickBot="1">
      <c r="A67" s="838" t="s">
        <v>137</v>
      </c>
      <c r="B67" s="832" t="s">
        <v>375</v>
      </c>
      <c r="C67" s="1065">
        <v>9.4E-2</v>
      </c>
      <c r="D67" s="1065">
        <v>0.1</v>
      </c>
      <c r="E67" s="1065">
        <v>8.7999999999999995E-2</v>
      </c>
      <c r="F67" s="1077"/>
    </row>
    <row r="68" spans="1:6" ht="15" thickBot="1">
      <c r="A68" s="838" t="s">
        <v>137</v>
      </c>
      <c r="B68" s="832" t="s">
        <v>384</v>
      </c>
      <c r="C68" s="1065">
        <v>0.1</v>
      </c>
      <c r="D68" s="1065">
        <v>8.7999999999999995E-2</v>
      </c>
      <c r="E68" s="1065">
        <v>9.7000000000000003E-2</v>
      </c>
      <c r="F68" s="1077"/>
    </row>
    <row r="69" spans="1:6" ht="15" thickBot="1">
      <c r="A69" s="838" t="s">
        <v>137</v>
      </c>
      <c r="B69" s="832" t="s">
        <v>393</v>
      </c>
      <c r="C69" s="1065">
        <v>6.4000000000000001E-2</v>
      </c>
      <c r="D69" s="1065">
        <v>0.1</v>
      </c>
      <c r="E69" s="1065">
        <v>0.1</v>
      </c>
      <c r="F69" s="1077"/>
    </row>
    <row r="70" spans="1:6" ht="15" thickBot="1">
      <c r="A70" s="838" t="s">
        <v>137</v>
      </c>
      <c r="B70" s="832" t="s">
        <v>401</v>
      </c>
      <c r="C70" s="1065">
        <v>9.0999999999999998E-2</v>
      </c>
      <c r="D70" s="1078"/>
      <c r="E70" s="1078"/>
      <c r="F70" s="1077"/>
    </row>
    <row r="71" spans="1:6" ht="15" thickBot="1">
      <c r="A71" s="838" t="s">
        <v>137</v>
      </c>
      <c r="B71" s="832" t="s">
        <v>408</v>
      </c>
      <c r="C71" s="1065">
        <v>0.1</v>
      </c>
      <c r="D71" s="1078"/>
      <c r="E71" s="1078"/>
      <c r="F71" s="1077"/>
    </row>
    <row r="72" spans="1:6" ht="24.6" thickBot="1">
      <c r="A72" s="838" t="s">
        <v>137</v>
      </c>
      <c r="B72" s="832" t="s">
        <v>885</v>
      </c>
      <c r="C72" s="1078"/>
      <c r="D72" s="1078"/>
      <c r="E72" s="1078"/>
      <c r="F72" s="1066">
        <v>0.05</v>
      </c>
    </row>
    <row r="73" spans="1:6" ht="24.6" thickBot="1">
      <c r="A73" s="838" t="s">
        <v>137</v>
      </c>
      <c r="B73" s="832" t="s">
        <v>886</v>
      </c>
      <c r="C73" s="1078"/>
      <c r="D73" s="1078"/>
      <c r="E73" s="1078"/>
      <c r="F73" s="1066">
        <v>0.05</v>
      </c>
    </row>
    <row r="74" spans="1:6" ht="24.6" thickBot="1">
      <c r="A74" s="838" t="s">
        <v>137</v>
      </c>
      <c r="B74" s="832" t="s">
        <v>887</v>
      </c>
      <c r="C74" s="1078"/>
      <c r="D74" s="1078"/>
      <c r="E74" s="1078"/>
      <c r="F74" s="1066">
        <v>0.05</v>
      </c>
    </row>
    <row r="75" spans="1:6" ht="24.6" thickBot="1">
      <c r="A75" s="848" t="s">
        <v>137</v>
      </c>
      <c r="B75" s="844" t="s">
        <v>888</v>
      </c>
      <c r="C75" s="1075"/>
      <c r="D75" s="1075"/>
      <c r="E75" s="1075"/>
      <c r="F75" s="1068">
        <v>0.05</v>
      </c>
    </row>
    <row r="76" spans="1:6" ht="15" thickBot="1">
      <c r="A76" s="838" t="s">
        <v>523</v>
      </c>
      <c r="B76" s="839" t="s">
        <v>889</v>
      </c>
      <c r="C76" s="1063">
        <v>0.1</v>
      </c>
      <c r="D76" s="1063">
        <v>0.1</v>
      </c>
      <c r="E76" s="1063">
        <v>0.1</v>
      </c>
      <c r="F76" s="1064">
        <v>0.1</v>
      </c>
    </row>
    <row r="77" spans="1:6" ht="15" thickBot="1">
      <c r="A77" s="838" t="s">
        <v>523</v>
      </c>
      <c r="B77" s="832" t="s">
        <v>191</v>
      </c>
      <c r="C77" s="1065">
        <v>8.7999999999999995E-2</v>
      </c>
      <c r="D77" s="1065">
        <v>8.6999999999999994E-2</v>
      </c>
      <c r="E77" s="1065">
        <v>7.9000000000000001E-2</v>
      </c>
      <c r="F77" s="1066">
        <v>0.1</v>
      </c>
    </row>
    <row r="78" spans="1:6" ht="15" thickBot="1">
      <c r="A78" s="838" t="s">
        <v>523</v>
      </c>
      <c r="B78" s="832" t="s">
        <v>204</v>
      </c>
      <c r="C78" s="1065">
        <v>8.6999999999999994E-2</v>
      </c>
      <c r="D78" s="1065">
        <v>8.4000000000000005E-2</v>
      </c>
      <c r="E78" s="1065">
        <v>9.6000000000000002E-2</v>
      </c>
      <c r="F78" s="1066">
        <v>0.1</v>
      </c>
    </row>
    <row r="79" spans="1:6" ht="15" thickBot="1">
      <c r="A79" s="838" t="s">
        <v>523</v>
      </c>
      <c r="B79" s="832" t="s">
        <v>217</v>
      </c>
      <c r="C79" s="1065">
        <v>9.8000000000000004E-2</v>
      </c>
      <c r="D79" s="1065">
        <v>9.8000000000000004E-2</v>
      </c>
      <c r="E79" s="1065">
        <v>9.0999999999999998E-2</v>
      </c>
      <c r="F79" s="1066">
        <v>0.1</v>
      </c>
    </row>
    <row r="80" spans="1:6" ht="15" thickBot="1">
      <c r="A80" s="838" t="s">
        <v>523</v>
      </c>
      <c r="B80" s="832" t="s">
        <v>229</v>
      </c>
      <c r="C80" s="1065">
        <v>9.6000000000000002E-2</v>
      </c>
      <c r="D80" s="1065">
        <v>9.6000000000000002E-2</v>
      </c>
      <c r="E80" s="1065">
        <v>0.1</v>
      </c>
      <c r="F80" s="1066">
        <v>0.1</v>
      </c>
    </row>
    <row r="81" spans="1:6" ht="15" thickBot="1">
      <c r="A81" s="838" t="s">
        <v>523</v>
      </c>
      <c r="B81" s="832" t="s">
        <v>240</v>
      </c>
      <c r="C81" s="1065">
        <v>9.9000000000000005E-2</v>
      </c>
      <c r="D81" s="1065">
        <v>9.9000000000000005E-2</v>
      </c>
      <c r="E81" s="1065">
        <v>9.8000000000000004E-2</v>
      </c>
      <c r="F81" s="1066">
        <v>0.1</v>
      </c>
    </row>
    <row r="82" spans="1:6" ht="15" thickBot="1">
      <c r="A82" s="838" t="s">
        <v>523</v>
      </c>
      <c r="B82" s="832" t="s">
        <v>251</v>
      </c>
      <c r="C82" s="1065">
        <v>9.9000000000000005E-2</v>
      </c>
      <c r="D82" s="1065">
        <v>9.9000000000000005E-2</v>
      </c>
      <c r="E82" s="1065">
        <v>9.7000000000000003E-2</v>
      </c>
      <c r="F82" s="1066">
        <v>0.1</v>
      </c>
    </row>
    <row r="83" spans="1:6" ht="15" thickBot="1">
      <c r="A83" s="838" t="s">
        <v>523</v>
      </c>
      <c r="B83" s="832" t="s">
        <v>262</v>
      </c>
      <c r="C83" s="1065">
        <v>9.8000000000000004E-2</v>
      </c>
      <c r="D83" s="1065">
        <v>9.8000000000000004E-2</v>
      </c>
      <c r="E83" s="1065">
        <v>9.8000000000000004E-2</v>
      </c>
      <c r="F83" s="1066">
        <v>0.1</v>
      </c>
    </row>
    <row r="84" spans="1:6" ht="15" thickBot="1">
      <c r="A84" s="838" t="s">
        <v>523</v>
      </c>
      <c r="B84" s="832" t="s">
        <v>274</v>
      </c>
      <c r="C84" s="1065">
        <v>9.9000000000000005E-2</v>
      </c>
      <c r="D84" s="1065">
        <v>9.9000000000000005E-2</v>
      </c>
      <c r="E84" s="1065">
        <v>9.9000000000000005E-2</v>
      </c>
      <c r="F84" s="1066">
        <v>0.1</v>
      </c>
    </row>
    <row r="85" spans="1:6" ht="15" thickBot="1">
      <c r="A85" s="838" t="s">
        <v>523</v>
      </c>
      <c r="B85" s="832" t="s">
        <v>284</v>
      </c>
      <c r="C85" s="1065">
        <v>9.9000000000000005E-2</v>
      </c>
      <c r="D85" s="1065">
        <v>9.9000000000000005E-2</v>
      </c>
      <c r="E85" s="1065">
        <v>9.9000000000000005E-2</v>
      </c>
      <c r="F85" s="1066">
        <v>0.1</v>
      </c>
    </row>
    <row r="86" spans="1:6" ht="15" thickBot="1">
      <c r="A86" s="838" t="s">
        <v>523</v>
      </c>
      <c r="B86" s="832" t="s">
        <v>294</v>
      </c>
      <c r="C86" s="1065">
        <v>0.1</v>
      </c>
      <c r="D86" s="1065">
        <v>0.1</v>
      </c>
      <c r="E86" s="1065">
        <v>7.6999999999999999E-2</v>
      </c>
      <c r="F86" s="1066">
        <v>0.1</v>
      </c>
    </row>
    <row r="87" spans="1:6" ht="15" thickBot="1">
      <c r="A87" s="838" t="s">
        <v>523</v>
      </c>
      <c r="B87" s="832" t="s">
        <v>304</v>
      </c>
      <c r="C87" s="1065">
        <v>0.1</v>
      </c>
      <c r="D87" s="1065">
        <v>0.1</v>
      </c>
      <c r="E87" s="1065">
        <v>9.8000000000000004E-2</v>
      </c>
      <c r="F87" s="1077"/>
    </row>
    <row r="88" spans="1:6" ht="15" thickBot="1">
      <c r="A88" s="838" t="s">
        <v>523</v>
      </c>
      <c r="B88" s="832" t="s">
        <v>314</v>
      </c>
      <c r="C88" s="1065">
        <v>9.1999999999999998E-2</v>
      </c>
      <c r="D88" s="1065">
        <v>8.5000000000000006E-2</v>
      </c>
      <c r="E88" s="1065">
        <v>9.6000000000000002E-2</v>
      </c>
      <c r="F88" s="1077"/>
    </row>
    <row r="89" spans="1:6" ht="15" thickBot="1">
      <c r="A89" s="838" t="s">
        <v>523</v>
      </c>
      <c r="B89" s="832" t="s">
        <v>325</v>
      </c>
      <c r="C89" s="1065">
        <v>0.1</v>
      </c>
      <c r="D89" s="1065">
        <v>0.1</v>
      </c>
      <c r="E89" s="1065">
        <v>9.7000000000000003E-2</v>
      </c>
      <c r="F89" s="1077"/>
    </row>
    <row r="90" spans="1:6" ht="15" thickBot="1">
      <c r="A90" s="838" t="s">
        <v>523</v>
      </c>
      <c r="B90" s="832" t="s">
        <v>336</v>
      </c>
      <c r="C90" s="1065">
        <v>9.8000000000000004E-2</v>
      </c>
      <c r="D90" s="1065">
        <v>9.8000000000000004E-2</v>
      </c>
      <c r="E90" s="1065">
        <v>8.7999999999999995E-2</v>
      </c>
      <c r="F90" s="1077"/>
    </row>
    <row r="91" spans="1:6" ht="15" thickBot="1">
      <c r="A91" s="838" t="s">
        <v>523</v>
      </c>
      <c r="B91" s="832" t="s">
        <v>346</v>
      </c>
      <c r="C91" s="1065">
        <v>9.9000000000000005E-2</v>
      </c>
      <c r="D91" s="1065">
        <v>9.9000000000000005E-2</v>
      </c>
      <c r="E91" s="1065">
        <v>9.0999999999999998E-2</v>
      </c>
      <c r="F91" s="1077"/>
    </row>
    <row r="92" spans="1:6" ht="15" thickBot="1">
      <c r="A92" s="838" t="s">
        <v>523</v>
      </c>
      <c r="B92" s="832" t="s">
        <v>356</v>
      </c>
      <c r="C92" s="1065">
        <v>9.6000000000000002E-2</v>
      </c>
      <c r="D92" s="1065">
        <v>9.6000000000000002E-2</v>
      </c>
      <c r="E92" s="1065">
        <v>7.2999999999999995E-2</v>
      </c>
      <c r="F92" s="1077"/>
    </row>
    <row r="93" spans="1:6" ht="15" thickBot="1">
      <c r="A93" s="838" t="s">
        <v>523</v>
      </c>
      <c r="B93" s="832" t="s">
        <v>366</v>
      </c>
      <c r="C93" s="1065">
        <v>9.6000000000000002E-2</v>
      </c>
      <c r="D93" s="1065">
        <v>9.6000000000000002E-2</v>
      </c>
      <c r="E93" s="1065">
        <v>9.9000000000000005E-2</v>
      </c>
      <c r="F93" s="1077"/>
    </row>
    <row r="94" spans="1:6" ht="15" thickBot="1">
      <c r="A94" s="838" t="s">
        <v>523</v>
      </c>
      <c r="B94" s="832" t="s">
        <v>376</v>
      </c>
      <c r="C94" s="1065">
        <v>7.5999999999999998E-2</v>
      </c>
      <c r="D94" s="1065">
        <v>7.3999999999999996E-2</v>
      </c>
      <c r="E94" s="1065">
        <v>9.7000000000000003E-2</v>
      </c>
      <c r="F94" s="1077"/>
    </row>
    <row r="95" spans="1:6" ht="15" thickBot="1">
      <c r="A95" s="838" t="s">
        <v>523</v>
      </c>
      <c r="B95" s="832" t="s">
        <v>385</v>
      </c>
      <c r="C95" s="1065">
        <v>9.9000000000000005E-2</v>
      </c>
      <c r="D95" s="1065">
        <v>9.4E-2</v>
      </c>
      <c r="E95" s="1065">
        <v>9.6000000000000002E-2</v>
      </c>
      <c r="F95" s="1077"/>
    </row>
    <row r="96" spans="1:6" ht="15" thickBot="1">
      <c r="A96" s="838" t="s">
        <v>523</v>
      </c>
      <c r="B96" s="832" t="s">
        <v>394</v>
      </c>
      <c r="C96" s="1065">
        <v>9.9000000000000005E-2</v>
      </c>
      <c r="D96" s="1065">
        <v>9.9000000000000005E-2</v>
      </c>
      <c r="E96" s="1065">
        <v>9.9000000000000005E-2</v>
      </c>
      <c r="F96" s="1077"/>
    </row>
    <row r="97" spans="1:6" ht="15" thickBot="1">
      <c r="A97" s="838" t="s">
        <v>523</v>
      </c>
      <c r="B97" s="832" t="s">
        <v>402</v>
      </c>
      <c r="C97" s="1065">
        <v>9.8000000000000004E-2</v>
      </c>
      <c r="D97" s="1065">
        <v>9.8000000000000004E-2</v>
      </c>
      <c r="E97" s="1065">
        <v>9.7000000000000003E-2</v>
      </c>
      <c r="F97" s="1077"/>
    </row>
    <row r="98" spans="1:6" ht="15" thickBot="1">
      <c r="A98" s="838" t="s">
        <v>523</v>
      </c>
      <c r="B98" s="832" t="s">
        <v>409</v>
      </c>
      <c r="C98" s="1065">
        <v>0.1</v>
      </c>
      <c r="D98" s="1065">
        <v>0.1</v>
      </c>
      <c r="E98" s="1065">
        <v>9.7000000000000003E-2</v>
      </c>
      <c r="F98" s="1077"/>
    </row>
    <row r="99" spans="1:6" ht="15" thickBot="1">
      <c r="A99" s="838" t="s">
        <v>523</v>
      </c>
      <c r="B99" s="832" t="s">
        <v>416</v>
      </c>
      <c r="C99" s="1065">
        <v>0.1</v>
      </c>
      <c r="D99" s="1065">
        <v>0.1</v>
      </c>
      <c r="E99" s="1078"/>
      <c r="F99" s="1077"/>
    </row>
    <row r="100" spans="1:6" ht="15" thickBot="1">
      <c r="A100" s="838" t="s">
        <v>523</v>
      </c>
      <c r="B100" s="832" t="s">
        <v>423</v>
      </c>
      <c r="C100" s="1065">
        <v>0.09</v>
      </c>
      <c r="D100" s="1065">
        <v>8.8999999999999996E-2</v>
      </c>
      <c r="E100" s="1078"/>
      <c r="F100" s="1077"/>
    </row>
    <row r="101" spans="1:6" ht="15" thickBot="1">
      <c r="A101" s="838" t="s">
        <v>523</v>
      </c>
      <c r="B101" s="832" t="s">
        <v>430</v>
      </c>
      <c r="C101" s="1065">
        <v>9.8000000000000004E-2</v>
      </c>
      <c r="D101" s="1065">
        <v>9.7000000000000003E-2</v>
      </c>
      <c r="E101" s="1078"/>
      <c r="F101" s="1077"/>
    </row>
    <row r="102" spans="1:6" ht="24.6" thickBot="1">
      <c r="A102" s="838" t="s">
        <v>523</v>
      </c>
      <c r="B102" s="832" t="s">
        <v>890</v>
      </c>
      <c r="C102" s="1078"/>
      <c r="D102" s="1078"/>
      <c r="E102" s="1078"/>
      <c r="F102" s="1066">
        <v>0.05</v>
      </c>
    </row>
    <row r="103" spans="1:6" ht="24.6" thickBot="1">
      <c r="A103" s="838" t="s">
        <v>523</v>
      </c>
      <c r="B103" s="832" t="s">
        <v>891</v>
      </c>
      <c r="C103" s="1078"/>
      <c r="D103" s="1078"/>
      <c r="E103" s="1078"/>
      <c r="F103" s="1066">
        <v>0.05</v>
      </c>
    </row>
    <row r="104" spans="1:6" ht="15" thickBot="1">
      <c r="A104" s="838" t="s">
        <v>523</v>
      </c>
      <c r="B104" s="832" t="s">
        <v>892</v>
      </c>
      <c r="C104" s="1078"/>
      <c r="D104" s="1078"/>
      <c r="E104" s="1078"/>
      <c r="F104" s="1066">
        <v>0.05</v>
      </c>
    </row>
    <row r="105" spans="1:6" ht="24.6" thickBot="1">
      <c r="A105" s="838" t="s">
        <v>523</v>
      </c>
      <c r="B105" s="832" t="s">
        <v>893</v>
      </c>
      <c r="C105" s="1078"/>
      <c r="D105" s="1078"/>
      <c r="E105" s="1078"/>
      <c r="F105" s="1066">
        <v>0.05</v>
      </c>
    </row>
    <row r="106" spans="1:6" ht="24.6" thickBot="1">
      <c r="A106" s="838" t="s">
        <v>523</v>
      </c>
      <c r="B106" s="832" t="s">
        <v>894</v>
      </c>
      <c r="C106" s="1078"/>
      <c r="D106" s="1078"/>
      <c r="E106" s="1078"/>
      <c r="F106" s="1066">
        <v>0.05</v>
      </c>
    </row>
    <row r="107" spans="1:6" ht="24.6" thickBot="1">
      <c r="A107" s="838" t="s">
        <v>523</v>
      </c>
      <c r="B107" s="832" t="s">
        <v>895</v>
      </c>
      <c r="C107" s="1078"/>
      <c r="D107" s="1078"/>
      <c r="E107" s="1078"/>
      <c r="F107" s="1066">
        <v>0.05</v>
      </c>
    </row>
    <row r="108" spans="1:6" ht="24.6" thickBot="1">
      <c r="A108" s="838" t="s">
        <v>523</v>
      </c>
      <c r="B108" s="832" t="s">
        <v>896</v>
      </c>
      <c r="C108" s="1078"/>
      <c r="D108" s="1078"/>
      <c r="E108" s="1078"/>
      <c r="F108" s="1066">
        <v>0.05</v>
      </c>
    </row>
    <row r="109" spans="1:6" ht="24.6" thickBot="1">
      <c r="A109" s="848" t="s">
        <v>523</v>
      </c>
      <c r="B109" s="844" t="s">
        <v>897</v>
      </c>
      <c r="C109" s="1075"/>
      <c r="D109" s="1075"/>
      <c r="E109" s="1075"/>
      <c r="F109" s="1068">
        <v>0.05</v>
      </c>
    </row>
    <row r="110" spans="1:6" ht="15" thickBot="1">
      <c r="A110" s="838" t="s">
        <v>56</v>
      </c>
      <c r="B110" s="839" t="s">
        <v>898</v>
      </c>
      <c r="C110" s="1063">
        <v>0.129</v>
      </c>
      <c r="D110" s="1063">
        <v>0.129</v>
      </c>
      <c r="E110" s="1063">
        <v>0.126</v>
      </c>
      <c r="F110" s="1064">
        <v>0.13</v>
      </c>
    </row>
    <row r="111" spans="1:6" ht="15" thickBot="1">
      <c r="A111" s="838" t="s">
        <v>56</v>
      </c>
      <c r="B111" s="832" t="s">
        <v>192</v>
      </c>
      <c r="C111" s="1065">
        <v>0.11</v>
      </c>
      <c r="D111" s="1065">
        <v>0.11</v>
      </c>
      <c r="E111" s="1065">
        <v>9.9000000000000005E-2</v>
      </c>
      <c r="F111" s="1066">
        <v>0.128</v>
      </c>
    </row>
    <row r="112" spans="1:6" ht="15" thickBot="1">
      <c r="A112" s="838" t="s">
        <v>56</v>
      </c>
      <c r="B112" s="832" t="s">
        <v>205</v>
      </c>
      <c r="C112" s="1065">
        <v>0.125</v>
      </c>
      <c r="D112" s="1065">
        <v>0.125</v>
      </c>
      <c r="E112" s="1065">
        <v>0.12</v>
      </c>
      <c r="F112" s="1066">
        <v>0.125</v>
      </c>
    </row>
    <row r="113" spans="1:6" ht="15" thickBot="1">
      <c r="A113" s="838" t="s">
        <v>56</v>
      </c>
      <c r="B113" s="832" t="s">
        <v>218</v>
      </c>
      <c r="C113" s="1065">
        <v>0.13</v>
      </c>
      <c r="D113" s="1065">
        <v>0.13</v>
      </c>
      <c r="E113" s="1065">
        <v>0.13</v>
      </c>
      <c r="F113" s="1066">
        <v>0.13</v>
      </c>
    </row>
    <row r="114" spans="1:6" ht="15" thickBot="1">
      <c r="A114" s="838" t="s">
        <v>56</v>
      </c>
      <c r="B114" s="832" t="s">
        <v>230</v>
      </c>
      <c r="C114" s="1065">
        <v>0.123</v>
      </c>
      <c r="D114" s="1065">
        <v>0.123</v>
      </c>
      <c r="E114" s="1065">
        <v>0.12</v>
      </c>
      <c r="F114" s="1066">
        <v>0.13</v>
      </c>
    </row>
    <row r="115" spans="1:6" ht="15" thickBot="1">
      <c r="A115" s="838" t="s">
        <v>56</v>
      </c>
      <c r="B115" s="832" t="s">
        <v>241</v>
      </c>
      <c r="C115" s="1065">
        <v>0.125</v>
      </c>
      <c r="D115" s="1065">
        <v>0.125</v>
      </c>
      <c r="E115" s="1065">
        <v>0.11700000000000001</v>
      </c>
      <c r="F115" s="1066">
        <v>0.13</v>
      </c>
    </row>
    <row r="116" spans="1:6" ht="15" thickBot="1">
      <c r="A116" s="838" t="s">
        <v>56</v>
      </c>
      <c r="B116" s="832" t="s">
        <v>252</v>
      </c>
      <c r="C116" s="1065">
        <v>0.11700000000000001</v>
      </c>
      <c r="D116" s="1065">
        <v>0.11700000000000001</v>
      </c>
      <c r="E116" s="1065">
        <v>8.7999999999999995E-2</v>
      </c>
      <c r="F116" s="1066">
        <v>0.13</v>
      </c>
    </row>
    <row r="117" spans="1:6" ht="15" thickBot="1">
      <c r="A117" s="838" t="s">
        <v>56</v>
      </c>
      <c r="B117" s="832" t="s">
        <v>263</v>
      </c>
      <c r="C117" s="1065">
        <v>0.13</v>
      </c>
      <c r="D117" s="1065">
        <v>0.13</v>
      </c>
      <c r="E117" s="1065">
        <v>0.129</v>
      </c>
      <c r="F117" s="1066">
        <v>0.13</v>
      </c>
    </row>
    <row r="118" spans="1:6" ht="15" thickBot="1">
      <c r="A118" s="838" t="s">
        <v>56</v>
      </c>
      <c r="B118" s="832" t="s">
        <v>275</v>
      </c>
      <c r="C118" s="1065">
        <v>0.123</v>
      </c>
      <c r="D118" s="1065">
        <v>0.123</v>
      </c>
      <c r="E118" s="1065">
        <v>0.11600000000000001</v>
      </c>
      <c r="F118" s="1066">
        <v>0.13</v>
      </c>
    </row>
    <row r="119" spans="1:6" ht="15" thickBot="1">
      <c r="A119" s="838" t="s">
        <v>56</v>
      </c>
      <c r="B119" s="832" t="s">
        <v>285</v>
      </c>
      <c r="C119" s="1065">
        <v>0.127</v>
      </c>
      <c r="D119" s="1065">
        <v>0.127</v>
      </c>
      <c r="E119" s="1065">
        <v>0.124</v>
      </c>
      <c r="F119" s="1066">
        <v>0.13</v>
      </c>
    </row>
    <row r="120" spans="1:6" ht="15" thickBot="1">
      <c r="A120" s="838" t="s">
        <v>56</v>
      </c>
      <c r="B120" s="832" t="s">
        <v>295</v>
      </c>
      <c r="C120" s="1065">
        <v>0.125</v>
      </c>
      <c r="D120" s="1065">
        <v>0.125</v>
      </c>
      <c r="E120" s="1065">
        <v>0.122</v>
      </c>
      <c r="F120" s="1066">
        <v>0.13</v>
      </c>
    </row>
    <row r="121" spans="1:6" ht="15" thickBot="1">
      <c r="A121" s="838" t="s">
        <v>56</v>
      </c>
      <c r="B121" s="832" t="s">
        <v>305</v>
      </c>
      <c r="C121" s="1065">
        <v>0.13</v>
      </c>
      <c r="D121" s="1065">
        <v>0.13</v>
      </c>
      <c r="E121" s="1065">
        <v>0.13</v>
      </c>
      <c r="F121" s="1066">
        <v>0.13</v>
      </c>
    </row>
    <row r="122" spans="1:6" ht="15" thickBot="1">
      <c r="A122" s="838" t="s">
        <v>56</v>
      </c>
      <c r="B122" s="832" t="s">
        <v>315</v>
      </c>
      <c r="C122" s="1065">
        <v>0.13</v>
      </c>
      <c r="D122" s="1065">
        <v>0.13</v>
      </c>
      <c r="E122" s="1065">
        <v>0.125</v>
      </c>
      <c r="F122" s="1066">
        <v>0.13</v>
      </c>
    </row>
    <row r="123" spans="1:6" ht="15" thickBot="1">
      <c r="A123" s="838" t="s">
        <v>56</v>
      </c>
      <c r="B123" s="832" t="s">
        <v>326</v>
      </c>
      <c r="C123" s="1065">
        <v>0.129</v>
      </c>
      <c r="D123" s="1065">
        <v>0.129</v>
      </c>
      <c r="E123" s="1065">
        <v>0.123</v>
      </c>
      <c r="F123" s="1066">
        <v>0.13</v>
      </c>
    </row>
    <row r="124" spans="1:6" ht="15" thickBot="1">
      <c r="A124" s="838" t="s">
        <v>56</v>
      </c>
      <c r="B124" s="832" t="s">
        <v>337</v>
      </c>
      <c r="C124" s="1065">
        <v>0.10199999999999999</v>
      </c>
      <c r="D124" s="1065">
        <v>0.10100000000000001</v>
      </c>
      <c r="E124" s="1065">
        <v>0.08</v>
      </c>
      <c r="F124" s="1077"/>
    </row>
    <row r="125" spans="1:6" ht="15" thickBot="1">
      <c r="A125" s="838" t="s">
        <v>56</v>
      </c>
      <c r="B125" s="832" t="s">
        <v>347</v>
      </c>
      <c r="C125" s="1065">
        <v>0.13</v>
      </c>
      <c r="D125" s="1065">
        <v>0.13</v>
      </c>
      <c r="E125" s="1065">
        <v>0.129</v>
      </c>
      <c r="F125" s="1077"/>
    </row>
    <row r="126" spans="1:6" ht="15" thickBot="1">
      <c r="A126" s="838" t="s">
        <v>56</v>
      </c>
      <c r="B126" s="832" t="s">
        <v>357</v>
      </c>
      <c r="C126" s="1065">
        <v>0.13</v>
      </c>
      <c r="D126" s="1065">
        <v>0.13</v>
      </c>
      <c r="E126" s="1065">
        <v>0.126</v>
      </c>
      <c r="F126" s="1077"/>
    </row>
    <row r="127" spans="1:6" ht="15" thickBot="1">
      <c r="A127" s="838" t="s">
        <v>56</v>
      </c>
      <c r="B127" s="832" t="s">
        <v>367</v>
      </c>
      <c r="C127" s="1065">
        <v>0.125</v>
      </c>
      <c r="D127" s="1065">
        <v>0.125</v>
      </c>
      <c r="E127" s="1065">
        <v>0.121</v>
      </c>
      <c r="F127" s="1077"/>
    </row>
    <row r="128" spans="1:6" ht="15" thickBot="1">
      <c r="A128" s="838" t="s">
        <v>56</v>
      </c>
      <c r="B128" s="832" t="s">
        <v>377</v>
      </c>
      <c r="C128" s="1065">
        <v>0.12</v>
      </c>
      <c r="D128" s="1065">
        <v>0.12</v>
      </c>
      <c r="E128" s="1065">
        <v>0.105</v>
      </c>
      <c r="F128" s="1077"/>
    </row>
    <row r="129" spans="1:6" ht="15" thickBot="1">
      <c r="A129" s="838" t="s">
        <v>56</v>
      </c>
      <c r="B129" s="832" t="s">
        <v>386</v>
      </c>
      <c r="C129" s="1065">
        <v>0.13</v>
      </c>
      <c r="D129" s="1065">
        <v>0.13</v>
      </c>
      <c r="E129" s="1065">
        <v>0.126</v>
      </c>
      <c r="F129" s="1077"/>
    </row>
    <row r="130" spans="1:6" ht="15" thickBot="1">
      <c r="A130" s="838" t="s">
        <v>56</v>
      </c>
      <c r="B130" s="832" t="s">
        <v>395</v>
      </c>
      <c r="C130" s="1065">
        <v>0.125</v>
      </c>
      <c r="D130" s="1065">
        <v>0.125</v>
      </c>
      <c r="E130" s="1065">
        <v>0.122</v>
      </c>
      <c r="F130" s="1077"/>
    </row>
    <row r="131" spans="1:6" ht="15" thickBot="1">
      <c r="A131" s="838" t="s">
        <v>56</v>
      </c>
      <c r="B131" s="832" t="s">
        <v>403</v>
      </c>
      <c r="C131" s="1065">
        <v>0.127</v>
      </c>
      <c r="D131" s="1065">
        <v>0.126</v>
      </c>
      <c r="E131" s="1065">
        <v>0.123</v>
      </c>
      <c r="F131" s="1077"/>
    </row>
    <row r="132" spans="1:6" ht="15" thickBot="1">
      <c r="A132" s="838" t="s">
        <v>56</v>
      </c>
      <c r="B132" s="832" t="s">
        <v>410</v>
      </c>
      <c r="C132" s="1065">
        <v>9.0999999999999998E-2</v>
      </c>
      <c r="D132" s="1065">
        <v>0.121</v>
      </c>
      <c r="E132" s="1065">
        <v>9.9000000000000005E-2</v>
      </c>
      <c r="F132" s="1077"/>
    </row>
    <row r="133" spans="1:6" ht="15" thickBot="1">
      <c r="A133" s="838" t="s">
        <v>56</v>
      </c>
      <c r="B133" s="832" t="s">
        <v>417</v>
      </c>
      <c r="C133" s="1065">
        <v>0.13</v>
      </c>
      <c r="D133" s="1065">
        <v>0.13</v>
      </c>
      <c r="E133" s="1065">
        <v>0.129</v>
      </c>
      <c r="F133" s="1077"/>
    </row>
    <row r="134" spans="1:6" ht="15" thickBot="1">
      <c r="A134" s="838" t="s">
        <v>56</v>
      </c>
      <c r="B134" s="832" t="s">
        <v>899</v>
      </c>
      <c r="C134" s="1065">
        <v>6.8000000000000005E-2</v>
      </c>
      <c r="D134" s="1065">
        <v>6.5000000000000002E-2</v>
      </c>
      <c r="E134" s="1065">
        <v>6.5000000000000002E-2</v>
      </c>
      <c r="F134" s="1066">
        <v>0.13</v>
      </c>
    </row>
    <row r="135" spans="1:6" ht="15" thickBot="1">
      <c r="A135" s="838" t="s">
        <v>56</v>
      </c>
      <c r="B135" s="832" t="s">
        <v>431</v>
      </c>
      <c r="C135" s="1065">
        <v>0.123</v>
      </c>
      <c r="D135" s="1065">
        <v>0.123</v>
      </c>
      <c r="E135" s="1065">
        <v>0.11</v>
      </c>
      <c r="F135" s="1077"/>
    </row>
    <row r="136" spans="1:6" ht="15" thickBot="1">
      <c r="A136" s="838" t="s">
        <v>56</v>
      </c>
      <c r="B136" s="832" t="s">
        <v>438</v>
      </c>
      <c r="C136" s="1065">
        <v>0.13</v>
      </c>
      <c r="D136" s="1065">
        <v>0.13</v>
      </c>
      <c r="E136" s="1065">
        <v>0.125</v>
      </c>
      <c r="F136" s="1077"/>
    </row>
    <row r="137" spans="1:6" ht="15" thickBot="1">
      <c r="A137" s="838" t="s">
        <v>56</v>
      </c>
      <c r="B137" s="832" t="s">
        <v>445</v>
      </c>
      <c r="C137" s="1065">
        <v>0.121</v>
      </c>
      <c r="D137" s="1065">
        <v>0.122</v>
      </c>
      <c r="E137" s="1065">
        <v>0.115</v>
      </c>
      <c r="F137" s="1077"/>
    </row>
    <row r="138" spans="1:6" ht="15" thickBot="1">
      <c r="A138" s="838" t="s">
        <v>56</v>
      </c>
      <c r="B138" s="832" t="s">
        <v>900</v>
      </c>
      <c r="C138" s="1065">
        <v>0.105</v>
      </c>
      <c r="D138" s="1065">
        <v>0.125</v>
      </c>
      <c r="E138" s="1065">
        <v>0.112</v>
      </c>
      <c r="F138" s="1077"/>
    </row>
    <row r="139" spans="1:6" ht="15" thickBot="1">
      <c r="A139" s="838" t="s">
        <v>56</v>
      </c>
      <c r="B139" s="832" t="s">
        <v>901</v>
      </c>
      <c r="C139" s="1065">
        <v>0.127</v>
      </c>
      <c r="D139" s="1065">
        <v>0.127</v>
      </c>
      <c r="E139" s="1065">
        <v>0.122</v>
      </c>
      <c r="F139" s="1066">
        <v>0.13</v>
      </c>
    </row>
    <row r="140" spans="1:6" ht="15" thickBot="1">
      <c r="A140" s="838" t="s">
        <v>56</v>
      </c>
      <c r="B140" s="832" t="s">
        <v>902</v>
      </c>
      <c r="C140" s="1065">
        <v>0.125</v>
      </c>
      <c r="D140" s="1065">
        <v>0.125</v>
      </c>
      <c r="E140" s="1065">
        <v>0.11899999999999999</v>
      </c>
      <c r="F140" s="1066">
        <v>0.13</v>
      </c>
    </row>
    <row r="141" spans="1:6" ht="15" thickBot="1">
      <c r="A141" s="838" t="s">
        <v>56</v>
      </c>
      <c r="B141" s="832" t="s">
        <v>464</v>
      </c>
      <c r="C141" s="1065">
        <v>0.125</v>
      </c>
      <c r="D141" s="1065">
        <v>0.125</v>
      </c>
      <c r="E141" s="1065">
        <v>0.11700000000000001</v>
      </c>
      <c r="F141" s="1077"/>
    </row>
    <row r="142" spans="1:6" ht="15" thickBot="1">
      <c r="A142" s="838" t="s">
        <v>56</v>
      </c>
      <c r="B142" s="832" t="s">
        <v>469</v>
      </c>
      <c r="C142" s="1065">
        <v>0.125</v>
      </c>
      <c r="D142" s="1065">
        <v>0.125</v>
      </c>
      <c r="E142" s="1065">
        <v>0.115</v>
      </c>
      <c r="F142" s="1077"/>
    </row>
    <row r="143" spans="1:6" ht="15" thickBot="1">
      <c r="A143" s="838" t="s">
        <v>56</v>
      </c>
      <c r="B143" s="832" t="s">
        <v>474</v>
      </c>
      <c r="C143" s="1065">
        <v>0.121</v>
      </c>
      <c r="D143" s="1065">
        <v>0.121</v>
      </c>
      <c r="E143" s="1065">
        <v>0.108</v>
      </c>
      <c r="F143" s="1077"/>
    </row>
    <row r="144" spans="1:6" ht="15" thickBot="1">
      <c r="A144" s="838" t="s">
        <v>56</v>
      </c>
      <c r="B144" s="1069" t="s">
        <v>903</v>
      </c>
      <c r="C144" s="1070">
        <v>0.126</v>
      </c>
      <c r="D144" s="1070">
        <v>0.126</v>
      </c>
      <c r="E144" s="1070">
        <v>0.121</v>
      </c>
      <c r="F144" s="1077"/>
    </row>
    <row r="145" spans="1:6" ht="15" thickBot="1">
      <c r="A145" s="848" t="s">
        <v>56</v>
      </c>
      <c r="B145" s="1071" t="s">
        <v>904</v>
      </c>
      <c r="C145" s="1079"/>
      <c r="D145" s="1079"/>
      <c r="E145" s="1079"/>
      <c r="F145" s="1072">
        <v>0.05</v>
      </c>
    </row>
    <row r="146" spans="1:6" ht="24.6" thickBot="1">
      <c r="A146" s="1073" t="s">
        <v>56</v>
      </c>
      <c r="B146" s="842" t="s">
        <v>905</v>
      </c>
      <c r="C146" s="1078"/>
      <c r="D146" s="1078"/>
      <c r="E146" s="1078"/>
      <c r="F146" s="1074">
        <v>0.05</v>
      </c>
    </row>
    <row r="147" spans="1:6" ht="24.6" thickBot="1">
      <c r="A147" s="838" t="s">
        <v>56</v>
      </c>
      <c r="B147" s="832" t="s">
        <v>906</v>
      </c>
      <c r="C147" s="1078"/>
      <c r="D147" s="1078"/>
      <c r="E147" s="1078"/>
      <c r="F147" s="1066">
        <v>0.05</v>
      </c>
    </row>
    <row r="148" spans="1:6" ht="24.6" thickBot="1">
      <c r="A148" s="838" t="s">
        <v>56</v>
      </c>
      <c r="B148" s="832" t="s">
        <v>907</v>
      </c>
      <c r="C148" s="1078"/>
      <c r="D148" s="1078"/>
      <c r="E148" s="1078"/>
      <c r="F148" s="1066">
        <v>0.05</v>
      </c>
    </row>
    <row r="149" spans="1:6" ht="24.6" thickBot="1">
      <c r="A149" s="838" t="s">
        <v>56</v>
      </c>
      <c r="B149" s="832" t="s">
        <v>908</v>
      </c>
      <c r="C149" s="1078"/>
      <c r="D149" s="1078"/>
      <c r="E149" s="1078"/>
      <c r="F149" s="1066">
        <v>0.05</v>
      </c>
    </row>
    <row r="150" spans="1:6" ht="24.6" thickBot="1">
      <c r="A150" s="838" t="s">
        <v>56</v>
      </c>
      <c r="B150" s="832" t="s">
        <v>909</v>
      </c>
      <c r="C150" s="1078"/>
      <c r="D150" s="1078"/>
      <c r="E150" s="1078"/>
      <c r="F150" s="1066">
        <v>0.05</v>
      </c>
    </row>
    <row r="151" spans="1:6" ht="24.6" thickBot="1">
      <c r="A151" s="838" t="s">
        <v>56</v>
      </c>
      <c r="B151" s="832" t="s">
        <v>910</v>
      </c>
      <c r="C151" s="1078"/>
      <c r="D151" s="1078"/>
      <c r="E151" s="1078"/>
      <c r="F151" s="1066">
        <v>0.05</v>
      </c>
    </row>
    <row r="152" spans="1:6" ht="24.6" thickBot="1">
      <c r="A152" s="838" t="s">
        <v>56</v>
      </c>
      <c r="B152" s="832" t="s">
        <v>507</v>
      </c>
      <c r="C152" s="1078"/>
      <c r="D152" s="1078"/>
      <c r="E152" s="1078"/>
      <c r="F152" s="1066">
        <v>0.05</v>
      </c>
    </row>
    <row r="153" spans="1:6" ht="15" thickBot="1">
      <c r="A153" s="838" t="s">
        <v>56</v>
      </c>
      <c r="B153" s="832" t="s">
        <v>911</v>
      </c>
      <c r="C153" s="1078"/>
      <c r="D153" s="1078"/>
      <c r="E153" s="1078"/>
      <c r="F153" s="1066">
        <v>0.05</v>
      </c>
    </row>
    <row r="154" spans="1:6" ht="15" thickBot="1">
      <c r="A154" s="838" t="s">
        <v>56</v>
      </c>
      <c r="B154" s="832" t="s">
        <v>912</v>
      </c>
      <c r="C154" s="1078"/>
      <c r="D154" s="1078"/>
      <c r="E154" s="1078"/>
      <c r="F154" s="1066">
        <v>0.05</v>
      </c>
    </row>
    <row r="155" spans="1:6" ht="24.6" thickBot="1">
      <c r="A155" s="838" t="s">
        <v>56</v>
      </c>
      <c r="B155" s="832" t="s">
        <v>913</v>
      </c>
      <c r="C155" s="1078"/>
      <c r="D155" s="1078"/>
      <c r="E155" s="1078"/>
      <c r="F155" s="1066">
        <v>0.05</v>
      </c>
    </row>
    <row r="156" spans="1:6" ht="24.6" thickBot="1">
      <c r="A156" s="838" t="s">
        <v>56</v>
      </c>
      <c r="B156" s="832" t="s">
        <v>914</v>
      </c>
      <c r="C156" s="1078"/>
      <c r="D156" s="1078"/>
      <c r="E156" s="1078"/>
      <c r="F156" s="1066">
        <v>0.05</v>
      </c>
    </row>
    <row r="157" spans="1:6" ht="24.6" thickBot="1">
      <c r="A157" s="848" t="s">
        <v>56</v>
      </c>
      <c r="B157" s="844" t="s">
        <v>915</v>
      </c>
      <c r="C157" s="1075"/>
      <c r="D157" s="1075"/>
      <c r="E157" s="1075"/>
      <c r="F157" s="1068">
        <v>0.05</v>
      </c>
    </row>
    <row r="158" spans="1:6" ht="15" thickBot="1">
      <c r="A158" s="838" t="s">
        <v>526</v>
      </c>
      <c r="B158" s="839" t="s">
        <v>916</v>
      </c>
      <c r="C158" s="1063">
        <v>0.13</v>
      </c>
      <c r="D158" s="1063">
        <v>0.13</v>
      </c>
      <c r="E158" s="1063">
        <v>0.13</v>
      </c>
      <c r="F158" s="1064">
        <v>0.13</v>
      </c>
    </row>
    <row r="159" spans="1:6" ht="15" thickBot="1">
      <c r="A159" s="838" t="s">
        <v>526</v>
      </c>
      <c r="B159" s="832" t="s">
        <v>193</v>
      </c>
      <c r="C159" s="1065">
        <v>0.13</v>
      </c>
      <c r="D159" s="1065">
        <v>0.13</v>
      </c>
      <c r="E159" s="1065">
        <v>0.13</v>
      </c>
      <c r="F159" s="1066">
        <v>0.13</v>
      </c>
    </row>
    <row r="160" spans="1:6" ht="15" thickBot="1">
      <c r="A160" s="838" t="s">
        <v>526</v>
      </c>
      <c r="B160" s="832" t="s">
        <v>206</v>
      </c>
      <c r="C160" s="1065">
        <v>0.13</v>
      </c>
      <c r="D160" s="1065">
        <v>0.13</v>
      </c>
      <c r="E160" s="1065">
        <v>0.129</v>
      </c>
      <c r="F160" s="1066">
        <v>0.13</v>
      </c>
    </row>
    <row r="161" spans="1:6" ht="15" thickBot="1">
      <c r="A161" s="838" t="s">
        <v>526</v>
      </c>
      <c r="B161" s="832" t="s">
        <v>219</v>
      </c>
      <c r="C161" s="1065">
        <v>0.128</v>
      </c>
      <c r="D161" s="1065">
        <v>0.128</v>
      </c>
      <c r="E161" s="1065">
        <v>0.125</v>
      </c>
      <c r="F161" s="1066">
        <v>0.13</v>
      </c>
    </row>
    <row r="162" spans="1:6" ht="15" thickBot="1">
      <c r="A162" s="838" t="s">
        <v>526</v>
      </c>
      <c r="B162" s="832" t="s">
        <v>231</v>
      </c>
      <c r="C162" s="1065">
        <v>0.122</v>
      </c>
      <c r="D162" s="1065">
        <v>0.122</v>
      </c>
      <c r="E162" s="1065">
        <v>0.126</v>
      </c>
      <c r="F162" s="1066">
        <v>0.122</v>
      </c>
    </row>
    <row r="163" spans="1:6" ht="15" thickBot="1">
      <c r="A163" s="838" t="s">
        <v>526</v>
      </c>
      <c r="B163" s="832" t="s">
        <v>242</v>
      </c>
      <c r="C163" s="1065">
        <v>0.13</v>
      </c>
      <c r="D163" s="1065">
        <v>0.13</v>
      </c>
      <c r="E163" s="1065">
        <v>0.125</v>
      </c>
      <c r="F163" s="1066">
        <v>0.13</v>
      </c>
    </row>
    <row r="164" spans="1:6" ht="15" thickBot="1">
      <c r="A164" s="838" t="s">
        <v>526</v>
      </c>
      <c r="B164" s="832" t="s">
        <v>253</v>
      </c>
      <c r="C164" s="1065">
        <v>0.13</v>
      </c>
      <c r="D164" s="1065">
        <v>0.13</v>
      </c>
      <c r="E164" s="1065">
        <v>0.13</v>
      </c>
      <c r="F164" s="1066">
        <v>0.13</v>
      </c>
    </row>
    <row r="165" spans="1:6" ht="15" thickBot="1">
      <c r="A165" s="838" t="s">
        <v>526</v>
      </c>
      <c r="B165" s="832" t="s">
        <v>264</v>
      </c>
      <c r="C165" s="1065">
        <v>0.13</v>
      </c>
      <c r="D165" s="1065">
        <v>0.13</v>
      </c>
      <c r="E165" s="1065">
        <v>0.124</v>
      </c>
      <c r="F165" s="1066">
        <v>0.13</v>
      </c>
    </row>
    <row r="166" spans="1:6" ht="15" thickBot="1">
      <c r="A166" s="838" t="s">
        <v>526</v>
      </c>
      <c r="B166" s="832" t="s">
        <v>276</v>
      </c>
      <c r="C166" s="1065">
        <v>0.13</v>
      </c>
      <c r="D166" s="1065">
        <v>0.13</v>
      </c>
      <c r="E166" s="1065">
        <v>0.13</v>
      </c>
      <c r="F166" s="1066">
        <v>0.13</v>
      </c>
    </row>
    <row r="167" spans="1:6" ht="15" thickBot="1">
      <c r="A167" s="838" t="s">
        <v>526</v>
      </c>
      <c r="B167" s="832" t="s">
        <v>286</v>
      </c>
      <c r="C167" s="1065">
        <v>0.125</v>
      </c>
      <c r="D167" s="1065">
        <v>0.125</v>
      </c>
      <c r="E167" s="1065">
        <v>0.121</v>
      </c>
      <c r="F167" s="1077"/>
    </row>
    <row r="168" spans="1:6" ht="15" thickBot="1">
      <c r="A168" s="838" t="s">
        <v>526</v>
      </c>
      <c r="B168" s="832" t="s">
        <v>296</v>
      </c>
      <c r="C168" s="1065">
        <v>0.13</v>
      </c>
      <c r="D168" s="1065">
        <v>0.13</v>
      </c>
      <c r="E168" s="1065">
        <v>0.126</v>
      </c>
      <c r="F168" s="1077"/>
    </row>
    <row r="169" spans="1:6" ht="15" thickBot="1">
      <c r="A169" s="838" t="s">
        <v>526</v>
      </c>
      <c r="B169" s="832" t="s">
        <v>306</v>
      </c>
      <c r="C169" s="1065">
        <v>0.128</v>
      </c>
      <c r="D169" s="1065">
        <v>0.129</v>
      </c>
      <c r="E169" s="1065">
        <v>0.13</v>
      </c>
      <c r="F169" s="1077"/>
    </row>
    <row r="170" spans="1:6" ht="15" thickBot="1">
      <c r="A170" s="838" t="s">
        <v>526</v>
      </c>
      <c r="B170" s="832" t="s">
        <v>316</v>
      </c>
      <c r="C170" s="1065">
        <v>0.14099999999999999</v>
      </c>
      <c r="D170" s="1065">
        <v>0.13</v>
      </c>
      <c r="E170" s="1065">
        <v>0.125</v>
      </c>
      <c r="F170" s="1077"/>
    </row>
    <row r="171" spans="1:6" ht="15" thickBot="1">
      <c r="A171" s="838" t="s">
        <v>526</v>
      </c>
      <c r="B171" s="832" t="s">
        <v>917</v>
      </c>
      <c r="C171" s="1065">
        <v>0.127</v>
      </c>
      <c r="D171" s="1065">
        <v>0.126</v>
      </c>
      <c r="E171" s="1065">
        <v>0.126</v>
      </c>
      <c r="F171" s="1066">
        <v>0.11799999999999999</v>
      </c>
    </row>
    <row r="172" spans="1:6" ht="15" thickBot="1">
      <c r="A172" s="838" t="s">
        <v>526</v>
      </c>
      <c r="B172" s="832" t="s">
        <v>918</v>
      </c>
      <c r="C172" s="1065">
        <v>0.13</v>
      </c>
      <c r="D172" s="1065">
        <v>0.13</v>
      </c>
      <c r="E172" s="1065">
        <v>0.13</v>
      </c>
      <c r="F172" s="1077"/>
    </row>
    <row r="173" spans="1:6" ht="15" thickBot="1">
      <c r="A173" s="838" t="s">
        <v>526</v>
      </c>
      <c r="B173" s="832" t="s">
        <v>348</v>
      </c>
      <c r="C173" s="1065">
        <v>0.13</v>
      </c>
      <c r="D173" s="1065">
        <v>0.13</v>
      </c>
      <c r="E173" s="1065">
        <v>0.13</v>
      </c>
      <c r="F173" s="1077"/>
    </row>
    <row r="174" spans="1:6" ht="15" thickBot="1">
      <c r="A174" s="838" t="s">
        <v>526</v>
      </c>
      <c r="B174" s="832" t="s">
        <v>919</v>
      </c>
      <c r="C174" s="1065">
        <v>0.13</v>
      </c>
      <c r="D174" s="1065">
        <v>0.13</v>
      </c>
      <c r="E174" s="1065">
        <v>0.13</v>
      </c>
      <c r="F174" s="1066">
        <v>0.13</v>
      </c>
    </row>
    <row r="175" spans="1:6" ht="15" thickBot="1">
      <c r="A175" s="838" t="s">
        <v>526</v>
      </c>
      <c r="B175" s="832" t="s">
        <v>920</v>
      </c>
      <c r="C175" s="1065">
        <v>0.13</v>
      </c>
      <c r="D175" s="1065">
        <v>0.13</v>
      </c>
      <c r="E175" s="1065">
        <v>0.13</v>
      </c>
      <c r="F175" s="1066">
        <v>0.13</v>
      </c>
    </row>
    <row r="176" spans="1:6" ht="15" thickBot="1">
      <c r="A176" s="838" t="s">
        <v>526</v>
      </c>
      <c r="B176" s="832" t="s">
        <v>378</v>
      </c>
      <c r="C176" s="1065">
        <v>0.13</v>
      </c>
      <c r="D176" s="1065">
        <v>0.13</v>
      </c>
      <c r="E176" s="1065">
        <v>0.13</v>
      </c>
      <c r="F176" s="1066">
        <v>0.13</v>
      </c>
    </row>
    <row r="177" spans="1:6" ht="15" thickBot="1">
      <c r="A177" s="838" t="s">
        <v>526</v>
      </c>
      <c r="B177" s="832" t="s">
        <v>921</v>
      </c>
      <c r="C177" s="1065">
        <v>0.13</v>
      </c>
      <c r="D177" s="1065">
        <v>0.13</v>
      </c>
      <c r="E177" s="1065">
        <v>0.13</v>
      </c>
      <c r="F177" s="1066">
        <v>0.13</v>
      </c>
    </row>
    <row r="178" spans="1:6" ht="15" thickBot="1">
      <c r="A178" s="838" t="s">
        <v>526</v>
      </c>
      <c r="B178" s="832" t="s">
        <v>396</v>
      </c>
      <c r="C178" s="1065">
        <v>0.13</v>
      </c>
      <c r="D178" s="1065">
        <v>0.13</v>
      </c>
      <c r="E178" s="1065">
        <v>0.13</v>
      </c>
      <c r="F178" s="1066">
        <v>0.127</v>
      </c>
    </row>
    <row r="179" spans="1:6" ht="15" thickBot="1">
      <c r="A179" s="838" t="s">
        <v>526</v>
      </c>
      <c r="B179" s="832" t="s">
        <v>404</v>
      </c>
      <c r="C179" s="1065">
        <v>0.13</v>
      </c>
      <c r="D179" s="1065">
        <v>0.13</v>
      </c>
      <c r="E179" s="1065">
        <v>0.13</v>
      </c>
      <c r="F179" s="1077"/>
    </row>
    <row r="180" spans="1:6" ht="15" thickBot="1">
      <c r="A180" s="838" t="s">
        <v>526</v>
      </c>
      <c r="B180" s="832" t="s">
        <v>922</v>
      </c>
      <c r="C180" s="1065">
        <v>0.13</v>
      </c>
      <c r="D180" s="1065">
        <v>0.13</v>
      </c>
      <c r="E180" s="1065">
        <v>0.125</v>
      </c>
      <c r="F180" s="1066">
        <v>0.13</v>
      </c>
    </row>
    <row r="181" spans="1:6" ht="15" thickBot="1">
      <c r="A181" s="838" t="s">
        <v>526</v>
      </c>
      <c r="B181" s="832" t="s">
        <v>418</v>
      </c>
      <c r="C181" s="1065">
        <v>0.122</v>
      </c>
      <c r="D181" s="1065">
        <v>0.123</v>
      </c>
      <c r="E181" s="1065">
        <v>0.126</v>
      </c>
      <c r="F181" s="1066">
        <v>0.121</v>
      </c>
    </row>
    <row r="182" spans="1:6" ht="15" thickBot="1">
      <c r="A182" s="838" t="s">
        <v>526</v>
      </c>
      <c r="B182" s="832" t="s">
        <v>425</v>
      </c>
      <c r="C182" s="1065">
        <v>0.125</v>
      </c>
      <c r="D182" s="1065">
        <v>0.125</v>
      </c>
      <c r="E182" s="1065">
        <v>0.11700000000000001</v>
      </c>
      <c r="F182" s="1066">
        <v>0.13</v>
      </c>
    </row>
    <row r="183" spans="1:6" ht="15" thickBot="1">
      <c r="A183" s="838" t="s">
        <v>526</v>
      </c>
      <c r="B183" s="832" t="s">
        <v>432</v>
      </c>
      <c r="C183" s="1065">
        <v>0.127</v>
      </c>
      <c r="D183" s="1065">
        <v>0.127</v>
      </c>
      <c r="E183" s="1065">
        <v>0.128</v>
      </c>
      <c r="F183" s="1077"/>
    </row>
    <row r="184" spans="1:6" ht="15" thickBot="1">
      <c r="A184" s="838" t="s">
        <v>526</v>
      </c>
      <c r="B184" s="832" t="s">
        <v>439</v>
      </c>
      <c r="C184" s="1065">
        <v>0.125</v>
      </c>
      <c r="D184" s="1065">
        <v>0.125</v>
      </c>
      <c r="E184" s="1065">
        <v>0.127</v>
      </c>
      <c r="F184" s="1077"/>
    </row>
    <row r="185" spans="1:6" ht="15" thickBot="1">
      <c r="A185" s="838" t="s">
        <v>526</v>
      </c>
      <c r="B185" s="832" t="s">
        <v>923</v>
      </c>
      <c r="C185" s="1065">
        <v>0.127</v>
      </c>
      <c r="D185" s="1065">
        <v>0.127</v>
      </c>
      <c r="E185" s="1065">
        <v>0.128</v>
      </c>
      <c r="F185" s="1066">
        <v>0.13</v>
      </c>
    </row>
    <row r="186" spans="1:6" ht="24.6" thickBot="1">
      <c r="A186" s="838" t="s">
        <v>526</v>
      </c>
      <c r="B186" s="832" t="s">
        <v>924</v>
      </c>
      <c r="C186" s="1078"/>
      <c r="D186" s="1078"/>
      <c r="E186" s="1078"/>
      <c r="F186" s="1066">
        <v>0.05</v>
      </c>
    </row>
    <row r="187" spans="1:6" ht="15" thickBot="1">
      <c r="A187" s="838" t="s">
        <v>526</v>
      </c>
      <c r="B187" s="832" t="s">
        <v>925</v>
      </c>
      <c r="C187" s="1078"/>
      <c r="D187" s="1078"/>
      <c r="E187" s="1078"/>
      <c r="F187" s="1066">
        <v>0.05</v>
      </c>
    </row>
    <row r="188" spans="1:6" ht="24.6" thickBot="1">
      <c r="A188" s="838" t="s">
        <v>526</v>
      </c>
      <c r="B188" s="832" t="s">
        <v>926</v>
      </c>
      <c r="C188" s="1078"/>
      <c r="D188" s="1078"/>
      <c r="E188" s="1078"/>
      <c r="F188" s="1066">
        <v>0.05</v>
      </c>
    </row>
    <row r="189" spans="1:6" ht="24.6" thickBot="1">
      <c r="A189" s="838" t="s">
        <v>526</v>
      </c>
      <c r="B189" s="832" t="s">
        <v>927</v>
      </c>
      <c r="C189" s="1078"/>
      <c r="D189" s="1078"/>
      <c r="E189" s="1078"/>
      <c r="F189" s="1066">
        <v>0.05</v>
      </c>
    </row>
    <row r="190" spans="1:6" ht="24.6" thickBot="1">
      <c r="A190" s="838" t="s">
        <v>526</v>
      </c>
      <c r="B190" s="832" t="s">
        <v>928</v>
      </c>
      <c r="C190" s="1078"/>
      <c r="D190" s="1078"/>
      <c r="E190" s="1078"/>
      <c r="F190" s="1066">
        <v>0.05</v>
      </c>
    </row>
    <row r="191" spans="1:6" ht="24.6" thickBot="1">
      <c r="A191" s="838" t="s">
        <v>526</v>
      </c>
      <c r="B191" s="832" t="s">
        <v>929</v>
      </c>
      <c r="C191" s="1078"/>
      <c r="D191" s="1078"/>
      <c r="E191" s="1078"/>
      <c r="F191" s="1066">
        <v>0.05</v>
      </c>
    </row>
    <row r="192" spans="1:6" ht="24.6" thickBot="1">
      <c r="A192" s="838" t="s">
        <v>526</v>
      </c>
      <c r="B192" s="832" t="s">
        <v>930</v>
      </c>
      <c r="C192" s="1078"/>
      <c r="D192" s="1078"/>
      <c r="E192" s="1078"/>
      <c r="F192" s="1066">
        <v>0.05</v>
      </c>
    </row>
    <row r="193" spans="1:6" ht="24.6" thickBot="1">
      <c r="A193" s="838" t="s">
        <v>526</v>
      </c>
      <c r="B193" s="832" t="s">
        <v>931</v>
      </c>
      <c r="C193" s="1078"/>
      <c r="D193" s="1078"/>
      <c r="E193" s="1078"/>
      <c r="F193" s="1066">
        <v>0.05</v>
      </c>
    </row>
    <row r="194" spans="1:6" ht="24.6" thickBot="1">
      <c r="A194" s="838" t="s">
        <v>526</v>
      </c>
      <c r="B194" s="832" t="s">
        <v>932</v>
      </c>
      <c r="C194" s="1078"/>
      <c r="D194" s="1078"/>
      <c r="E194" s="1078"/>
      <c r="F194" s="1066">
        <v>0.05</v>
      </c>
    </row>
    <row r="195" spans="1:6" ht="15" thickBot="1">
      <c r="A195" s="838" t="s">
        <v>526</v>
      </c>
      <c r="B195" s="832" t="s">
        <v>933</v>
      </c>
      <c r="C195" s="1078"/>
      <c r="D195" s="1078"/>
      <c r="E195" s="1078"/>
      <c r="F195" s="1066">
        <v>0.05</v>
      </c>
    </row>
    <row r="196" spans="1:6" ht="24.6" thickBot="1">
      <c r="A196" s="838" t="s">
        <v>526</v>
      </c>
      <c r="B196" s="832" t="s">
        <v>934</v>
      </c>
      <c r="C196" s="1078"/>
      <c r="D196" s="1078"/>
      <c r="E196" s="1078"/>
      <c r="F196" s="1066">
        <v>0.05</v>
      </c>
    </row>
    <row r="197" spans="1:6" ht="24.6" thickBot="1">
      <c r="A197" s="838" t="s">
        <v>526</v>
      </c>
      <c r="B197" s="832" t="s">
        <v>935</v>
      </c>
      <c r="C197" s="1078"/>
      <c r="D197" s="1078"/>
      <c r="E197" s="1078"/>
      <c r="F197" s="1066">
        <v>0.05</v>
      </c>
    </row>
    <row r="198" spans="1:6" ht="24.6" thickBot="1">
      <c r="A198" s="838" t="s">
        <v>526</v>
      </c>
      <c r="B198" s="832" t="s">
        <v>936</v>
      </c>
      <c r="C198" s="1078"/>
      <c r="D198" s="1078"/>
      <c r="E198" s="1078"/>
      <c r="F198" s="1066">
        <v>0.05</v>
      </c>
    </row>
    <row r="199" spans="1:6" ht="24.6" thickBot="1">
      <c r="A199" s="838" t="s">
        <v>526</v>
      </c>
      <c r="B199" s="832" t="s">
        <v>937</v>
      </c>
      <c r="C199" s="1078"/>
      <c r="D199" s="1078"/>
      <c r="E199" s="1078"/>
      <c r="F199" s="1066">
        <v>0.05</v>
      </c>
    </row>
    <row r="200" spans="1:6" ht="24.6" thickBot="1">
      <c r="A200" s="838" t="s">
        <v>526</v>
      </c>
      <c r="B200" s="832" t="s">
        <v>938</v>
      </c>
      <c r="C200" s="1078"/>
      <c r="D200" s="1078"/>
      <c r="E200" s="1078"/>
      <c r="F200" s="1066">
        <v>0.05</v>
      </c>
    </row>
    <row r="201" spans="1:6" ht="24.6" thickBot="1">
      <c r="A201" s="838" t="s">
        <v>526</v>
      </c>
      <c r="B201" s="832" t="s">
        <v>939</v>
      </c>
      <c r="C201" s="1078"/>
      <c r="D201" s="1078"/>
      <c r="E201" s="1078"/>
      <c r="F201" s="1066">
        <v>0.05</v>
      </c>
    </row>
    <row r="202" spans="1:6" ht="24.6" thickBot="1">
      <c r="A202" s="838" t="s">
        <v>526</v>
      </c>
      <c r="B202" s="832" t="s">
        <v>940</v>
      </c>
      <c r="C202" s="1078"/>
      <c r="D202" s="1078"/>
      <c r="E202" s="1078"/>
      <c r="F202" s="1066">
        <v>0.05</v>
      </c>
    </row>
    <row r="203" spans="1:6" ht="24.6" thickBot="1">
      <c r="A203" s="838" t="s">
        <v>526</v>
      </c>
      <c r="B203" s="832" t="s">
        <v>941</v>
      </c>
      <c r="C203" s="1078"/>
      <c r="D203" s="1078"/>
      <c r="E203" s="1078"/>
      <c r="F203" s="1066">
        <v>0.05</v>
      </c>
    </row>
    <row r="204" spans="1:6" ht="15" thickBot="1">
      <c r="A204" s="838" t="s">
        <v>526</v>
      </c>
      <c r="B204" s="832" t="s">
        <v>942</v>
      </c>
      <c r="C204" s="1078"/>
      <c r="D204" s="1078"/>
      <c r="E204" s="1078"/>
      <c r="F204" s="1066">
        <v>0.05</v>
      </c>
    </row>
    <row r="205" spans="1:6" ht="15" thickBot="1">
      <c r="A205" s="848" t="s">
        <v>526</v>
      </c>
      <c r="B205" s="844" t="s">
        <v>943</v>
      </c>
      <c r="C205" s="1075"/>
      <c r="D205" s="1075"/>
      <c r="E205" s="1075"/>
      <c r="F205" s="1068">
        <v>0.05</v>
      </c>
    </row>
    <row r="206" spans="1:6" ht="15" thickBot="1">
      <c r="A206" s="838" t="s">
        <v>528</v>
      </c>
      <c r="B206" s="839" t="s">
        <v>944</v>
      </c>
      <c r="C206" s="1063">
        <v>0.15</v>
      </c>
      <c r="D206" s="1063">
        <v>0.15</v>
      </c>
      <c r="E206" s="1063">
        <v>0.15</v>
      </c>
      <c r="F206" s="1064">
        <v>0.15</v>
      </c>
    </row>
    <row r="207" spans="1:6" ht="15" thickBot="1">
      <c r="A207" s="838" t="s">
        <v>528</v>
      </c>
      <c r="B207" s="832" t="s">
        <v>194</v>
      </c>
      <c r="C207" s="1065">
        <v>0.15</v>
      </c>
      <c r="D207" s="1065">
        <v>0.15</v>
      </c>
      <c r="E207" s="1065">
        <v>0.15</v>
      </c>
      <c r="F207" s="1066">
        <v>0.14399999999999999</v>
      </c>
    </row>
    <row r="208" spans="1:6" ht="15" thickBot="1">
      <c r="A208" s="838" t="s">
        <v>528</v>
      </c>
      <c r="B208" s="832" t="s">
        <v>207</v>
      </c>
      <c r="C208" s="1065">
        <v>0.15</v>
      </c>
      <c r="D208" s="1065">
        <v>0.15</v>
      </c>
      <c r="E208" s="1065">
        <v>0.15</v>
      </c>
      <c r="F208" s="1066">
        <v>0.15</v>
      </c>
    </row>
    <row r="209" spans="1:6" ht="15" thickBot="1">
      <c r="A209" s="838" t="s">
        <v>528</v>
      </c>
      <c r="B209" s="832" t="s">
        <v>220</v>
      </c>
      <c r="C209" s="1065">
        <v>0.13700000000000001</v>
      </c>
      <c r="D209" s="1065">
        <v>0.13700000000000001</v>
      </c>
      <c r="E209" s="1065">
        <v>0.14000000000000001</v>
      </c>
      <c r="F209" s="1066">
        <v>0.11700000000000001</v>
      </c>
    </row>
    <row r="210" spans="1:6" ht="15" thickBot="1">
      <c r="A210" s="838" t="s">
        <v>528</v>
      </c>
      <c r="B210" s="832" t="s">
        <v>945</v>
      </c>
      <c r="C210" s="1065">
        <v>0.15</v>
      </c>
      <c r="D210" s="1065">
        <v>0.15</v>
      </c>
      <c r="E210" s="1065">
        <v>0.15</v>
      </c>
      <c r="F210" s="1066">
        <v>0.13800000000000001</v>
      </c>
    </row>
    <row r="211" spans="1:6" ht="15" thickBot="1">
      <c r="A211" s="838" t="s">
        <v>528</v>
      </c>
      <c r="B211" s="832" t="s">
        <v>946</v>
      </c>
      <c r="C211" s="1065">
        <v>0.13700000000000001</v>
      </c>
      <c r="D211" s="1065">
        <v>0.13500000000000001</v>
      </c>
      <c r="E211" s="1065">
        <v>0.13600000000000001</v>
      </c>
      <c r="F211" s="1066">
        <v>0.1</v>
      </c>
    </row>
    <row r="212" spans="1:6" ht="15" thickBot="1">
      <c r="A212" s="838" t="s">
        <v>528</v>
      </c>
      <c r="B212" s="832" t="s">
        <v>947</v>
      </c>
      <c r="C212" s="1065">
        <v>0.15</v>
      </c>
      <c r="D212" s="1065">
        <v>0.15</v>
      </c>
      <c r="E212" s="1065">
        <v>0.14799999999999999</v>
      </c>
      <c r="F212" s="1066">
        <v>0.13600000000000001</v>
      </c>
    </row>
    <row r="213" spans="1:6" ht="15" thickBot="1">
      <c r="A213" s="838" t="s">
        <v>528</v>
      </c>
      <c r="B213" s="832" t="s">
        <v>265</v>
      </c>
      <c r="C213" s="1065">
        <v>0.15</v>
      </c>
      <c r="D213" s="1065">
        <v>0.15</v>
      </c>
      <c r="E213" s="1065">
        <v>0.15</v>
      </c>
      <c r="F213" s="1066">
        <v>0.13800000000000001</v>
      </c>
    </row>
    <row r="214" spans="1:6" ht="15" thickBot="1">
      <c r="A214" s="838" t="s">
        <v>528</v>
      </c>
      <c r="B214" s="832" t="s">
        <v>277</v>
      </c>
      <c r="C214" s="1065">
        <v>9.0999999999999998E-2</v>
      </c>
      <c r="D214" s="1065">
        <v>0.09</v>
      </c>
      <c r="E214" s="1065">
        <v>9.1999999999999998E-2</v>
      </c>
      <c r="F214" s="1077"/>
    </row>
    <row r="215" spans="1:6" ht="15" thickBot="1">
      <c r="A215" s="838" t="s">
        <v>528</v>
      </c>
      <c r="B215" s="832" t="s">
        <v>948</v>
      </c>
      <c r="C215" s="1065">
        <v>0.15</v>
      </c>
      <c r="D215" s="1065">
        <v>0.15</v>
      </c>
      <c r="E215" s="1065">
        <v>0.15</v>
      </c>
      <c r="F215" s="1066">
        <v>0.15</v>
      </c>
    </row>
    <row r="216" spans="1:6" ht="15" thickBot="1">
      <c r="A216" s="838" t="s">
        <v>528</v>
      </c>
      <c r="B216" s="832" t="s">
        <v>297</v>
      </c>
      <c r="C216" s="1065">
        <v>0.14699999999999999</v>
      </c>
      <c r="D216" s="1065">
        <v>0.14699999999999999</v>
      </c>
      <c r="E216" s="1065">
        <v>0.15</v>
      </c>
      <c r="F216" s="1066">
        <v>0.14000000000000001</v>
      </c>
    </row>
    <row r="217" spans="1:6" ht="15" thickBot="1">
      <c r="A217" s="838" t="s">
        <v>528</v>
      </c>
      <c r="B217" s="832" t="s">
        <v>307</v>
      </c>
      <c r="C217" s="1065">
        <v>0.15</v>
      </c>
      <c r="D217" s="1065">
        <v>0.15</v>
      </c>
      <c r="E217" s="1065">
        <v>0.15</v>
      </c>
      <c r="F217" s="1066">
        <v>0.15</v>
      </c>
    </row>
    <row r="218" spans="1:6" ht="15" thickBot="1">
      <c r="A218" s="838" t="s">
        <v>528</v>
      </c>
      <c r="B218" s="832" t="s">
        <v>949</v>
      </c>
      <c r="C218" s="1065">
        <v>0.15</v>
      </c>
      <c r="D218" s="1065">
        <v>0.15</v>
      </c>
      <c r="E218" s="1065">
        <v>0.15</v>
      </c>
      <c r="F218" s="1066">
        <v>0.15</v>
      </c>
    </row>
    <row r="219" spans="1:6" ht="15" thickBot="1">
      <c r="A219" s="838" t="s">
        <v>528</v>
      </c>
      <c r="B219" s="832" t="s">
        <v>328</v>
      </c>
      <c r="C219" s="1065">
        <v>0.15</v>
      </c>
      <c r="D219" s="1065">
        <v>0.15</v>
      </c>
      <c r="E219" s="1065">
        <v>0.15</v>
      </c>
      <c r="F219" s="1066">
        <v>0.14799999999999999</v>
      </c>
    </row>
    <row r="220" spans="1:6" ht="15" thickBot="1">
      <c r="A220" s="838" t="s">
        <v>528</v>
      </c>
      <c r="B220" s="832" t="s">
        <v>950</v>
      </c>
      <c r="C220" s="1065">
        <v>0.15</v>
      </c>
      <c r="D220" s="1065">
        <v>0.15</v>
      </c>
      <c r="E220" s="1065">
        <v>0.15</v>
      </c>
      <c r="F220" s="1066">
        <v>0.15</v>
      </c>
    </row>
    <row r="221" spans="1:6" ht="15" thickBot="1">
      <c r="A221" s="838" t="s">
        <v>528</v>
      </c>
      <c r="B221" s="832" t="s">
        <v>349</v>
      </c>
      <c r="C221" s="1065"/>
      <c r="D221" s="1078"/>
      <c r="E221" s="1078"/>
      <c r="F221" s="1066">
        <v>0.14799999999999999</v>
      </c>
    </row>
    <row r="222" spans="1:6" ht="15" thickBot="1">
      <c r="A222" s="838" t="s">
        <v>528</v>
      </c>
      <c r="B222" s="832" t="s">
        <v>359</v>
      </c>
      <c r="C222" s="1065"/>
      <c r="D222" s="1078"/>
      <c r="E222" s="1078"/>
      <c r="F222" s="1066">
        <v>0.1</v>
      </c>
    </row>
    <row r="223" spans="1:6" ht="15" thickBot="1">
      <c r="A223" s="838" t="s">
        <v>528</v>
      </c>
      <c r="B223" s="832" t="s">
        <v>369</v>
      </c>
      <c r="C223" s="1065"/>
      <c r="D223" s="1078"/>
      <c r="E223" s="1078"/>
      <c r="F223" s="1066">
        <v>0.15</v>
      </c>
    </row>
    <row r="224" spans="1:6" ht="15" thickBot="1">
      <c r="A224" s="838" t="s">
        <v>528</v>
      </c>
      <c r="B224" s="832" t="s">
        <v>379</v>
      </c>
      <c r="C224" s="1065"/>
      <c r="D224" s="1078"/>
      <c r="E224" s="1078"/>
      <c r="F224" s="1066">
        <v>0.15</v>
      </c>
    </row>
    <row r="225" spans="1:6" ht="15" thickBot="1">
      <c r="A225" s="838" t="s">
        <v>528</v>
      </c>
      <c r="B225" s="832" t="s">
        <v>951</v>
      </c>
      <c r="C225" s="1065">
        <v>0.15</v>
      </c>
      <c r="D225" s="1065">
        <v>0.15</v>
      </c>
      <c r="E225" s="1065">
        <v>0.15</v>
      </c>
      <c r="F225" s="1066">
        <v>0.15</v>
      </c>
    </row>
    <row r="226" spans="1:6" ht="15" thickBot="1">
      <c r="A226" s="838" t="s">
        <v>528</v>
      </c>
      <c r="B226" s="832" t="s">
        <v>397</v>
      </c>
      <c r="C226" s="1065">
        <v>0.15</v>
      </c>
      <c r="D226" s="1065">
        <v>0.15</v>
      </c>
      <c r="E226" s="1065">
        <v>0.15</v>
      </c>
      <c r="F226" s="1066">
        <v>0.14799999999999999</v>
      </c>
    </row>
    <row r="227" spans="1:6" ht="15" thickBot="1">
      <c r="A227" s="838" t="s">
        <v>528</v>
      </c>
      <c r="B227" s="832" t="s">
        <v>952</v>
      </c>
      <c r="C227" s="1065">
        <v>0.15</v>
      </c>
      <c r="D227" s="1065">
        <v>0.15</v>
      </c>
      <c r="E227" s="1065">
        <v>0.15</v>
      </c>
      <c r="F227" s="1066">
        <v>0.15</v>
      </c>
    </row>
    <row r="228" spans="1:6" ht="15" thickBot="1">
      <c r="A228" s="838" t="s">
        <v>528</v>
      </c>
      <c r="B228" s="832" t="s">
        <v>412</v>
      </c>
      <c r="C228" s="1065">
        <v>0.15</v>
      </c>
      <c r="D228" s="1065">
        <v>0.15</v>
      </c>
      <c r="E228" s="1065">
        <v>0.15</v>
      </c>
      <c r="F228" s="1066">
        <v>0.15</v>
      </c>
    </row>
    <row r="229" spans="1:6" ht="15" thickBot="1">
      <c r="A229" s="838" t="s">
        <v>528</v>
      </c>
      <c r="B229" s="832" t="s">
        <v>419</v>
      </c>
      <c r="C229" s="1065">
        <v>0.15</v>
      </c>
      <c r="D229" s="1065">
        <v>0.15</v>
      </c>
      <c r="E229" s="1065">
        <v>0.15</v>
      </c>
      <c r="F229" s="1077"/>
    </row>
    <row r="230" spans="1:6" ht="15" thickBot="1">
      <c r="A230" s="838" t="s">
        <v>528</v>
      </c>
      <c r="B230" s="832" t="s">
        <v>426</v>
      </c>
      <c r="C230" s="1065">
        <v>0.14499999999999999</v>
      </c>
      <c r="D230" s="1065">
        <v>0.14499999999999999</v>
      </c>
      <c r="E230" s="1065">
        <v>0.14399999999999999</v>
      </c>
      <c r="F230" s="1077"/>
    </row>
    <row r="231" spans="1:6" ht="15" thickBot="1">
      <c r="A231" s="838" t="s">
        <v>528</v>
      </c>
      <c r="B231" s="832" t="s">
        <v>953</v>
      </c>
      <c r="C231" s="1065">
        <v>0.128</v>
      </c>
      <c r="D231" s="1065">
        <v>0.125</v>
      </c>
      <c r="E231" s="1065">
        <v>0.13200000000000001</v>
      </c>
      <c r="F231" s="1077"/>
    </row>
    <row r="232" spans="1:6" ht="15" thickBot="1">
      <c r="A232" s="838" t="s">
        <v>528</v>
      </c>
      <c r="B232" s="832" t="s">
        <v>954</v>
      </c>
      <c r="C232" s="1065">
        <v>0.14499999999999999</v>
      </c>
      <c r="D232" s="1065">
        <v>0.14399999999999999</v>
      </c>
      <c r="E232" s="1065">
        <v>0.14599999999999999</v>
      </c>
      <c r="F232" s="1066">
        <v>0.13800000000000001</v>
      </c>
    </row>
    <row r="233" spans="1:6" ht="15" thickBot="1">
      <c r="A233" s="838" t="s">
        <v>528</v>
      </c>
      <c r="B233" s="832" t="s">
        <v>955</v>
      </c>
      <c r="C233" s="1065">
        <v>0.14499999999999999</v>
      </c>
      <c r="D233" s="1065">
        <v>0.14299999999999999</v>
      </c>
      <c r="E233" s="1065">
        <v>0.14199999999999999</v>
      </c>
      <c r="F233" s="1077"/>
    </row>
    <row r="234" spans="1:6" ht="15" thickBot="1">
      <c r="A234" s="838" t="s">
        <v>528</v>
      </c>
      <c r="B234" s="832" t="s">
        <v>956</v>
      </c>
      <c r="C234" s="1065">
        <v>0.14000000000000001</v>
      </c>
      <c r="D234" s="1065">
        <v>0.14000000000000001</v>
      </c>
      <c r="E234" s="1065">
        <v>0.14399999999999999</v>
      </c>
      <c r="F234" s="1077"/>
    </row>
    <row r="235" spans="1:6" ht="15" thickBot="1">
      <c r="A235" s="838" t="s">
        <v>528</v>
      </c>
      <c r="B235" s="832" t="s">
        <v>957</v>
      </c>
      <c r="C235" s="1065">
        <v>0.14099999999999999</v>
      </c>
      <c r="D235" s="1065">
        <v>0.14199999999999999</v>
      </c>
      <c r="E235" s="1065">
        <v>0.14499999999999999</v>
      </c>
      <c r="F235" s="1066">
        <v>0.15</v>
      </c>
    </row>
    <row r="236" spans="1:6" ht="15" thickBot="1">
      <c r="A236" s="838" t="s">
        <v>528</v>
      </c>
      <c r="B236" s="832" t="s">
        <v>461</v>
      </c>
      <c r="C236" s="1078"/>
      <c r="D236" s="1078"/>
      <c r="E236" s="1078"/>
      <c r="F236" s="1066">
        <v>0.14299999999999999</v>
      </c>
    </row>
    <row r="237" spans="1:6" ht="24.6" thickBot="1">
      <c r="A237" s="838" t="s">
        <v>528</v>
      </c>
      <c r="B237" s="832" t="s">
        <v>958</v>
      </c>
      <c r="C237" s="1078"/>
      <c r="D237" s="1078"/>
      <c r="E237" s="1078"/>
      <c r="F237" s="1066">
        <v>0.05</v>
      </c>
    </row>
    <row r="238" spans="1:6" ht="24.6" thickBot="1">
      <c r="A238" s="838" t="s">
        <v>528</v>
      </c>
      <c r="B238" s="832" t="s">
        <v>959</v>
      </c>
      <c r="C238" s="1078"/>
      <c r="D238" s="1078"/>
      <c r="E238" s="1078"/>
      <c r="F238" s="1066">
        <v>0.05</v>
      </c>
    </row>
    <row r="239" spans="1:6" ht="24.6" thickBot="1">
      <c r="A239" s="838" t="s">
        <v>528</v>
      </c>
      <c r="B239" s="832" t="s">
        <v>960</v>
      </c>
      <c r="C239" s="1078"/>
      <c r="D239" s="1078"/>
      <c r="E239" s="1078"/>
      <c r="F239" s="1066">
        <v>0.05</v>
      </c>
    </row>
    <row r="240" spans="1:6" ht="24.6" thickBot="1">
      <c r="A240" s="838" t="s">
        <v>528</v>
      </c>
      <c r="B240" s="832" t="s">
        <v>961</v>
      </c>
      <c r="C240" s="1078"/>
      <c r="D240" s="1078"/>
      <c r="E240" s="1078"/>
      <c r="F240" s="1066">
        <v>0.05</v>
      </c>
    </row>
    <row r="241" spans="1:6" ht="24.6" thickBot="1">
      <c r="A241" s="838" t="s">
        <v>528</v>
      </c>
      <c r="B241" s="832" t="s">
        <v>962</v>
      </c>
      <c r="C241" s="1078"/>
      <c r="D241" s="1078"/>
      <c r="E241" s="1078"/>
      <c r="F241" s="1066">
        <v>0.05</v>
      </c>
    </row>
    <row r="242" spans="1:6" ht="24.6" thickBot="1">
      <c r="A242" s="838" t="s">
        <v>528</v>
      </c>
      <c r="B242" s="832" t="s">
        <v>963</v>
      </c>
      <c r="C242" s="1078"/>
      <c r="D242" s="1078"/>
      <c r="E242" s="1078"/>
      <c r="F242" s="1066">
        <v>0.05</v>
      </c>
    </row>
    <row r="243" spans="1:6" ht="24.6" thickBot="1">
      <c r="A243" s="838" t="s">
        <v>528</v>
      </c>
      <c r="B243" s="832" t="s">
        <v>964</v>
      </c>
      <c r="C243" s="1078"/>
      <c r="D243" s="1078"/>
      <c r="E243" s="1078"/>
      <c r="F243" s="1066">
        <v>0.05</v>
      </c>
    </row>
    <row r="244" spans="1:6" ht="24.6" thickBot="1">
      <c r="A244" s="848" t="s">
        <v>528</v>
      </c>
      <c r="B244" s="844" t="s">
        <v>965</v>
      </c>
      <c r="C244" s="1075"/>
      <c r="D244" s="1075"/>
      <c r="E244" s="1075"/>
      <c r="F244" s="1068">
        <v>0.05</v>
      </c>
    </row>
    <row r="245" spans="1:6" ht="15" thickBot="1">
      <c r="A245" s="838" t="s">
        <v>530</v>
      </c>
      <c r="B245" s="839" t="s">
        <v>966</v>
      </c>
      <c r="C245" s="1063">
        <v>0.15</v>
      </c>
      <c r="D245" s="1063">
        <v>0.15</v>
      </c>
      <c r="E245" s="1063">
        <v>0.15</v>
      </c>
      <c r="F245" s="1064">
        <v>0.14299999999999999</v>
      </c>
    </row>
    <row r="246" spans="1:6" ht="15" thickBot="1">
      <c r="A246" s="838" t="s">
        <v>530</v>
      </c>
      <c r="B246" s="832" t="s">
        <v>195</v>
      </c>
      <c r="C246" s="1065">
        <v>0.15</v>
      </c>
      <c r="D246" s="1065">
        <v>0.15</v>
      </c>
      <c r="E246" s="1065">
        <v>0.15</v>
      </c>
      <c r="F246" s="1066">
        <v>0.114</v>
      </c>
    </row>
    <row r="247" spans="1:6" ht="15" thickBot="1">
      <c r="A247" s="838" t="s">
        <v>530</v>
      </c>
      <c r="B247" s="832" t="s">
        <v>967</v>
      </c>
      <c r="C247" s="1065">
        <v>0.15</v>
      </c>
      <c r="D247" s="1065">
        <v>0.15</v>
      </c>
      <c r="E247" s="1065">
        <v>0.15</v>
      </c>
      <c r="F247" s="1066">
        <v>0.15</v>
      </c>
    </row>
    <row r="248" spans="1:6" ht="15" thickBot="1">
      <c r="A248" s="838" t="s">
        <v>530</v>
      </c>
      <c r="B248" s="832" t="s">
        <v>968</v>
      </c>
      <c r="C248" s="1065">
        <v>0.15</v>
      </c>
      <c r="D248" s="1065">
        <v>0.15</v>
      </c>
      <c r="E248" s="1065">
        <v>0.15</v>
      </c>
      <c r="F248" s="1066">
        <v>0.14000000000000001</v>
      </c>
    </row>
    <row r="249" spans="1:6" ht="15" thickBot="1">
      <c r="A249" s="838" t="s">
        <v>530</v>
      </c>
      <c r="B249" s="832" t="s">
        <v>969</v>
      </c>
      <c r="C249" s="1065">
        <v>0.15</v>
      </c>
      <c r="D249" s="1065">
        <v>0.14899999999999999</v>
      </c>
      <c r="E249" s="1065">
        <v>0.15</v>
      </c>
      <c r="F249" s="1066">
        <v>0.1</v>
      </c>
    </row>
    <row r="250" spans="1:6" ht="15" thickBot="1">
      <c r="A250" s="838" t="s">
        <v>530</v>
      </c>
      <c r="B250" s="832" t="s">
        <v>970</v>
      </c>
      <c r="C250" s="1065">
        <v>0.15</v>
      </c>
      <c r="D250" s="1065">
        <v>0.15</v>
      </c>
      <c r="E250" s="1065">
        <v>0.15</v>
      </c>
      <c r="F250" s="1066">
        <v>0.14399999999999999</v>
      </c>
    </row>
    <row r="251" spans="1:6" ht="15" thickBot="1">
      <c r="A251" s="838" t="s">
        <v>530</v>
      </c>
      <c r="B251" s="832" t="s">
        <v>255</v>
      </c>
      <c r="C251" s="1065">
        <v>0.15</v>
      </c>
      <c r="D251" s="1065">
        <v>0.15</v>
      </c>
      <c r="E251" s="1065">
        <v>0.15</v>
      </c>
      <c r="F251" s="1066">
        <v>0.14299999999999999</v>
      </c>
    </row>
    <row r="252" spans="1:6" ht="15" thickBot="1">
      <c r="A252" s="838" t="s">
        <v>530</v>
      </c>
      <c r="B252" s="832" t="s">
        <v>266</v>
      </c>
      <c r="C252" s="1065">
        <v>0.15</v>
      </c>
      <c r="D252" s="1065">
        <v>0.15</v>
      </c>
      <c r="E252" s="1065">
        <v>0.15</v>
      </c>
      <c r="F252" s="1066">
        <v>0.1</v>
      </c>
    </row>
    <row r="253" spans="1:6" ht="15" thickBot="1">
      <c r="A253" s="838" t="s">
        <v>530</v>
      </c>
      <c r="B253" s="832" t="s">
        <v>278</v>
      </c>
      <c r="C253" s="1065">
        <v>0.15</v>
      </c>
      <c r="D253" s="1065">
        <v>0.15</v>
      </c>
      <c r="E253" s="1065">
        <v>0.15</v>
      </c>
      <c r="F253" s="1066">
        <v>0.1</v>
      </c>
    </row>
    <row r="254" spans="1:6" ht="15" thickBot="1">
      <c r="A254" s="838" t="s">
        <v>530</v>
      </c>
      <c r="B254" s="832" t="s">
        <v>288</v>
      </c>
      <c r="C254" s="1078"/>
      <c r="D254" s="1078"/>
      <c r="E254" s="1078"/>
      <c r="F254" s="1066">
        <v>0.15</v>
      </c>
    </row>
    <row r="255" spans="1:6" ht="15" thickBot="1">
      <c r="A255" s="838" t="s">
        <v>530</v>
      </c>
      <c r="B255" s="832" t="s">
        <v>298</v>
      </c>
      <c r="C255" s="1078"/>
      <c r="D255" s="1078"/>
      <c r="E255" s="1078"/>
      <c r="F255" s="1066">
        <v>0.14299999999999999</v>
      </c>
    </row>
    <row r="256" spans="1:6" ht="15" thickBot="1">
      <c r="A256" s="838" t="s">
        <v>530</v>
      </c>
      <c r="B256" s="832" t="s">
        <v>971</v>
      </c>
      <c r="C256" s="1065">
        <v>0.14599999999999999</v>
      </c>
      <c r="D256" s="1065">
        <v>0.14699999999999999</v>
      </c>
      <c r="E256" s="1065">
        <v>0.15</v>
      </c>
      <c r="F256" s="1066">
        <v>0.13200000000000001</v>
      </c>
    </row>
    <row r="257" spans="1:6" ht="15" thickBot="1">
      <c r="A257" s="838" t="s">
        <v>530</v>
      </c>
      <c r="B257" s="832" t="s">
        <v>318</v>
      </c>
      <c r="C257" s="1065">
        <v>0.15</v>
      </c>
      <c r="D257" s="1065">
        <v>0.15</v>
      </c>
      <c r="E257" s="1065">
        <v>0.15</v>
      </c>
      <c r="F257" s="1066">
        <v>0.13900000000000001</v>
      </c>
    </row>
    <row r="258" spans="1:6" ht="15" thickBot="1">
      <c r="A258" s="838" t="s">
        <v>530</v>
      </c>
      <c r="B258" s="832" t="s">
        <v>329</v>
      </c>
      <c r="C258" s="1065">
        <v>0.15</v>
      </c>
      <c r="D258" s="1065">
        <v>0.15</v>
      </c>
      <c r="E258" s="1065">
        <v>0.15</v>
      </c>
      <c r="F258" s="1066">
        <v>0.13</v>
      </c>
    </row>
    <row r="259" spans="1:6" ht="15" thickBot="1">
      <c r="A259" s="838" t="s">
        <v>530</v>
      </c>
      <c r="B259" s="832" t="s">
        <v>972</v>
      </c>
      <c r="C259" s="1065">
        <v>0.14799999999999999</v>
      </c>
      <c r="D259" s="1065">
        <v>0.14899999999999999</v>
      </c>
      <c r="E259" s="1065">
        <v>0.15</v>
      </c>
      <c r="F259" s="1066">
        <v>0.13700000000000001</v>
      </c>
    </row>
    <row r="260" spans="1:6" ht="15" thickBot="1">
      <c r="A260" s="838" t="s">
        <v>530</v>
      </c>
      <c r="B260" s="832" t="s">
        <v>350</v>
      </c>
      <c r="C260" s="1065">
        <v>0.15</v>
      </c>
      <c r="D260" s="1065">
        <v>0.15</v>
      </c>
      <c r="E260" s="1065">
        <v>0.15</v>
      </c>
      <c r="F260" s="1066">
        <v>0.14199999999999999</v>
      </c>
    </row>
    <row r="261" spans="1:6" ht="15" thickBot="1">
      <c r="A261" s="838" t="s">
        <v>530</v>
      </c>
      <c r="B261" s="832" t="s">
        <v>360</v>
      </c>
      <c r="C261" s="1065">
        <v>0.15</v>
      </c>
      <c r="D261" s="1065">
        <v>0.15</v>
      </c>
      <c r="E261" s="1065">
        <v>0.14899999999999999</v>
      </c>
      <c r="F261" s="1066">
        <v>0.14799999999999999</v>
      </c>
    </row>
    <row r="262" spans="1:6" ht="15" thickBot="1">
      <c r="A262" s="838" t="s">
        <v>530</v>
      </c>
      <c r="B262" s="832" t="s">
        <v>370</v>
      </c>
      <c r="C262" s="1065">
        <v>0.15</v>
      </c>
      <c r="D262" s="1065">
        <v>0.15</v>
      </c>
      <c r="E262" s="1065">
        <v>0.15</v>
      </c>
      <c r="F262" s="1077"/>
    </row>
    <row r="263" spans="1:6" ht="15" thickBot="1">
      <c r="A263" s="838" t="s">
        <v>530</v>
      </c>
      <c r="B263" s="832" t="s">
        <v>973</v>
      </c>
      <c r="C263" s="1065">
        <v>0.14899999999999999</v>
      </c>
      <c r="D263" s="1065">
        <v>0.14899999999999999</v>
      </c>
      <c r="E263" s="1065">
        <v>0.15</v>
      </c>
      <c r="F263" s="1066">
        <v>0.13</v>
      </c>
    </row>
    <row r="264" spans="1:6" ht="15" thickBot="1">
      <c r="A264" s="838" t="s">
        <v>530</v>
      </c>
      <c r="B264" s="832" t="s">
        <v>389</v>
      </c>
      <c r="C264" s="1065">
        <v>0.14799999999999999</v>
      </c>
      <c r="D264" s="1065">
        <v>0.14699999999999999</v>
      </c>
      <c r="E264" s="1065">
        <v>0.15</v>
      </c>
      <c r="F264" s="1066">
        <v>7.8E-2</v>
      </c>
    </row>
    <row r="265" spans="1:6" ht="15" thickBot="1">
      <c r="A265" s="838" t="s">
        <v>530</v>
      </c>
      <c r="B265" s="832" t="s">
        <v>398</v>
      </c>
      <c r="C265" s="1065">
        <v>0.15</v>
      </c>
      <c r="D265" s="1065">
        <v>0.15</v>
      </c>
      <c r="E265" s="1065">
        <v>0.15</v>
      </c>
      <c r="F265" s="1066">
        <v>7.3999999999999996E-2</v>
      </c>
    </row>
    <row r="266" spans="1:6" ht="15" thickBot="1">
      <c r="A266" s="838" t="s">
        <v>530</v>
      </c>
      <c r="B266" s="832" t="s">
        <v>406</v>
      </c>
      <c r="C266" s="1065">
        <v>0.14699999999999999</v>
      </c>
      <c r="D266" s="1065">
        <v>0.14699999999999999</v>
      </c>
      <c r="E266" s="1065">
        <v>0.15</v>
      </c>
      <c r="F266" s="1066">
        <v>0.14299999999999999</v>
      </c>
    </row>
    <row r="267" spans="1:6" ht="15" thickBot="1">
      <c r="A267" s="838" t="s">
        <v>530</v>
      </c>
      <c r="B267" s="832" t="s">
        <v>413</v>
      </c>
      <c r="C267" s="1065">
        <v>0.14199999999999999</v>
      </c>
      <c r="D267" s="1065">
        <v>0.14299999999999999</v>
      </c>
      <c r="E267" s="1065">
        <v>0.15</v>
      </c>
      <c r="F267" s="1077"/>
    </row>
    <row r="268" spans="1:6" ht="15" thickBot="1">
      <c r="A268" s="838" t="s">
        <v>530</v>
      </c>
      <c r="B268" s="832" t="s">
        <v>974</v>
      </c>
      <c r="C268" s="1065">
        <v>0.15</v>
      </c>
      <c r="D268" s="1065">
        <v>0.15</v>
      </c>
      <c r="E268" s="1065">
        <v>0.15</v>
      </c>
      <c r="F268" s="1066">
        <v>0.13</v>
      </c>
    </row>
    <row r="269" spans="1:6" ht="15" thickBot="1">
      <c r="A269" s="838" t="s">
        <v>530</v>
      </c>
      <c r="B269" s="832" t="s">
        <v>427</v>
      </c>
      <c r="C269" s="1065">
        <v>0.15</v>
      </c>
      <c r="D269" s="1065">
        <v>0.15</v>
      </c>
      <c r="E269" s="1065">
        <v>0.15</v>
      </c>
      <c r="F269" s="1066">
        <v>0.14299999999999999</v>
      </c>
    </row>
    <row r="270" spans="1:6" ht="15" thickBot="1">
      <c r="A270" s="838" t="s">
        <v>530</v>
      </c>
      <c r="B270" s="832" t="s">
        <v>434</v>
      </c>
      <c r="C270" s="1065">
        <v>0.14499999999999999</v>
      </c>
      <c r="D270" s="1065">
        <v>0.14499999999999999</v>
      </c>
      <c r="E270" s="1065">
        <v>0.15</v>
      </c>
      <c r="F270" s="1066">
        <v>0.14699999999999999</v>
      </c>
    </row>
    <row r="271" spans="1:6" ht="15" thickBot="1">
      <c r="A271" s="838" t="s">
        <v>530</v>
      </c>
      <c r="B271" s="832" t="s">
        <v>441</v>
      </c>
      <c r="C271" s="1065">
        <v>0.15</v>
      </c>
      <c r="D271" s="1065">
        <v>0.15</v>
      </c>
      <c r="E271" s="1065">
        <v>0.15</v>
      </c>
      <c r="F271" s="1066">
        <v>0.13800000000000001</v>
      </c>
    </row>
    <row r="272" spans="1:6" ht="15" thickBot="1">
      <c r="A272" s="838" t="s">
        <v>530</v>
      </c>
      <c r="B272" s="832" t="s">
        <v>448</v>
      </c>
      <c r="C272" s="1078"/>
      <c r="D272" s="1078"/>
      <c r="E272" s="1078"/>
      <c r="F272" s="1066">
        <v>0.14000000000000001</v>
      </c>
    </row>
    <row r="273" spans="1:6" ht="15" thickBot="1">
      <c r="A273" s="838" t="s">
        <v>530</v>
      </c>
      <c r="B273" s="832" t="s">
        <v>975</v>
      </c>
      <c r="C273" s="1065">
        <v>0.14199999999999999</v>
      </c>
      <c r="D273" s="1065">
        <v>0.14299999999999999</v>
      </c>
      <c r="E273" s="1065">
        <v>0.15</v>
      </c>
      <c r="F273" s="1066">
        <v>0.1</v>
      </c>
    </row>
    <row r="274" spans="1:6" ht="15" thickBot="1">
      <c r="A274" s="838" t="s">
        <v>530</v>
      </c>
      <c r="B274" s="832" t="s">
        <v>976</v>
      </c>
      <c r="C274" s="1065">
        <v>0.14799999999999999</v>
      </c>
      <c r="D274" s="1065">
        <v>0.14799999999999999</v>
      </c>
      <c r="E274" s="1065">
        <v>0.15</v>
      </c>
      <c r="F274" s="1066">
        <v>6.7000000000000004E-2</v>
      </c>
    </row>
    <row r="275" spans="1:6" ht="15" thickBot="1">
      <c r="A275" s="838" t="s">
        <v>530</v>
      </c>
      <c r="B275" s="832" t="s">
        <v>977</v>
      </c>
      <c r="C275" s="1065">
        <v>0.15</v>
      </c>
      <c r="D275" s="1065">
        <v>0.15</v>
      </c>
      <c r="E275" s="1065">
        <v>0.15</v>
      </c>
      <c r="F275" s="1066">
        <v>0.15</v>
      </c>
    </row>
    <row r="276" spans="1:6" ht="15" thickBot="1">
      <c r="A276" s="838" t="s">
        <v>530</v>
      </c>
      <c r="B276" s="832" t="s">
        <v>978</v>
      </c>
      <c r="C276" s="1065">
        <v>0.14499999999999999</v>
      </c>
      <c r="D276" s="1065">
        <v>0.14299999999999999</v>
      </c>
      <c r="E276" s="1065">
        <v>0.15</v>
      </c>
      <c r="F276" s="1066">
        <v>5.8999999999999997E-2</v>
      </c>
    </row>
    <row r="277" spans="1:6" ht="15" thickBot="1">
      <c r="A277" s="838" t="s">
        <v>530</v>
      </c>
      <c r="B277" s="832" t="s">
        <v>979</v>
      </c>
      <c r="C277" s="1065">
        <v>0.15</v>
      </c>
      <c r="D277" s="1065">
        <v>0.15</v>
      </c>
      <c r="E277" s="1065">
        <v>0.15</v>
      </c>
      <c r="F277" s="1066">
        <v>0.121</v>
      </c>
    </row>
    <row r="278" spans="1:6" ht="15" thickBot="1">
      <c r="A278" s="838" t="s">
        <v>530</v>
      </c>
      <c r="B278" s="832" t="s">
        <v>980</v>
      </c>
      <c r="C278" s="1065">
        <v>0.15</v>
      </c>
      <c r="D278" s="1065">
        <v>0.15</v>
      </c>
      <c r="E278" s="1065">
        <v>0.15</v>
      </c>
      <c r="F278" s="1066">
        <v>0.13800000000000001</v>
      </c>
    </row>
    <row r="279" spans="1:6" ht="24.6" thickBot="1">
      <c r="A279" s="838" t="s">
        <v>530</v>
      </c>
      <c r="B279" s="832" t="s">
        <v>981</v>
      </c>
      <c r="C279" s="1078"/>
      <c r="D279" s="1078"/>
      <c r="E279" s="1078"/>
      <c r="F279" s="1066">
        <v>0.05</v>
      </c>
    </row>
    <row r="280" spans="1:6" ht="24.6" thickBot="1">
      <c r="A280" s="838" t="s">
        <v>530</v>
      </c>
      <c r="B280" s="832" t="s">
        <v>982</v>
      </c>
      <c r="C280" s="1078"/>
      <c r="D280" s="1078"/>
      <c r="E280" s="1078"/>
      <c r="F280" s="1066">
        <v>0.05</v>
      </c>
    </row>
    <row r="281" spans="1:6" ht="24.6" thickBot="1">
      <c r="A281" s="838" t="s">
        <v>530</v>
      </c>
      <c r="B281" s="832" t="s">
        <v>983</v>
      </c>
      <c r="C281" s="1078"/>
      <c r="D281" s="1078"/>
      <c r="E281" s="1078"/>
      <c r="F281" s="1066">
        <v>0.05</v>
      </c>
    </row>
    <row r="282" spans="1:6" ht="24.6" thickBot="1">
      <c r="A282" s="838" t="s">
        <v>530</v>
      </c>
      <c r="B282" s="832" t="s">
        <v>984</v>
      </c>
      <c r="C282" s="1078"/>
      <c r="D282" s="1078"/>
      <c r="E282" s="1078"/>
      <c r="F282" s="1066">
        <v>0.05</v>
      </c>
    </row>
    <row r="283" spans="1:6" ht="24.6" thickBot="1">
      <c r="A283" s="838" t="s">
        <v>530</v>
      </c>
      <c r="B283" s="832" t="s">
        <v>985</v>
      </c>
      <c r="C283" s="1078"/>
      <c r="D283" s="1078"/>
      <c r="E283" s="1078"/>
      <c r="F283" s="1066">
        <v>0.05</v>
      </c>
    </row>
    <row r="284" spans="1:6" ht="24.6" thickBot="1">
      <c r="A284" s="838" t="s">
        <v>530</v>
      </c>
      <c r="B284" s="832" t="s">
        <v>986</v>
      </c>
      <c r="C284" s="1078"/>
      <c r="D284" s="1078"/>
      <c r="E284" s="1078"/>
      <c r="F284" s="1066">
        <v>0.05</v>
      </c>
    </row>
    <row r="285" spans="1:6" ht="24.6" thickBot="1">
      <c r="A285" s="838" t="s">
        <v>530</v>
      </c>
      <c r="B285" s="832" t="s">
        <v>987</v>
      </c>
      <c r="C285" s="1078"/>
      <c r="D285" s="1078"/>
      <c r="E285" s="1078"/>
      <c r="F285" s="1066">
        <v>0.05</v>
      </c>
    </row>
    <row r="286" spans="1:6" ht="24.6" thickBot="1">
      <c r="A286" s="838" t="s">
        <v>530</v>
      </c>
      <c r="B286" s="832" t="s">
        <v>988</v>
      </c>
      <c r="C286" s="1078"/>
      <c r="D286" s="1078"/>
      <c r="E286" s="1078"/>
      <c r="F286" s="1066">
        <v>0.05</v>
      </c>
    </row>
    <row r="287" spans="1:6" ht="24.6" thickBot="1">
      <c r="A287" s="838" t="s">
        <v>530</v>
      </c>
      <c r="B287" s="832" t="s">
        <v>989</v>
      </c>
      <c r="C287" s="1078"/>
      <c r="D287" s="1078"/>
      <c r="E287" s="1078"/>
      <c r="F287" s="1066">
        <v>0.05</v>
      </c>
    </row>
    <row r="288" spans="1:6" ht="24.6" thickBot="1">
      <c r="A288" s="838" t="s">
        <v>530</v>
      </c>
      <c r="B288" s="832" t="s">
        <v>990</v>
      </c>
      <c r="C288" s="1078"/>
      <c r="D288" s="1078"/>
      <c r="E288" s="1078"/>
      <c r="F288" s="1066">
        <v>0.05</v>
      </c>
    </row>
    <row r="289" spans="1:6" ht="24.6" thickBot="1">
      <c r="A289" s="848" t="s">
        <v>530</v>
      </c>
      <c r="B289" s="844" t="s">
        <v>991</v>
      </c>
      <c r="C289" s="1075"/>
      <c r="D289" s="1075"/>
      <c r="E289" s="1075"/>
      <c r="F289" s="1068">
        <v>0.05</v>
      </c>
    </row>
    <row r="290" spans="1:6" ht="15" thickBot="1">
      <c r="A290" s="838" t="s">
        <v>534</v>
      </c>
      <c r="B290" s="839" t="s">
        <v>992</v>
      </c>
      <c r="C290" s="1063">
        <v>0.15</v>
      </c>
      <c r="D290" s="1063">
        <v>0.15</v>
      </c>
      <c r="E290" s="1063">
        <v>0.15</v>
      </c>
      <c r="F290" s="1080"/>
    </row>
    <row r="291" spans="1:6" ht="15" thickBot="1">
      <c r="A291" s="838" t="s">
        <v>534</v>
      </c>
      <c r="B291" s="832" t="s">
        <v>196</v>
      </c>
      <c r="C291" s="1065">
        <v>0.15</v>
      </c>
      <c r="D291" s="1065">
        <v>0.15</v>
      </c>
      <c r="E291" s="1065">
        <v>0.15</v>
      </c>
      <c r="F291" s="1077"/>
    </row>
    <row r="292" spans="1:6" ht="15" thickBot="1">
      <c r="A292" s="838" t="s">
        <v>534</v>
      </c>
      <c r="B292" s="832" t="s">
        <v>993</v>
      </c>
      <c r="C292" s="1065">
        <v>0.15</v>
      </c>
      <c r="D292" s="1065">
        <v>0.15</v>
      </c>
      <c r="E292" s="1065">
        <v>0.15</v>
      </c>
      <c r="F292" s="1066">
        <v>0.14699999999999999</v>
      </c>
    </row>
    <row r="293" spans="1:6" ht="15" thickBot="1">
      <c r="A293" s="838" t="s">
        <v>534</v>
      </c>
      <c r="B293" s="832" t="s">
        <v>994</v>
      </c>
      <c r="C293" s="1078"/>
      <c r="D293" s="1078"/>
      <c r="E293" s="1078"/>
      <c r="F293" s="1066">
        <v>0.1</v>
      </c>
    </row>
    <row r="294" spans="1:6" ht="15" thickBot="1">
      <c r="A294" s="838" t="s">
        <v>534</v>
      </c>
      <c r="B294" s="832" t="s">
        <v>995</v>
      </c>
      <c r="C294" s="1065">
        <v>0.15</v>
      </c>
      <c r="D294" s="1065">
        <v>0.15</v>
      </c>
      <c r="E294" s="1065">
        <v>0.15</v>
      </c>
      <c r="F294" s="1066">
        <v>0.15</v>
      </c>
    </row>
    <row r="295" spans="1:6" ht="15" thickBot="1">
      <c r="A295" s="838" t="s">
        <v>534</v>
      </c>
      <c r="B295" s="832" t="s">
        <v>234</v>
      </c>
      <c r="C295" s="1065">
        <v>0.15</v>
      </c>
      <c r="D295" s="1065">
        <v>0.15</v>
      </c>
      <c r="E295" s="1065">
        <v>0.15</v>
      </c>
      <c r="F295" s="1066">
        <v>0.15</v>
      </c>
    </row>
    <row r="296" spans="1:6" ht="15" thickBot="1">
      <c r="A296" s="838" t="s">
        <v>534</v>
      </c>
      <c r="B296" s="832" t="s">
        <v>996</v>
      </c>
      <c r="C296" s="1065">
        <v>0.15</v>
      </c>
      <c r="D296" s="1065">
        <v>0.15</v>
      </c>
      <c r="E296" s="1065">
        <v>0.15</v>
      </c>
      <c r="F296" s="1066">
        <v>0.15</v>
      </c>
    </row>
    <row r="297" spans="1:6" ht="15" thickBot="1">
      <c r="A297" s="838" t="s">
        <v>534</v>
      </c>
      <c r="B297" s="832" t="s">
        <v>997</v>
      </c>
      <c r="C297" s="1065">
        <v>0.14799999999999999</v>
      </c>
      <c r="D297" s="1065">
        <v>0.14899999999999999</v>
      </c>
      <c r="E297" s="1065">
        <v>0.15</v>
      </c>
      <c r="F297" s="1066">
        <v>0.13700000000000001</v>
      </c>
    </row>
    <row r="298" spans="1:6" ht="15" thickBot="1">
      <c r="A298" s="838" t="s">
        <v>534</v>
      </c>
      <c r="B298" s="832" t="s">
        <v>267</v>
      </c>
      <c r="C298" s="1065">
        <v>0.13400000000000001</v>
      </c>
      <c r="D298" s="1065">
        <v>0.13400000000000001</v>
      </c>
      <c r="E298" s="1065">
        <v>0.14499999999999999</v>
      </c>
      <c r="F298" s="1066">
        <v>0.14799999999999999</v>
      </c>
    </row>
    <row r="299" spans="1:6" ht="15" thickBot="1">
      <c r="A299" s="838" t="s">
        <v>534</v>
      </c>
      <c r="B299" s="832" t="s">
        <v>279</v>
      </c>
      <c r="C299" s="1065">
        <v>0.15</v>
      </c>
      <c r="D299" s="1065">
        <v>0.15</v>
      </c>
      <c r="E299" s="1065">
        <v>0.15</v>
      </c>
      <c r="F299" s="1077"/>
    </row>
    <row r="300" spans="1:6" ht="15" thickBot="1">
      <c r="A300" s="838" t="s">
        <v>534</v>
      </c>
      <c r="B300" s="832" t="s">
        <v>998</v>
      </c>
      <c r="C300" s="1065">
        <v>0.15</v>
      </c>
      <c r="D300" s="1065">
        <v>0.15</v>
      </c>
      <c r="E300" s="1065">
        <v>0.15</v>
      </c>
      <c r="F300" s="1066">
        <v>0.15</v>
      </c>
    </row>
    <row r="301" spans="1:6" ht="15" thickBot="1">
      <c r="A301" s="838" t="s">
        <v>534</v>
      </c>
      <c r="B301" s="832" t="s">
        <v>299</v>
      </c>
      <c r="C301" s="1065">
        <v>0.15</v>
      </c>
      <c r="D301" s="1065">
        <v>0.15</v>
      </c>
      <c r="E301" s="1065">
        <v>0.15</v>
      </c>
      <c r="F301" s="1077"/>
    </row>
    <row r="302" spans="1:6" ht="15" thickBot="1">
      <c r="A302" s="838" t="s">
        <v>534</v>
      </c>
      <c r="B302" s="832" t="s">
        <v>999</v>
      </c>
      <c r="C302" s="1065">
        <v>0.15</v>
      </c>
      <c r="D302" s="1065">
        <v>0.15</v>
      </c>
      <c r="E302" s="1065">
        <v>0.15</v>
      </c>
      <c r="F302" s="1066">
        <v>0.15</v>
      </c>
    </row>
    <row r="303" spans="1:6" ht="15" thickBot="1">
      <c r="A303" s="838" t="s">
        <v>534</v>
      </c>
      <c r="B303" s="832" t="s">
        <v>319</v>
      </c>
      <c r="C303" s="1065">
        <v>0.15</v>
      </c>
      <c r="D303" s="1065">
        <v>0.15</v>
      </c>
      <c r="E303" s="1065">
        <v>0.15</v>
      </c>
      <c r="F303" s="1066">
        <v>0.15</v>
      </c>
    </row>
    <row r="304" spans="1:6" ht="15" thickBot="1">
      <c r="A304" s="838" t="s">
        <v>534</v>
      </c>
      <c r="B304" s="832" t="s">
        <v>330</v>
      </c>
      <c r="C304" s="1065">
        <v>0.15</v>
      </c>
      <c r="D304" s="1065">
        <v>0.15</v>
      </c>
      <c r="E304" s="1065">
        <v>0.15</v>
      </c>
      <c r="F304" s="1077"/>
    </row>
    <row r="305" spans="1:6" ht="15" thickBot="1">
      <c r="A305" s="838" t="s">
        <v>534</v>
      </c>
      <c r="B305" s="832" t="s">
        <v>1000</v>
      </c>
      <c r="C305" s="1065">
        <v>0.15</v>
      </c>
      <c r="D305" s="1065">
        <v>0.15</v>
      </c>
      <c r="E305" s="1065">
        <v>0.15</v>
      </c>
      <c r="F305" s="1066">
        <v>0.14000000000000001</v>
      </c>
    </row>
    <row r="306" spans="1:6" ht="15" thickBot="1">
      <c r="A306" s="838" t="s">
        <v>534</v>
      </c>
      <c r="B306" s="832" t="s">
        <v>351</v>
      </c>
      <c r="C306" s="1065">
        <v>0.15</v>
      </c>
      <c r="D306" s="1065">
        <v>0.15</v>
      </c>
      <c r="E306" s="1065">
        <v>0.15</v>
      </c>
      <c r="F306" s="1077"/>
    </row>
    <row r="307" spans="1:6" ht="15" thickBot="1">
      <c r="A307" s="838" t="s">
        <v>534</v>
      </c>
      <c r="B307" s="832" t="s">
        <v>1001</v>
      </c>
      <c r="C307" s="1065">
        <v>0.15</v>
      </c>
      <c r="D307" s="1065">
        <v>0.15</v>
      </c>
      <c r="E307" s="1065">
        <v>0.15</v>
      </c>
      <c r="F307" s="1066">
        <v>0.14299999999999999</v>
      </c>
    </row>
    <row r="308" spans="1:6" ht="15" thickBot="1">
      <c r="A308" s="838" t="s">
        <v>534</v>
      </c>
      <c r="B308" s="832" t="s">
        <v>371</v>
      </c>
      <c r="C308" s="1065">
        <v>0.15</v>
      </c>
      <c r="D308" s="1065">
        <v>0.15</v>
      </c>
      <c r="E308" s="1065">
        <v>0.15</v>
      </c>
      <c r="F308" s="1066">
        <v>0.15</v>
      </c>
    </row>
    <row r="309" spans="1:6" ht="15" thickBot="1">
      <c r="A309" s="838" t="s">
        <v>534</v>
      </c>
      <c r="B309" s="832" t="s">
        <v>381</v>
      </c>
      <c r="C309" s="1065">
        <v>0.15</v>
      </c>
      <c r="D309" s="1065">
        <v>0.15</v>
      </c>
      <c r="E309" s="1065">
        <v>0.15</v>
      </c>
      <c r="F309" s="1077"/>
    </row>
    <row r="310" spans="1:6" ht="15" thickBot="1">
      <c r="A310" s="838" t="s">
        <v>534</v>
      </c>
      <c r="B310" s="832" t="s">
        <v>1002</v>
      </c>
      <c r="C310" s="1065">
        <v>0.15</v>
      </c>
      <c r="D310" s="1065">
        <v>0.15</v>
      </c>
      <c r="E310" s="1065">
        <v>0.15</v>
      </c>
      <c r="F310" s="1066">
        <v>0.13700000000000001</v>
      </c>
    </row>
    <row r="311" spans="1:6" ht="15" thickBot="1">
      <c r="A311" s="838" t="s">
        <v>534</v>
      </c>
      <c r="B311" s="832" t="s">
        <v>1003</v>
      </c>
      <c r="C311" s="1065">
        <v>0.15</v>
      </c>
      <c r="D311" s="1065">
        <v>0.15</v>
      </c>
      <c r="E311" s="1065">
        <v>0.15</v>
      </c>
      <c r="F311" s="1066">
        <v>0.15</v>
      </c>
    </row>
    <row r="312" spans="1:6" ht="15" thickBot="1">
      <c r="A312" s="838" t="s">
        <v>534</v>
      </c>
      <c r="B312" s="832" t="s">
        <v>407</v>
      </c>
      <c r="C312" s="1065">
        <v>0.15</v>
      </c>
      <c r="D312" s="1065">
        <v>0.15</v>
      </c>
      <c r="E312" s="1065">
        <v>0.15</v>
      </c>
      <c r="F312" s="1066">
        <v>0.1</v>
      </c>
    </row>
    <row r="313" spans="1:6" ht="15" thickBot="1">
      <c r="A313" s="838" t="s">
        <v>534</v>
      </c>
      <c r="B313" s="832" t="s">
        <v>1004</v>
      </c>
      <c r="C313" s="1065">
        <v>0.15</v>
      </c>
      <c r="D313" s="1065">
        <v>0.15</v>
      </c>
      <c r="E313" s="1065">
        <v>0.15</v>
      </c>
      <c r="F313" s="1066">
        <v>0.15</v>
      </c>
    </row>
    <row r="314" spans="1:6" ht="24.6" thickBot="1">
      <c r="A314" s="838" t="s">
        <v>534</v>
      </c>
      <c r="B314" s="832" t="s">
        <v>1005</v>
      </c>
      <c r="C314" s="1078"/>
      <c r="D314" s="1078"/>
      <c r="E314" s="1078"/>
      <c r="F314" s="1066">
        <v>0.05</v>
      </c>
    </row>
    <row r="315" spans="1:6" ht="24.6" thickBot="1">
      <c r="A315" s="838" t="s">
        <v>534</v>
      </c>
      <c r="B315" s="832" t="s">
        <v>1006</v>
      </c>
      <c r="C315" s="1078"/>
      <c r="D315" s="1078"/>
      <c r="E315" s="1078"/>
      <c r="F315" s="1066">
        <v>0.05</v>
      </c>
    </row>
    <row r="316" spans="1:6" ht="24.6" thickBot="1">
      <c r="A316" s="848" t="s">
        <v>534</v>
      </c>
      <c r="B316" s="844" t="s">
        <v>1007</v>
      </c>
      <c r="C316" s="1075"/>
      <c r="D316" s="1075"/>
      <c r="E316" s="1075"/>
      <c r="F316" s="1068">
        <v>0.05</v>
      </c>
    </row>
    <row r="317" spans="1:6" ht="15" thickBot="1">
      <c r="A317" s="838" t="s">
        <v>1008</v>
      </c>
      <c r="B317" s="839" t="s">
        <v>1009</v>
      </c>
      <c r="C317" s="1063">
        <v>0.15</v>
      </c>
      <c r="D317" s="1063">
        <v>0.15</v>
      </c>
      <c r="E317" s="1063">
        <v>0.15</v>
      </c>
      <c r="F317" s="1064">
        <v>0.15</v>
      </c>
    </row>
    <row r="318" spans="1:6" ht="15" thickBot="1">
      <c r="A318" s="838" t="s">
        <v>1008</v>
      </c>
      <c r="B318" s="832" t="s">
        <v>1010</v>
      </c>
      <c r="C318" s="1065">
        <v>0.107</v>
      </c>
      <c r="D318" s="1065">
        <v>0.11</v>
      </c>
      <c r="E318" s="1065">
        <v>0.112</v>
      </c>
      <c r="F318" s="1077"/>
    </row>
    <row r="319" spans="1:6" ht="15" thickBot="1">
      <c r="A319" s="838" t="s">
        <v>1008</v>
      </c>
      <c r="B319" s="832" t="s">
        <v>1011</v>
      </c>
      <c r="C319" s="1065">
        <v>0.15</v>
      </c>
      <c r="D319" s="1065">
        <v>0.15</v>
      </c>
      <c r="E319" s="1065">
        <v>0.15</v>
      </c>
      <c r="F319" s="1066">
        <v>0.15</v>
      </c>
    </row>
    <row r="320" spans="1:6" ht="15" thickBot="1">
      <c r="A320" s="838" t="s">
        <v>1008</v>
      </c>
      <c r="B320" s="832" t="s">
        <v>223</v>
      </c>
      <c r="C320" s="1065">
        <v>0.15</v>
      </c>
      <c r="D320" s="1065">
        <v>0.15</v>
      </c>
      <c r="E320" s="1065">
        <v>0.15</v>
      </c>
      <c r="F320" s="1077"/>
    </row>
    <row r="321" spans="1:6" ht="15" thickBot="1">
      <c r="A321" s="838" t="s">
        <v>1008</v>
      </c>
      <c r="B321" s="832" t="s">
        <v>1012</v>
      </c>
      <c r="C321" s="1065">
        <v>0.15</v>
      </c>
      <c r="D321" s="1065">
        <v>0.15</v>
      </c>
      <c r="E321" s="1065">
        <v>0.15</v>
      </c>
      <c r="F321" s="1077"/>
    </row>
    <row r="322" spans="1:6" ht="15" thickBot="1">
      <c r="A322" s="838" t="s">
        <v>1008</v>
      </c>
      <c r="B322" s="832" t="s">
        <v>1013</v>
      </c>
      <c r="C322" s="1065">
        <v>0.15</v>
      </c>
      <c r="D322" s="1065">
        <v>0.15</v>
      </c>
      <c r="E322" s="1065">
        <v>0.15</v>
      </c>
      <c r="F322" s="1066">
        <v>0.15</v>
      </c>
    </row>
    <row r="323" spans="1:6" ht="15" thickBot="1">
      <c r="A323" s="838" t="s">
        <v>1008</v>
      </c>
      <c r="B323" s="832" t="s">
        <v>1014</v>
      </c>
      <c r="C323" s="1065">
        <v>0.15</v>
      </c>
      <c r="D323" s="1065">
        <v>0.15</v>
      </c>
      <c r="E323" s="1065">
        <v>0.15</v>
      </c>
      <c r="F323" s="1077"/>
    </row>
    <row r="324" spans="1:6" ht="15" thickBot="1">
      <c r="A324" s="838" t="s">
        <v>1008</v>
      </c>
      <c r="B324" s="832" t="s">
        <v>1015</v>
      </c>
      <c r="C324" s="1065">
        <v>0.15</v>
      </c>
      <c r="D324" s="1065">
        <v>0.15</v>
      </c>
      <c r="E324" s="1065">
        <v>0.15</v>
      </c>
      <c r="F324" s="1077"/>
    </row>
    <row r="325" spans="1:6" ht="15" thickBot="1">
      <c r="A325" s="838" t="s">
        <v>1008</v>
      </c>
      <c r="B325" s="832" t="s">
        <v>1016</v>
      </c>
      <c r="C325" s="1065">
        <v>0.15</v>
      </c>
      <c r="D325" s="1065">
        <v>0.15</v>
      </c>
      <c r="E325" s="1065">
        <v>0.15</v>
      </c>
      <c r="F325" s="1066">
        <v>0.14699999999999999</v>
      </c>
    </row>
    <row r="326" spans="1:6" ht="15" thickBot="1">
      <c r="A326" s="838" t="s">
        <v>1008</v>
      </c>
      <c r="B326" s="832" t="s">
        <v>290</v>
      </c>
      <c r="C326" s="1065">
        <v>0.15</v>
      </c>
      <c r="D326" s="1065">
        <v>0.15</v>
      </c>
      <c r="E326" s="1065">
        <v>0.15</v>
      </c>
      <c r="F326" s="1077"/>
    </row>
    <row r="327" spans="1:6" ht="15" thickBot="1">
      <c r="A327" s="838" t="s">
        <v>1008</v>
      </c>
      <c r="B327" s="832" t="s">
        <v>1017</v>
      </c>
      <c r="C327" s="1065">
        <v>0.15</v>
      </c>
      <c r="D327" s="1065">
        <v>0.15</v>
      </c>
      <c r="E327" s="1065">
        <v>0.15</v>
      </c>
      <c r="F327" s="1066">
        <v>0.15</v>
      </c>
    </row>
    <row r="328" spans="1:6" ht="15" thickBot="1">
      <c r="A328" s="838" t="s">
        <v>1008</v>
      </c>
      <c r="B328" s="832" t="s">
        <v>310</v>
      </c>
      <c r="C328" s="1065">
        <v>0.15</v>
      </c>
      <c r="D328" s="1065">
        <v>0.15</v>
      </c>
      <c r="E328" s="1065">
        <v>0.15</v>
      </c>
      <c r="F328" s="1066">
        <v>0.14099999999999999</v>
      </c>
    </row>
    <row r="329" spans="1:6" ht="15" thickBot="1">
      <c r="A329" s="838" t="s">
        <v>1008</v>
      </c>
      <c r="B329" s="832" t="s">
        <v>320</v>
      </c>
      <c r="C329" s="1065">
        <v>0.15</v>
      </c>
      <c r="D329" s="1065">
        <v>0.15</v>
      </c>
      <c r="E329" s="1065">
        <v>0.15</v>
      </c>
      <c r="F329" s="1066">
        <v>0.15</v>
      </c>
    </row>
    <row r="330" spans="1:6" ht="15" thickBot="1">
      <c r="A330" s="838" t="s">
        <v>1008</v>
      </c>
      <c r="B330" s="832" t="s">
        <v>331</v>
      </c>
      <c r="C330" s="1065">
        <v>0.15</v>
      </c>
      <c r="D330" s="1065">
        <v>0.15</v>
      </c>
      <c r="E330" s="1065">
        <v>0.15</v>
      </c>
      <c r="F330" s="1077"/>
    </row>
    <row r="331" spans="1:6" ht="15" thickBot="1">
      <c r="A331" s="838" t="s">
        <v>1008</v>
      </c>
      <c r="B331" s="832" t="s">
        <v>1018</v>
      </c>
      <c r="C331" s="1065">
        <v>0.15</v>
      </c>
      <c r="D331" s="1065">
        <v>0.15</v>
      </c>
      <c r="E331" s="1065">
        <v>0.15</v>
      </c>
      <c r="F331" s="1066">
        <v>0.15</v>
      </c>
    </row>
    <row r="332" spans="1:6" ht="15" thickBot="1">
      <c r="A332" s="838" t="s">
        <v>1008</v>
      </c>
      <c r="B332" s="832" t="s">
        <v>352</v>
      </c>
      <c r="C332" s="1065">
        <v>0.15</v>
      </c>
      <c r="D332" s="1065">
        <v>0.15</v>
      </c>
      <c r="E332" s="1065">
        <v>0.15</v>
      </c>
      <c r="F332" s="1066">
        <v>0.15</v>
      </c>
    </row>
    <row r="333" spans="1:6" ht="15" thickBot="1">
      <c r="A333" s="838" t="s">
        <v>1008</v>
      </c>
      <c r="B333" s="832" t="s">
        <v>1019</v>
      </c>
      <c r="C333" s="1065">
        <v>0.15</v>
      </c>
      <c r="D333" s="1065">
        <v>0.15</v>
      </c>
      <c r="E333" s="1065">
        <v>0.15</v>
      </c>
      <c r="F333" s="1066">
        <v>0.14099999999999999</v>
      </c>
    </row>
    <row r="334" spans="1:6" ht="15" thickBot="1">
      <c r="A334" s="838" t="s">
        <v>1008</v>
      </c>
      <c r="B334" s="832" t="s">
        <v>372</v>
      </c>
      <c r="C334" s="1065">
        <v>0.15</v>
      </c>
      <c r="D334" s="1065">
        <v>0.15</v>
      </c>
      <c r="E334" s="1065">
        <v>0.15</v>
      </c>
      <c r="F334" s="1066">
        <v>0.15</v>
      </c>
    </row>
    <row r="335" spans="1:6" ht="15" thickBot="1">
      <c r="A335" s="838" t="s">
        <v>1008</v>
      </c>
      <c r="B335" s="832" t="s">
        <v>382</v>
      </c>
      <c r="C335" s="1065">
        <v>0.15</v>
      </c>
      <c r="D335" s="1065">
        <v>0.15</v>
      </c>
      <c r="E335" s="1065">
        <v>0.15</v>
      </c>
      <c r="F335" s="1077"/>
    </row>
    <row r="336" spans="1:6" ht="15" thickBot="1">
      <c r="A336" s="838" t="s">
        <v>1008</v>
      </c>
      <c r="B336" s="832" t="s">
        <v>1020</v>
      </c>
      <c r="C336" s="1065">
        <v>0.15</v>
      </c>
      <c r="D336" s="1065">
        <v>0.15</v>
      </c>
      <c r="E336" s="1065">
        <v>0.15</v>
      </c>
      <c r="F336" s="1066">
        <v>0.11799999999999999</v>
      </c>
    </row>
    <row r="337" spans="1:6" ht="15" thickBot="1">
      <c r="A337" s="848" t="s">
        <v>1008</v>
      </c>
      <c r="B337" s="844" t="s">
        <v>400</v>
      </c>
      <c r="C337" s="1075"/>
      <c r="D337" s="1075"/>
      <c r="E337" s="1075"/>
      <c r="F337" s="1068">
        <v>0.14299999999999999</v>
      </c>
    </row>
    <row r="338" spans="1:6" ht="15" thickBot="1">
      <c r="A338" s="838" t="s">
        <v>1021</v>
      </c>
      <c r="B338" s="839" t="s">
        <v>1022</v>
      </c>
      <c r="C338" s="1063">
        <v>0.15</v>
      </c>
      <c r="D338" s="1063">
        <v>0.15</v>
      </c>
      <c r="E338" s="1063">
        <v>0.15</v>
      </c>
      <c r="F338" s="1080"/>
    </row>
    <row r="339" spans="1:6" ht="15" thickBot="1">
      <c r="A339" s="838" t="s">
        <v>1021</v>
      </c>
      <c r="B339" s="832" t="s">
        <v>1023</v>
      </c>
      <c r="C339" s="1065">
        <v>0.15</v>
      </c>
      <c r="D339" s="1065">
        <v>0.15</v>
      </c>
      <c r="E339" s="1065">
        <v>0.15</v>
      </c>
      <c r="F339" s="1077"/>
    </row>
    <row r="340" spans="1:6" ht="15" thickBot="1">
      <c r="A340" s="838" t="s">
        <v>1021</v>
      </c>
      <c r="B340" s="832" t="s">
        <v>1024</v>
      </c>
      <c r="C340" s="1065">
        <v>0.15</v>
      </c>
      <c r="D340" s="1065">
        <v>0.15</v>
      </c>
      <c r="E340" s="1065">
        <v>0.15</v>
      </c>
      <c r="F340" s="1077"/>
    </row>
    <row r="341" spans="1:6" ht="15" thickBot="1">
      <c r="A341" s="838" t="s">
        <v>1021</v>
      </c>
      <c r="B341" s="832" t="s">
        <v>1025</v>
      </c>
      <c r="C341" s="1065">
        <v>0.15</v>
      </c>
      <c r="D341" s="1065">
        <v>0.15</v>
      </c>
      <c r="E341" s="1065">
        <v>0.15</v>
      </c>
      <c r="F341" s="1066">
        <v>0.15</v>
      </c>
    </row>
    <row r="342" spans="1:6" ht="15" thickBot="1">
      <c r="A342" s="838" t="s">
        <v>1021</v>
      </c>
      <c r="B342" s="832" t="s">
        <v>1026</v>
      </c>
      <c r="C342" s="1065">
        <v>0.15</v>
      </c>
      <c r="D342" s="1065">
        <v>0.15</v>
      </c>
      <c r="E342" s="1065">
        <v>0.15</v>
      </c>
      <c r="F342" s="1066">
        <v>0.15</v>
      </c>
    </row>
    <row r="343" spans="1:6" ht="15" thickBot="1">
      <c r="A343" s="838" t="s">
        <v>1021</v>
      </c>
      <c r="B343" s="832" t="s">
        <v>1027</v>
      </c>
      <c r="C343" s="1065">
        <v>0.15</v>
      </c>
      <c r="D343" s="1065">
        <v>0.15</v>
      </c>
      <c r="E343" s="1065">
        <v>0.15</v>
      </c>
      <c r="F343" s="1066">
        <v>0.15</v>
      </c>
    </row>
    <row r="344" spans="1:6" ht="1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9" customWidth="1"/>
    <col min="2" max="2" width="13.21875" style="1645" customWidth="1"/>
    <col min="3" max="3" width="15.6640625" style="1645" customWidth="1"/>
    <col min="4" max="4" width="9.33203125" style="1645" bestFit="1" customWidth="1"/>
    <col min="5" max="5" width="13.44140625" style="1645" customWidth="1"/>
    <col min="6" max="6" width="9" style="1645"/>
    <col min="7" max="7" width="9.33203125" style="1645" bestFit="1" customWidth="1"/>
    <col min="8" max="8" width="12.21875" style="1645" customWidth="1"/>
    <col min="9" max="9" width="9" style="1645"/>
    <col min="10" max="10" width="9.33203125" style="1645" bestFit="1" customWidth="1"/>
    <col min="11" max="11" width="4" style="1639" customWidth="1"/>
    <col min="12" max="12" width="5.109375" style="1645" customWidth="1"/>
    <col min="13" max="13" width="13.77734375" style="1645" customWidth="1"/>
    <col min="14" max="256" width="9" style="1645"/>
    <col min="257" max="257" width="4.88671875" style="1636" customWidth="1"/>
    <col min="258" max="258" width="13.21875" style="1636" customWidth="1"/>
    <col min="259" max="259" width="15.6640625" style="1636" customWidth="1"/>
    <col min="260" max="260" width="9.33203125" style="1636" bestFit="1" customWidth="1"/>
    <col min="261" max="261" width="13.44140625" style="1636" customWidth="1"/>
    <col min="262" max="262" width="9" style="1636"/>
    <col min="263" max="263" width="9.33203125" style="1636" bestFit="1" customWidth="1"/>
    <col min="264" max="265" width="9" style="1636"/>
    <col min="266" max="266" width="9.33203125" style="1636" bestFit="1" customWidth="1"/>
    <col min="267" max="267" width="4" style="1636" customWidth="1"/>
    <col min="268" max="268" width="5.109375" style="1636" customWidth="1"/>
    <col min="269" max="269" width="13.77734375" style="1636" customWidth="1"/>
    <col min="270" max="512" width="9" style="1636"/>
    <col min="513" max="513" width="4.88671875" style="1636" customWidth="1"/>
    <col min="514" max="514" width="13.21875" style="1636" customWidth="1"/>
    <col min="515" max="515" width="15.6640625" style="1636" customWidth="1"/>
    <col min="516" max="516" width="9.33203125" style="1636" bestFit="1" customWidth="1"/>
    <col min="517" max="517" width="13.44140625" style="1636" customWidth="1"/>
    <col min="518" max="518" width="9" style="1636"/>
    <col min="519" max="519" width="9.33203125" style="1636" bestFit="1" customWidth="1"/>
    <col min="520" max="521" width="9" style="1636"/>
    <col min="522" max="522" width="9.33203125" style="1636" bestFit="1" customWidth="1"/>
    <col min="523" max="523" width="4" style="1636" customWidth="1"/>
    <col min="524" max="524" width="5.109375" style="1636" customWidth="1"/>
    <col min="525" max="525" width="13.77734375" style="1636" customWidth="1"/>
    <col min="526" max="768" width="9" style="1636"/>
    <col min="769" max="769" width="4.88671875" style="1636" customWidth="1"/>
    <col min="770" max="770" width="13.21875" style="1636" customWidth="1"/>
    <col min="771" max="771" width="15.6640625" style="1636" customWidth="1"/>
    <col min="772" max="772" width="9.33203125" style="1636" bestFit="1" customWidth="1"/>
    <col min="773" max="773" width="13.44140625" style="1636" customWidth="1"/>
    <col min="774" max="774" width="9" style="1636"/>
    <col min="775" max="775" width="9.33203125" style="1636" bestFit="1" customWidth="1"/>
    <col min="776" max="777" width="9" style="1636"/>
    <col min="778" max="778" width="9.33203125" style="1636" bestFit="1" customWidth="1"/>
    <col min="779" max="779" width="4" style="1636" customWidth="1"/>
    <col min="780" max="780" width="5.109375" style="1636" customWidth="1"/>
    <col min="781" max="781" width="13.77734375" style="1636" customWidth="1"/>
    <col min="782" max="1024" width="9" style="1636"/>
    <col min="1025" max="1025" width="4.88671875" style="1636" customWidth="1"/>
    <col min="1026" max="1026" width="13.21875" style="1636" customWidth="1"/>
    <col min="1027" max="1027" width="15.6640625" style="1636" customWidth="1"/>
    <col min="1028" max="1028" width="9.33203125" style="1636" bestFit="1" customWidth="1"/>
    <col min="1029" max="1029" width="13.44140625" style="1636" customWidth="1"/>
    <col min="1030" max="1030" width="9" style="1636"/>
    <col min="1031" max="1031" width="9.33203125" style="1636" bestFit="1" customWidth="1"/>
    <col min="1032" max="1033" width="9" style="1636"/>
    <col min="1034" max="1034" width="9.33203125" style="1636" bestFit="1" customWidth="1"/>
    <col min="1035" max="1035" width="4" style="1636" customWidth="1"/>
    <col min="1036" max="1036" width="5.109375" style="1636" customWidth="1"/>
    <col min="1037" max="1037" width="13.77734375" style="1636" customWidth="1"/>
    <col min="1038" max="1280" width="9" style="1636"/>
    <col min="1281" max="1281" width="4.88671875" style="1636" customWidth="1"/>
    <col min="1282" max="1282" width="13.21875" style="1636" customWidth="1"/>
    <col min="1283" max="1283" width="15.6640625" style="1636" customWidth="1"/>
    <col min="1284" max="1284" width="9.33203125" style="1636" bestFit="1" customWidth="1"/>
    <col min="1285" max="1285" width="13.44140625" style="1636" customWidth="1"/>
    <col min="1286" max="1286" width="9" style="1636"/>
    <col min="1287" max="1287" width="9.33203125" style="1636" bestFit="1" customWidth="1"/>
    <col min="1288" max="1289" width="9" style="1636"/>
    <col min="1290" max="1290" width="9.33203125" style="1636" bestFit="1" customWidth="1"/>
    <col min="1291" max="1291" width="4" style="1636" customWidth="1"/>
    <col min="1292" max="1292" width="5.109375" style="1636" customWidth="1"/>
    <col min="1293" max="1293" width="13.77734375" style="1636" customWidth="1"/>
    <col min="1294" max="1536" width="9" style="1636"/>
    <col min="1537" max="1537" width="4.88671875" style="1636" customWidth="1"/>
    <col min="1538" max="1538" width="13.21875" style="1636" customWidth="1"/>
    <col min="1539" max="1539" width="15.6640625" style="1636" customWidth="1"/>
    <col min="1540" max="1540" width="9.33203125" style="1636" bestFit="1" customWidth="1"/>
    <col min="1541" max="1541" width="13.44140625" style="1636" customWidth="1"/>
    <col min="1542" max="1542" width="9" style="1636"/>
    <col min="1543" max="1543" width="9.33203125" style="1636" bestFit="1" customWidth="1"/>
    <col min="1544" max="1545" width="9" style="1636"/>
    <col min="1546" max="1546" width="9.33203125" style="1636" bestFit="1" customWidth="1"/>
    <col min="1547" max="1547" width="4" style="1636" customWidth="1"/>
    <col min="1548" max="1548" width="5.109375" style="1636" customWidth="1"/>
    <col min="1549" max="1549" width="13.77734375" style="1636" customWidth="1"/>
    <col min="1550" max="1792" width="9" style="1636"/>
    <col min="1793" max="1793" width="4.88671875" style="1636" customWidth="1"/>
    <col min="1794" max="1794" width="13.21875" style="1636" customWidth="1"/>
    <col min="1795" max="1795" width="15.6640625" style="1636" customWidth="1"/>
    <col min="1796" max="1796" width="9.33203125" style="1636" bestFit="1" customWidth="1"/>
    <col min="1797" max="1797" width="13.44140625" style="1636" customWidth="1"/>
    <col min="1798" max="1798" width="9" style="1636"/>
    <col min="1799" max="1799" width="9.33203125" style="1636" bestFit="1" customWidth="1"/>
    <col min="1800" max="1801" width="9" style="1636"/>
    <col min="1802" max="1802" width="9.33203125" style="1636" bestFit="1" customWidth="1"/>
    <col min="1803" max="1803" width="4" style="1636" customWidth="1"/>
    <col min="1804" max="1804" width="5.109375" style="1636" customWidth="1"/>
    <col min="1805" max="1805" width="13.77734375" style="1636" customWidth="1"/>
    <col min="1806" max="2048" width="9" style="1636"/>
    <col min="2049" max="2049" width="4.88671875" style="1636" customWidth="1"/>
    <col min="2050" max="2050" width="13.21875" style="1636" customWidth="1"/>
    <col min="2051" max="2051" width="15.6640625" style="1636" customWidth="1"/>
    <col min="2052" max="2052" width="9.33203125" style="1636" bestFit="1" customWidth="1"/>
    <col min="2053" max="2053" width="13.44140625" style="1636" customWidth="1"/>
    <col min="2054" max="2054" width="9" style="1636"/>
    <col min="2055" max="2055" width="9.33203125" style="1636" bestFit="1" customWidth="1"/>
    <col min="2056" max="2057" width="9" style="1636"/>
    <col min="2058" max="2058" width="9.33203125" style="1636" bestFit="1" customWidth="1"/>
    <col min="2059" max="2059" width="4" style="1636" customWidth="1"/>
    <col min="2060" max="2060" width="5.109375" style="1636" customWidth="1"/>
    <col min="2061" max="2061" width="13.77734375" style="1636" customWidth="1"/>
    <col min="2062" max="2304" width="9" style="1636"/>
    <col min="2305" max="2305" width="4.88671875" style="1636" customWidth="1"/>
    <col min="2306" max="2306" width="13.21875" style="1636" customWidth="1"/>
    <col min="2307" max="2307" width="15.6640625" style="1636" customWidth="1"/>
    <col min="2308" max="2308" width="9.33203125" style="1636" bestFit="1" customWidth="1"/>
    <col min="2309" max="2309" width="13.44140625" style="1636" customWidth="1"/>
    <col min="2310" max="2310" width="9" style="1636"/>
    <col min="2311" max="2311" width="9.33203125" style="1636" bestFit="1" customWidth="1"/>
    <col min="2312" max="2313" width="9" style="1636"/>
    <col min="2314" max="2314" width="9.33203125" style="1636" bestFit="1" customWidth="1"/>
    <col min="2315" max="2315" width="4" style="1636" customWidth="1"/>
    <col min="2316" max="2316" width="5.109375" style="1636" customWidth="1"/>
    <col min="2317" max="2317" width="13.77734375" style="1636" customWidth="1"/>
    <col min="2318" max="2560" width="9" style="1636"/>
    <col min="2561" max="2561" width="4.88671875" style="1636" customWidth="1"/>
    <col min="2562" max="2562" width="13.21875" style="1636" customWidth="1"/>
    <col min="2563" max="2563" width="15.6640625" style="1636" customWidth="1"/>
    <col min="2564" max="2564" width="9.33203125" style="1636" bestFit="1" customWidth="1"/>
    <col min="2565" max="2565" width="13.44140625" style="1636" customWidth="1"/>
    <col min="2566" max="2566" width="9" style="1636"/>
    <col min="2567" max="2567" width="9.33203125" style="1636" bestFit="1" customWidth="1"/>
    <col min="2568" max="2569" width="9" style="1636"/>
    <col min="2570" max="2570" width="9.33203125" style="1636" bestFit="1" customWidth="1"/>
    <col min="2571" max="2571" width="4" style="1636" customWidth="1"/>
    <col min="2572" max="2572" width="5.109375" style="1636" customWidth="1"/>
    <col min="2573" max="2573" width="13.77734375" style="1636" customWidth="1"/>
    <col min="2574" max="2816" width="9" style="1636"/>
    <col min="2817" max="2817" width="4.88671875" style="1636" customWidth="1"/>
    <col min="2818" max="2818" width="13.21875" style="1636" customWidth="1"/>
    <col min="2819" max="2819" width="15.6640625" style="1636" customWidth="1"/>
    <col min="2820" max="2820" width="9.33203125" style="1636" bestFit="1" customWidth="1"/>
    <col min="2821" max="2821" width="13.44140625" style="1636" customWidth="1"/>
    <col min="2822" max="2822" width="9" style="1636"/>
    <col min="2823" max="2823" width="9.33203125" style="1636" bestFit="1" customWidth="1"/>
    <col min="2824" max="2825" width="9" style="1636"/>
    <col min="2826" max="2826" width="9.33203125" style="1636" bestFit="1" customWidth="1"/>
    <col min="2827" max="2827" width="4" style="1636" customWidth="1"/>
    <col min="2828" max="2828" width="5.109375" style="1636" customWidth="1"/>
    <col min="2829" max="2829" width="13.77734375" style="1636" customWidth="1"/>
    <col min="2830" max="3072" width="9" style="1636"/>
    <col min="3073" max="3073" width="4.88671875" style="1636" customWidth="1"/>
    <col min="3074" max="3074" width="13.21875" style="1636" customWidth="1"/>
    <col min="3075" max="3075" width="15.6640625" style="1636" customWidth="1"/>
    <col min="3076" max="3076" width="9.33203125" style="1636" bestFit="1" customWidth="1"/>
    <col min="3077" max="3077" width="13.44140625" style="1636" customWidth="1"/>
    <col min="3078" max="3078" width="9" style="1636"/>
    <col min="3079" max="3079" width="9.33203125" style="1636" bestFit="1" customWidth="1"/>
    <col min="3080" max="3081" width="9" style="1636"/>
    <col min="3082" max="3082" width="9.33203125" style="1636" bestFit="1" customWidth="1"/>
    <col min="3083" max="3083" width="4" style="1636" customWidth="1"/>
    <col min="3084" max="3084" width="5.109375" style="1636" customWidth="1"/>
    <col min="3085" max="3085" width="13.77734375" style="1636" customWidth="1"/>
    <col min="3086" max="3328" width="9" style="1636"/>
    <col min="3329" max="3329" width="4.88671875" style="1636" customWidth="1"/>
    <col min="3330" max="3330" width="13.21875" style="1636" customWidth="1"/>
    <col min="3331" max="3331" width="15.6640625" style="1636" customWidth="1"/>
    <col min="3332" max="3332" width="9.33203125" style="1636" bestFit="1" customWidth="1"/>
    <col min="3333" max="3333" width="13.44140625" style="1636" customWidth="1"/>
    <col min="3334" max="3334" width="9" style="1636"/>
    <col min="3335" max="3335" width="9.33203125" style="1636" bestFit="1" customWidth="1"/>
    <col min="3336" max="3337" width="9" style="1636"/>
    <col min="3338" max="3338" width="9.33203125" style="1636" bestFit="1" customWidth="1"/>
    <col min="3339" max="3339" width="4" style="1636" customWidth="1"/>
    <col min="3340" max="3340" width="5.109375" style="1636" customWidth="1"/>
    <col min="3341" max="3341" width="13.77734375" style="1636" customWidth="1"/>
    <col min="3342" max="3584" width="9" style="1636"/>
    <col min="3585" max="3585" width="4.88671875" style="1636" customWidth="1"/>
    <col min="3586" max="3586" width="13.21875" style="1636" customWidth="1"/>
    <col min="3587" max="3587" width="15.6640625" style="1636" customWidth="1"/>
    <col min="3588" max="3588" width="9.33203125" style="1636" bestFit="1" customWidth="1"/>
    <col min="3589" max="3589" width="13.44140625" style="1636" customWidth="1"/>
    <col min="3590" max="3590" width="9" style="1636"/>
    <col min="3591" max="3591" width="9.33203125" style="1636" bestFit="1" customWidth="1"/>
    <col min="3592" max="3593" width="9" style="1636"/>
    <col min="3594" max="3594" width="9.33203125" style="1636" bestFit="1" customWidth="1"/>
    <col min="3595" max="3595" width="4" style="1636" customWidth="1"/>
    <col min="3596" max="3596" width="5.109375" style="1636" customWidth="1"/>
    <col min="3597" max="3597" width="13.77734375" style="1636" customWidth="1"/>
    <col min="3598" max="3840" width="9" style="1636"/>
    <col min="3841" max="3841" width="4.88671875" style="1636" customWidth="1"/>
    <col min="3842" max="3842" width="13.21875" style="1636" customWidth="1"/>
    <col min="3843" max="3843" width="15.6640625" style="1636" customWidth="1"/>
    <col min="3844" max="3844" width="9.33203125" style="1636" bestFit="1" customWidth="1"/>
    <col min="3845" max="3845" width="13.44140625" style="1636" customWidth="1"/>
    <col min="3846" max="3846" width="9" style="1636"/>
    <col min="3847" max="3847" width="9.33203125" style="1636" bestFit="1" customWidth="1"/>
    <col min="3848" max="3849" width="9" style="1636"/>
    <col min="3850" max="3850" width="9.33203125" style="1636" bestFit="1" customWidth="1"/>
    <col min="3851" max="3851" width="4" style="1636" customWidth="1"/>
    <col min="3852" max="3852" width="5.109375" style="1636" customWidth="1"/>
    <col min="3853" max="3853" width="13.77734375" style="1636" customWidth="1"/>
    <col min="3854" max="4096" width="9" style="1636"/>
    <col min="4097" max="4097" width="4.88671875" style="1636" customWidth="1"/>
    <col min="4098" max="4098" width="13.21875" style="1636" customWidth="1"/>
    <col min="4099" max="4099" width="15.6640625" style="1636" customWidth="1"/>
    <col min="4100" max="4100" width="9.33203125" style="1636" bestFit="1" customWidth="1"/>
    <col min="4101" max="4101" width="13.44140625" style="1636" customWidth="1"/>
    <col min="4102" max="4102" width="9" style="1636"/>
    <col min="4103" max="4103" width="9.33203125" style="1636" bestFit="1" customWidth="1"/>
    <col min="4104" max="4105" width="9" style="1636"/>
    <col min="4106" max="4106" width="9.33203125" style="1636" bestFit="1" customWidth="1"/>
    <col min="4107" max="4107" width="4" style="1636" customWidth="1"/>
    <col min="4108" max="4108" width="5.109375" style="1636" customWidth="1"/>
    <col min="4109" max="4109" width="13.77734375" style="1636" customWidth="1"/>
    <col min="4110" max="4352" width="9" style="1636"/>
    <col min="4353" max="4353" width="4.88671875" style="1636" customWidth="1"/>
    <col min="4354" max="4354" width="13.21875" style="1636" customWidth="1"/>
    <col min="4355" max="4355" width="15.6640625" style="1636" customWidth="1"/>
    <col min="4356" max="4356" width="9.33203125" style="1636" bestFit="1" customWidth="1"/>
    <col min="4357" max="4357" width="13.44140625" style="1636" customWidth="1"/>
    <col min="4358" max="4358" width="9" style="1636"/>
    <col min="4359" max="4359" width="9.33203125" style="1636" bestFit="1" customWidth="1"/>
    <col min="4360" max="4361" width="9" style="1636"/>
    <col min="4362" max="4362" width="9.33203125" style="1636" bestFit="1" customWidth="1"/>
    <col min="4363" max="4363" width="4" style="1636" customWidth="1"/>
    <col min="4364" max="4364" width="5.109375" style="1636" customWidth="1"/>
    <col min="4365" max="4365" width="13.77734375" style="1636" customWidth="1"/>
    <col min="4366" max="4608" width="9" style="1636"/>
    <col min="4609" max="4609" width="4.88671875" style="1636" customWidth="1"/>
    <col min="4610" max="4610" width="13.21875" style="1636" customWidth="1"/>
    <col min="4611" max="4611" width="15.6640625" style="1636" customWidth="1"/>
    <col min="4612" max="4612" width="9.33203125" style="1636" bestFit="1" customWidth="1"/>
    <col min="4613" max="4613" width="13.44140625" style="1636" customWidth="1"/>
    <col min="4614" max="4614" width="9" style="1636"/>
    <col min="4615" max="4615" width="9.33203125" style="1636" bestFit="1" customWidth="1"/>
    <col min="4616" max="4617" width="9" style="1636"/>
    <col min="4618" max="4618" width="9.33203125" style="1636" bestFit="1" customWidth="1"/>
    <col min="4619" max="4619" width="4" style="1636" customWidth="1"/>
    <col min="4620" max="4620" width="5.109375" style="1636" customWidth="1"/>
    <col min="4621" max="4621" width="13.77734375" style="1636" customWidth="1"/>
    <col min="4622" max="4864" width="9" style="1636"/>
    <col min="4865" max="4865" width="4.88671875" style="1636" customWidth="1"/>
    <col min="4866" max="4866" width="13.21875" style="1636" customWidth="1"/>
    <col min="4867" max="4867" width="15.6640625" style="1636" customWidth="1"/>
    <col min="4868" max="4868" width="9.33203125" style="1636" bestFit="1" customWidth="1"/>
    <col min="4869" max="4869" width="13.44140625" style="1636" customWidth="1"/>
    <col min="4870" max="4870" width="9" style="1636"/>
    <col min="4871" max="4871" width="9.33203125" style="1636" bestFit="1" customWidth="1"/>
    <col min="4872" max="4873" width="9" style="1636"/>
    <col min="4874" max="4874" width="9.33203125" style="1636" bestFit="1" customWidth="1"/>
    <col min="4875" max="4875" width="4" style="1636" customWidth="1"/>
    <col min="4876" max="4876" width="5.109375" style="1636" customWidth="1"/>
    <col min="4877" max="4877" width="13.77734375" style="1636" customWidth="1"/>
    <col min="4878" max="5120" width="9" style="1636"/>
    <col min="5121" max="5121" width="4.88671875" style="1636" customWidth="1"/>
    <col min="5122" max="5122" width="13.21875" style="1636" customWidth="1"/>
    <col min="5123" max="5123" width="15.6640625" style="1636" customWidth="1"/>
    <col min="5124" max="5124" width="9.33203125" style="1636" bestFit="1" customWidth="1"/>
    <col min="5125" max="5125" width="13.44140625" style="1636" customWidth="1"/>
    <col min="5126" max="5126" width="9" style="1636"/>
    <col min="5127" max="5127" width="9.33203125" style="1636" bestFit="1" customWidth="1"/>
    <col min="5128" max="5129" width="9" style="1636"/>
    <col min="5130" max="5130" width="9.33203125" style="1636" bestFit="1" customWidth="1"/>
    <col min="5131" max="5131" width="4" style="1636" customWidth="1"/>
    <col min="5132" max="5132" width="5.109375" style="1636" customWidth="1"/>
    <col min="5133" max="5133" width="13.77734375" style="1636" customWidth="1"/>
    <col min="5134" max="5376" width="9" style="1636"/>
    <col min="5377" max="5377" width="4.88671875" style="1636" customWidth="1"/>
    <col min="5378" max="5378" width="13.21875" style="1636" customWidth="1"/>
    <col min="5379" max="5379" width="15.6640625" style="1636" customWidth="1"/>
    <col min="5380" max="5380" width="9.33203125" style="1636" bestFit="1" customWidth="1"/>
    <col min="5381" max="5381" width="13.44140625" style="1636" customWidth="1"/>
    <col min="5382" max="5382" width="9" style="1636"/>
    <col min="5383" max="5383" width="9.33203125" style="1636" bestFit="1" customWidth="1"/>
    <col min="5384" max="5385" width="9" style="1636"/>
    <col min="5386" max="5386" width="9.33203125" style="1636" bestFit="1" customWidth="1"/>
    <col min="5387" max="5387" width="4" style="1636" customWidth="1"/>
    <col min="5388" max="5388" width="5.109375" style="1636" customWidth="1"/>
    <col min="5389" max="5389" width="13.77734375" style="1636" customWidth="1"/>
    <col min="5390" max="5632" width="9" style="1636"/>
    <col min="5633" max="5633" width="4.88671875" style="1636" customWidth="1"/>
    <col min="5634" max="5634" width="13.21875" style="1636" customWidth="1"/>
    <col min="5635" max="5635" width="15.6640625" style="1636" customWidth="1"/>
    <col min="5636" max="5636" width="9.33203125" style="1636" bestFit="1" customWidth="1"/>
    <col min="5637" max="5637" width="13.44140625" style="1636" customWidth="1"/>
    <col min="5638" max="5638" width="9" style="1636"/>
    <col min="5639" max="5639" width="9.33203125" style="1636" bestFit="1" customWidth="1"/>
    <col min="5640" max="5641" width="9" style="1636"/>
    <col min="5642" max="5642" width="9.33203125" style="1636" bestFit="1" customWidth="1"/>
    <col min="5643" max="5643" width="4" style="1636" customWidth="1"/>
    <col min="5644" max="5644" width="5.109375" style="1636" customWidth="1"/>
    <col min="5645" max="5645" width="13.77734375" style="1636" customWidth="1"/>
    <col min="5646" max="5888" width="9" style="1636"/>
    <col min="5889" max="5889" width="4.88671875" style="1636" customWidth="1"/>
    <col min="5890" max="5890" width="13.21875" style="1636" customWidth="1"/>
    <col min="5891" max="5891" width="15.6640625" style="1636" customWidth="1"/>
    <col min="5892" max="5892" width="9.33203125" style="1636" bestFit="1" customWidth="1"/>
    <col min="5893" max="5893" width="13.44140625" style="1636" customWidth="1"/>
    <col min="5894" max="5894" width="9" style="1636"/>
    <col min="5895" max="5895" width="9.33203125" style="1636" bestFit="1" customWidth="1"/>
    <col min="5896" max="5897" width="9" style="1636"/>
    <col min="5898" max="5898" width="9.33203125" style="1636" bestFit="1" customWidth="1"/>
    <col min="5899" max="5899" width="4" style="1636" customWidth="1"/>
    <col min="5900" max="5900" width="5.109375" style="1636" customWidth="1"/>
    <col min="5901" max="5901" width="13.77734375" style="1636" customWidth="1"/>
    <col min="5902" max="6144" width="9" style="1636"/>
    <col min="6145" max="6145" width="4.88671875" style="1636" customWidth="1"/>
    <col min="6146" max="6146" width="13.21875" style="1636" customWidth="1"/>
    <col min="6147" max="6147" width="15.6640625" style="1636" customWidth="1"/>
    <col min="6148" max="6148" width="9.33203125" style="1636" bestFit="1" customWidth="1"/>
    <col min="6149" max="6149" width="13.44140625" style="1636" customWidth="1"/>
    <col min="6150" max="6150" width="9" style="1636"/>
    <col min="6151" max="6151" width="9.33203125" style="1636" bestFit="1" customWidth="1"/>
    <col min="6152" max="6153" width="9" style="1636"/>
    <col min="6154" max="6154" width="9.33203125" style="1636" bestFit="1" customWidth="1"/>
    <col min="6155" max="6155" width="4" style="1636" customWidth="1"/>
    <col min="6156" max="6156" width="5.109375" style="1636" customWidth="1"/>
    <col min="6157" max="6157" width="13.77734375" style="1636" customWidth="1"/>
    <col min="6158" max="6400" width="9" style="1636"/>
    <col min="6401" max="6401" width="4.88671875" style="1636" customWidth="1"/>
    <col min="6402" max="6402" width="13.21875" style="1636" customWidth="1"/>
    <col min="6403" max="6403" width="15.6640625" style="1636" customWidth="1"/>
    <col min="6404" max="6404" width="9.33203125" style="1636" bestFit="1" customWidth="1"/>
    <col min="6405" max="6405" width="13.44140625" style="1636" customWidth="1"/>
    <col min="6406" max="6406" width="9" style="1636"/>
    <col min="6407" max="6407" width="9.33203125" style="1636" bestFit="1" customWidth="1"/>
    <col min="6408" max="6409" width="9" style="1636"/>
    <col min="6410" max="6410" width="9.33203125" style="1636" bestFit="1" customWidth="1"/>
    <col min="6411" max="6411" width="4" style="1636" customWidth="1"/>
    <col min="6412" max="6412" width="5.109375" style="1636" customWidth="1"/>
    <col min="6413" max="6413" width="13.77734375" style="1636" customWidth="1"/>
    <col min="6414" max="6656" width="9" style="1636"/>
    <col min="6657" max="6657" width="4.88671875" style="1636" customWidth="1"/>
    <col min="6658" max="6658" width="13.21875" style="1636" customWidth="1"/>
    <col min="6659" max="6659" width="15.6640625" style="1636" customWidth="1"/>
    <col min="6660" max="6660" width="9.33203125" style="1636" bestFit="1" customWidth="1"/>
    <col min="6661" max="6661" width="13.44140625" style="1636" customWidth="1"/>
    <col min="6662" max="6662" width="9" style="1636"/>
    <col min="6663" max="6663" width="9.33203125" style="1636" bestFit="1" customWidth="1"/>
    <col min="6664" max="6665" width="9" style="1636"/>
    <col min="6666" max="6666" width="9.33203125" style="1636" bestFit="1" customWidth="1"/>
    <col min="6667" max="6667" width="4" style="1636" customWidth="1"/>
    <col min="6668" max="6668" width="5.109375" style="1636" customWidth="1"/>
    <col min="6669" max="6669" width="13.77734375" style="1636" customWidth="1"/>
    <col min="6670" max="6912" width="9" style="1636"/>
    <col min="6913" max="6913" width="4.88671875" style="1636" customWidth="1"/>
    <col min="6914" max="6914" width="13.21875" style="1636" customWidth="1"/>
    <col min="6915" max="6915" width="15.6640625" style="1636" customWidth="1"/>
    <col min="6916" max="6916" width="9.33203125" style="1636" bestFit="1" customWidth="1"/>
    <col min="6917" max="6917" width="13.44140625" style="1636" customWidth="1"/>
    <col min="6918" max="6918" width="9" style="1636"/>
    <col min="6919" max="6919" width="9.33203125" style="1636" bestFit="1" customWidth="1"/>
    <col min="6920" max="6921" width="9" style="1636"/>
    <col min="6922" max="6922" width="9.33203125" style="1636" bestFit="1" customWidth="1"/>
    <col min="6923" max="6923" width="4" style="1636" customWidth="1"/>
    <col min="6924" max="6924" width="5.109375" style="1636" customWidth="1"/>
    <col min="6925" max="6925" width="13.77734375" style="1636" customWidth="1"/>
    <col min="6926" max="7168" width="9" style="1636"/>
    <col min="7169" max="7169" width="4.88671875" style="1636" customWidth="1"/>
    <col min="7170" max="7170" width="13.21875" style="1636" customWidth="1"/>
    <col min="7171" max="7171" width="15.6640625" style="1636" customWidth="1"/>
    <col min="7172" max="7172" width="9.33203125" style="1636" bestFit="1" customWidth="1"/>
    <col min="7173" max="7173" width="13.44140625" style="1636" customWidth="1"/>
    <col min="7174" max="7174" width="9" style="1636"/>
    <col min="7175" max="7175" width="9.33203125" style="1636" bestFit="1" customWidth="1"/>
    <col min="7176" max="7177" width="9" style="1636"/>
    <col min="7178" max="7178" width="9.33203125" style="1636" bestFit="1" customWidth="1"/>
    <col min="7179" max="7179" width="4" style="1636" customWidth="1"/>
    <col min="7180" max="7180" width="5.109375" style="1636" customWidth="1"/>
    <col min="7181" max="7181" width="13.77734375" style="1636" customWidth="1"/>
    <col min="7182" max="7424" width="9" style="1636"/>
    <col min="7425" max="7425" width="4.88671875" style="1636" customWidth="1"/>
    <col min="7426" max="7426" width="13.21875" style="1636" customWidth="1"/>
    <col min="7427" max="7427" width="15.6640625" style="1636" customWidth="1"/>
    <col min="7428" max="7428" width="9.33203125" style="1636" bestFit="1" customWidth="1"/>
    <col min="7429" max="7429" width="13.44140625" style="1636" customWidth="1"/>
    <col min="7430" max="7430" width="9" style="1636"/>
    <col min="7431" max="7431" width="9.33203125" style="1636" bestFit="1" customWidth="1"/>
    <col min="7432" max="7433" width="9" style="1636"/>
    <col min="7434" max="7434" width="9.33203125" style="1636" bestFit="1" customWidth="1"/>
    <col min="7435" max="7435" width="4" style="1636" customWidth="1"/>
    <col min="7436" max="7436" width="5.109375" style="1636" customWidth="1"/>
    <col min="7437" max="7437" width="13.77734375" style="1636" customWidth="1"/>
    <col min="7438" max="7680" width="9" style="1636"/>
    <col min="7681" max="7681" width="4.88671875" style="1636" customWidth="1"/>
    <col min="7682" max="7682" width="13.21875" style="1636" customWidth="1"/>
    <col min="7683" max="7683" width="15.6640625" style="1636" customWidth="1"/>
    <col min="7684" max="7684" width="9.33203125" style="1636" bestFit="1" customWidth="1"/>
    <col min="7685" max="7685" width="13.44140625" style="1636" customWidth="1"/>
    <col min="7686" max="7686" width="9" style="1636"/>
    <col min="7687" max="7687" width="9.33203125" style="1636" bestFit="1" customWidth="1"/>
    <col min="7688" max="7689" width="9" style="1636"/>
    <col min="7690" max="7690" width="9.33203125" style="1636" bestFit="1" customWidth="1"/>
    <col min="7691" max="7691" width="4" style="1636" customWidth="1"/>
    <col min="7692" max="7692" width="5.109375" style="1636" customWidth="1"/>
    <col min="7693" max="7693" width="13.77734375" style="1636" customWidth="1"/>
    <col min="7694" max="7936" width="9" style="1636"/>
    <col min="7937" max="7937" width="4.88671875" style="1636" customWidth="1"/>
    <col min="7938" max="7938" width="13.21875" style="1636" customWidth="1"/>
    <col min="7939" max="7939" width="15.6640625" style="1636" customWidth="1"/>
    <col min="7940" max="7940" width="9.33203125" style="1636" bestFit="1" customWidth="1"/>
    <col min="7941" max="7941" width="13.44140625" style="1636" customWidth="1"/>
    <col min="7942" max="7942" width="9" style="1636"/>
    <col min="7943" max="7943" width="9.33203125" style="1636" bestFit="1" customWidth="1"/>
    <col min="7944" max="7945" width="9" style="1636"/>
    <col min="7946" max="7946" width="9.33203125" style="1636" bestFit="1" customWidth="1"/>
    <col min="7947" max="7947" width="4" style="1636" customWidth="1"/>
    <col min="7948" max="7948" width="5.109375" style="1636" customWidth="1"/>
    <col min="7949" max="7949" width="13.77734375" style="1636" customWidth="1"/>
    <col min="7950" max="8192" width="9" style="1636"/>
    <col min="8193" max="8193" width="4.88671875" style="1636" customWidth="1"/>
    <col min="8194" max="8194" width="13.21875" style="1636" customWidth="1"/>
    <col min="8195" max="8195" width="15.6640625" style="1636" customWidth="1"/>
    <col min="8196" max="8196" width="9.33203125" style="1636" bestFit="1" customWidth="1"/>
    <col min="8197" max="8197" width="13.44140625" style="1636" customWidth="1"/>
    <col min="8198" max="8198" width="9" style="1636"/>
    <col min="8199" max="8199" width="9.33203125" style="1636" bestFit="1" customWidth="1"/>
    <col min="8200" max="8201" width="9" style="1636"/>
    <col min="8202" max="8202" width="9.33203125" style="1636" bestFit="1" customWidth="1"/>
    <col min="8203" max="8203" width="4" style="1636" customWidth="1"/>
    <col min="8204" max="8204" width="5.109375" style="1636" customWidth="1"/>
    <col min="8205" max="8205" width="13.77734375" style="1636" customWidth="1"/>
    <col min="8206" max="8448" width="9" style="1636"/>
    <col min="8449" max="8449" width="4.88671875" style="1636" customWidth="1"/>
    <col min="8450" max="8450" width="13.21875" style="1636" customWidth="1"/>
    <col min="8451" max="8451" width="15.6640625" style="1636" customWidth="1"/>
    <col min="8452" max="8452" width="9.33203125" style="1636" bestFit="1" customWidth="1"/>
    <col min="8453" max="8453" width="13.44140625" style="1636" customWidth="1"/>
    <col min="8454" max="8454" width="9" style="1636"/>
    <col min="8455" max="8455" width="9.33203125" style="1636" bestFit="1" customWidth="1"/>
    <col min="8456" max="8457" width="9" style="1636"/>
    <col min="8458" max="8458" width="9.33203125" style="1636" bestFit="1" customWidth="1"/>
    <col min="8459" max="8459" width="4" style="1636" customWidth="1"/>
    <col min="8460" max="8460" width="5.109375" style="1636" customWidth="1"/>
    <col min="8461" max="8461" width="13.77734375" style="1636" customWidth="1"/>
    <col min="8462" max="8704" width="9" style="1636"/>
    <col min="8705" max="8705" width="4.88671875" style="1636" customWidth="1"/>
    <col min="8706" max="8706" width="13.21875" style="1636" customWidth="1"/>
    <col min="8707" max="8707" width="15.6640625" style="1636" customWidth="1"/>
    <col min="8708" max="8708" width="9.33203125" style="1636" bestFit="1" customWidth="1"/>
    <col min="8709" max="8709" width="13.44140625" style="1636" customWidth="1"/>
    <col min="8710" max="8710" width="9" style="1636"/>
    <col min="8711" max="8711" width="9.33203125" style="1636" bestFit="1" customWidth="1"/>
    <col min="8712" max="8713" width="9" style="1636"/>
    <col min="8714" max="8714" width="9.33203125" style="1636" bestFit="1" customWidth="1"/>
    <col min="8715" max="8715" width="4" style="1636" customWidth="1"/>
    <col min="8716" max="8716" width="5.109375" style="1636" customWidth="1"/>
    <col min="8717" max="8717" width="13.77734375" style="1636" customWidth="1"/>
    <col min="8718" max="8960" width="9" style="1636"/>
    <col min="8961" max="8961" width="4.88671875" style="1636" customWidth="1"/>
    <col min="8962" max="8962" width="13.21875" style="1636" customWidth="1"/>
    <col min="8963" max="8963" width="15.6640625" style="1636" customWidth="1"/>
    <col min="8964" max="8964" width="9.33203125" style="1636" bestFit="1" customWidth="1"/>
    <col min="8965" max="8965" width="13.44140625" style="1636" customWidth="1"/>
    <col min="8966" max="8966" width="9" style="1636"/>
    <col min="8967" max="8967" width="9.33203125" style="1636" bestFit="1" customWidth="1"/>
    <col min="8968" max="8969" width="9" style="1636"/>
    <col min="8970" max="8970" width="9.33203125" style="1636" bestFit="1" customWidth="1"/>
    <col min="8971" max="8971" width="4" style="1636" customWidth="1"/>
    <col min="8972" max="8972" width="5.109375" style="1636" customWidth="1"/>
    <col min="8973" max="8973" width="13.77734375" style="1636" customWidth="1"/>
    <col min="8974" max="9216" width="9" style="1636"/>
    <col min="9217" max="9217" width="4.88671875" style="1636" customWidth="1"/>
    <col min="9218" max="9218" width="13.21875" style="1636" customWidth="1"/>
    <col min="9219" max="9219" width="15.6640625" style="1636" customWidth="1"/>
    <col min="9220" max="9220" width="9.33203125" style="1636" bestFit="1" customWidth="1"/>
    <col min="9221" max="9221" width="13.44140625" style="1636" customWidth="1"/>
    <col min="9222" max="9222" width="9" style="1636"/>
    <col min="9223" max="9223" width="9.33203125" style="1636" bestFit="1" customWidth="1"/>
    <col min="9224" max="9225" width="9" style="1636"/>
    <col min="9226" max="9226" width="9.33203125" style="1636" bestFit="1" customWidth="1"/>
    <col min="9227" max="9227" width="4" style="1636" customWidth="1"/>
    <col min="9228" max="9228" width="5.109375" style="1636" customWidth="1"/>
    <col min="9229" max="9229" width="13.77734375" style="1636" customWidth="1"/>
    <col min="9230" max="9472" width="9" style="1636"/>
    <col min="9473" max="9473" width="4.88671875" style="1636" customWidth="1"/>
    <col min="9474" max="9474" width="13.21875" style="1636" customWidth="1"/>
    <col min="9475" max="9475" width="15.6640625" style="1636" customWidth="1"/>
    <col min="9476" max="9476" width="9.33203125" style="1636" bestFit="1" customWidth="1"/>
    <col min="9477" max="9477" width="13.44140625" style="1636" customWidth="1"/>
    <col min="9478" max="9478" width="9" style="1636"/>
    <col min="9479" max="9479" width="9.33203125" style="1636" bestFit="1" customWidth="1"/>
    <col min="9480" max="9481" width="9" style="1636"/>
    <col min="9482" max="9482" width="9.33203125" style="1636" bestFit="1" customWidth="1"/>
    <col min="9483" max="9483" width="4" style="1636" customWidth="1"/>
    <col min="9484" max="9484" width="5.109375" style="1636" customWidth="1"/>
    <col min="9485" max="9485" width="13.77734375" style="1636" customWidth="1"/>
    <col min="9486" max="9728" width="9" style="1636"/>
    <col min="9729" max="9729" width="4.88671875" style="1636" customWidth="1"/>
    <col min="9730" max="9730" width="13.21875" style="1636" customWidth="1"/>
    <col min="9731" max="9731" width="15.6640625" style="1636" customWidth="1"/>
    <col min="9732" max="9732" width="9.33203125" style="1636" bestFit="1" customWidth="1"/>
    <col min="9733" max="9733" width="13.44140625" style="1636" customWidth="1"/>
    <col min="9734" max="9734" width="9" style="1636"/>
    <col min="9735" max="9735" width="9.33203125" style="1636" bestFit="1" customWidth="1"/>
    <col min="9736" max="9737" width="9" style="1636"/>
    <col min="9738" max="9738" width="9.33203125" style="1636" bestFit="1" customWidth="1"/>
    <col min="9739" max="9739" width="4" style="1636" customWidth="1"/>
    <col min="9740" max="9740" width="5.109375" style="1636" customWidth="1"/>
    <col min="9741" max="9741" width="13.77734375" style="1636" customWidth="1"/>
    <col min="9742" max="9984" width="9" style="1636"/>
    <col min="9985" max="9985" width="4.88671875" style="1636" customWidth="1"/>
    <col min="9986" max="9986" width="13.21875" style="1636" customWidth="1"/>
    <col min="9987" max="9987" width="15.6640625" style="1636" customWidth="1"/>
    <col min="9988" max="9988" width="9.33203125" style="1636" bestFit="1" customWidth="1"/>
    <col min="9989" max="9989" width="13.44140625" style="1636" customWidth="1"/>
    <col min="9990" max="9990" width="9" style="1636"/>
    <col min="9991" max="9991" width="9.33203125" style="1636" bestFit="1" customWidth="1"/>
    <col min="9992" max="9993" width="9" style="1636"/>
    <col min="9994" max="9994" width="9.33203125" style="1636" bestFit="1" customWidth="1"/>
    <col min="9995" max="9995" width="4" style="1636" customWidth="1"/>
    <col min="9996" max="9996" width="5.109375" style="1636" customWidth="1"/>
    <col min="9997" max="9997" width="13.77734375" style="1636" customWidth="1"/>
    <col min="9998" max="10240" width="9" style="1636"/>
    <col min="10241" max="10241" width="4.88671875" style="1636" customWidth="1"/>
    <col min="10242" max="10242" width="13.21875" style="1636" customWidth="1"/>
    <col min="10243" max="10243" width="15.6640625" style="1636" customWidth="1"/>
    <col min="10244" max="10244" width="9.33203125" style="1636" bestFit="1" customWidth="1"/>
    <col min="10245" max="10245" width="13.44140625" style="1636" customWidth="1"/>
    <col min="10246" max="10246" width="9" style="1636"/>
    <col min="10247" max="10247" width="9.33203125" style="1636" bestFit="1" customWidth="1"/>
    <col min="10248" max="10249" width="9" style="1636"/>
    <col min="10250" max="10250" width="9.33203125" style="1636" bestFit="1" customWidth="1"/>
    <col min="10251" max="10251" width="4" style="1636" customWidth="1"/>
    <col min="10252" max="10252" width="5.109375" style="1636" customWidth="1"/>
    <col min="10253" max="10253" width="13.77734375" style="1636" customWidth="1"/>
    <col min="10254" max="10496" width="9" style="1636"/>
    <col min="10497" max="10497" width="4.88671875" style="1636" customWidth="1"/>
    <col min="10498" max="10498" width="13.21875" style="1636" customWidth="1"/>
    <col min="10499" max="10499" width="15.6640625" style="1636" customWidth="1"/>
    <col min="10500" max="10500" width="9.33203125" style="1636" bestFit="1" customWidth="1"/>
    <col min="10501" max="10501" width="13.44140625" style="1636" customWidth="1"/>
    <col min="10502" max="10502" width="9" style="1636"/>
    <col min="10503" max="10503" width="9.33203125" style="1636" bestFit="1" customWidth="1"/>
    <col min="10504" max="10505" width="9" style="1636"/>
    <col min="10506" max="10506" width="9.33203125" style="1636" bestFit="1" customWidth="1"/>
    <col min="10507" max="10507" width="4" style="1636" customWidth="1"/>
    <col min="10508" max="10508" width="5.109375" style="1636" customWidth="1"/>
    <col min="10509" max="10509" width="13.77734375" style="1636" customWidth="1"/>
    <col min="10510" max="10752" width="9" style="1636"/>
    <col min="10753" max="10753" width="4.88671875" style="1636" customWidth="1"/>
    <col min="10754" max="10754" width="13.21875" style="1636" customWidth="1"/>
    <col min="10755" max="10755" width="15.6640625" style="1636" customWidth="1"/>
    <col min="10756" max="10756" width="9.33203125" style="1636" bestFit="1" customWidth="1"/>
    <col min="10757" max="10757" width="13.44140625" style="1636" customWidth="1"/>
    <col min="10758" max="10758" width="9" style="1636"/>
    <col min="10759" max="10759" width="9.33203125" style="1636" bestFit="1" customWidth="1"/>
    <col min="10760" max="10761" width="9" style="1636"/>
    <col min="10762" max="10762" width="9.33203125" style="1636" bestFit="1" customWidth="1"/>
    <col min="10763" max="10763" width="4" style="1636" customWidth="1"/>
    <col min="10764" max="10764" width="5.109375" style="1636" customWidth="1"/>
    <col min="10765" max="10765" width="13.77734375" style="1636" customWidth="1"/>
    <col min="10766" max="11008" width="9" style="1636"/>
    <col min="11009" max="11009" width="4.88671875" style="1636" customWidth="1"/>
    <col min="11010" max="11010" width="13.21875" style="1636" customWidth="1"/>
    <col min="11011" max="11011" width="15.6640625" style="1636" customWidth="1"/>
    <col min="11012" max="11012" width="9.33203125" style="1636" bestFit="1" customWidth="1"/>
    <col min="11013" max="11013" width="13.44140625" style="1636" customWidth="1"/>
    <col min="11014" max="11014" width="9" style="1636"/>
    <col min="11015" max="11015" width="9.33203125" style="1636" bestFit="1" customWidth="1"/>
    <col min="11016" max="11017" width="9" style="1636"/>
    <col min="11018" max="11018" width="9.33203125" style="1636" bestFit="1" customWidth="1"/>
    <col min="11019" max="11019" width="4" style="1636" customWidth="1"/>
    <col min="11020" max="11020" width="5.109375" style="1636" customWidth="1"/>
    <col min="11021" max="11021" width="13.77734375" style="1636" customWidth="1"/>
    <col min="11022" max="11264" width="9" style="1636"/>
    <col min="11265" max="11265" width="4.88671875" style="1636" customWidth="1"/>
    <col min="11266" max="11266" width="13.21875" style="1636" customWidth="1"/>
    <col min="11267" max="11267" width="15.6640625" style="1636" customWidth="1"/>
    <col min="11268" max="11268" width="9.33203125" style="1636" bestFit="1" customWidth="1"/>
    <col min="11269" max="11269" width="13.44140625" style="1636" customWidth="1"/>
    <col min="11270" max="11270" width="9" style="1636"/>
    <col min="11271" max="11271" width="9.33203125" style="1636" bestFit="1" customWidth="1"/>
    <col min="11272" max="11273" width="9" style="1636"/>
    <col min="11274" max="11274" width="9.33203125" style="1636" bestFit="1" customWidth="1"/>
    <col min="11275" max="11275" width="4" style="1636" customWidth="1"/>
    <col min="11276" max="11276" width="5.109375" style="1636" customWidth="1"/>
    <col min="11277" max="11277" width="13.77734375" style="1636" customWidth="1"/>
    <col min="11278" max="11520" width="9" style="1636"/>
    <col min="11521" max="11521" width="4.88671875" style="1636" customWidth="1"/>
    <col min="11522" max="11522" width="13.21875" style="1636" customWidth="1"/>
    <col min="11523" max="11523" width="15.6640625" style="1636" customWidth="1"/>
    <col min="11524" max="11524" width="9.33203125" style="1636" bestFit="1" customWidth="1"/>
    <col min="11525" max="11525" width="13.44140625" style="1636" customWidth="1"/>
    <col min="11526" max="11526" width="9" style="1636"/>
    <col min="11527" max="11527" width="9.33203125" style="1636" bestFit="1" customWidth="1"/>
    <col min="11528" max="11529" width="9" style="1636"/>
    <col min="11530" max="11530" width="9.33203125" style="1636" bestFit="1" customWidth="1"/>
    <col min="11531" max="11531" width="4" style="1636" customWidth="1"/>
    <col min="11532" max="11532" width="5.109375" style="1636" customWidth="1"/>
    <col min="11533" max="11533" width="13.77734375" style="1636" customWidth="1"/>
    <col min="11534" max="11776" width="9" style="1636"/>
    <col min="11777" max="11777" width="4.88671875" style="1636" customWidth="1"/>
    <col min="11778" max="11778" width="13.21875" style="1636" customWidth="1"/>
    <col min="11779" max="11779" width="15.6640625" style="1636" customWidth="1"/>
    <col min="11780" max="11780" width="9.33203125" style="1636" bestFit="1" customWidth="1"/>
    <col min="11781" max="11781" width="13.44140625" style="1636" customWidth="1"/>
    <col min="11782" max="11782" width="9" style="1636"/>
    <col min="11783" max="11783" width="9.33203125" style="1636" bestFit="1" customWidth="1"/>
    <col min="11784" max="11785" width="9" style="1636"/>
    <col min="11786" max="11786" width="9.33203125" style="1636" bestFit="1" customWidth="1"/>
    <col min="11787" max="11787" width="4" style="1636" customWidth="1"/>
    <col min="11788" max="11788" width="5.109375" style="1636" customWidth="1"/>
    <col min="11789" max="11789" width="13.77734375" style="1636" customWidth="1"/>
    <col min="11790" max="12032" width="9" style="1636"/>
    <col min="12033" max="12033" width="4.88671875" style="1636" customWidth="1"/>
    <col min="12034" max="12034" width="13.21875" style="1636" customWidth="1"/>
    <col min="12035" max="12035" width="15.6640625" style="1636" customWidth="1"/>
    <col min="12036" max="12036" width="9.33203125" style="1636" bestFit="1" customWidth="1"/>
    <col min="12037" max="12037" width="13.44140625" style="1636" customWidth="1"/>
    <col min="12038" max="12038" width="9" style="1636"/>
    <col min="12039" max="12039" width="9.33203125" style="1636" bestFit="1" customWidth="1"/>
    <col min="12040" max="12041" width="9" style="1636"/>
    <col min="12042" max="12042" width="9.33203125" style="1636" bestFit="1" customWidth="1"/>
    <col min="12043" max="12043" width="4" style="1636" customWidth="1"/>
    <col min="12044" max="12044" width="5.109375" style="1636" customWidth="1"/>
    <col min="12045" max="12045" width="13.77734375" style="1636" customWidth="1"/>
    <col min="12046" max="12288" width="9" style="1636"/>
    <col min="12289" max="12289" width="4.88671875" style="1636" customWidth="1"/>
    <col min="12290" max="12290" width="13.21875" style="1636" customWidth="1"/>
    <col min="12291" max="12291" width="15.6640625" style="1636" customWidth="1"/>
    <col min="12292" max="12292" width="9.33203125" style="1636" bestFit="1" customWidth="1"/>
    <col min="12293" max="12293" width="13.44140625" style="1636" customWidth="1"/>
    <col min="12294" max="12294" width="9" style="1636"/>
    <col min="12295" max="12295" width="9.33203125" style="1636" bestFit="1" customWidth="1"/>
    <col min="12296" max="12297" width="9" style="1636"/>
    <col min="12298" max="12298" width="9.33203125" style="1636" bestFit="1" customWidth="1"/>
    <col min="12299" max="12299" width="4" style="1636" customWidth="1"/>
    <col min="12300" max="12300" width="5.109375" style="1636" customWidth="1"/>
    <col min="12301" max="12301" width="13.77734375" style="1636" customWidth="1"/>
    <col min="12302" max="12544" width="9" style="1636"/>
    <col min="12545" max="12545" width="4.88671875" style="1636" customWidth="1"/>
    <col min="12546" max="12546" width="13.21875" style="1636" customWidth="1"/>
    <col min="12547" max="12547" width="15.6640625" style="1636" customWidth="1"/>
    <col min="12548" max="12548" width="9.33203125" style="1636" bestFit="1" customWidth="1"/>
    <col min="12549" max="12549" width="13.44140625" style="1636" customWidth="1"/>
    <col min="12550" max="12550" width="9" style="1636"/>
    <col min="12551" max="12551" width="9.33203125" style="1636" bestFit="1" customWidth="1"/>
    <col min="12552" max="12553" width="9" style="1636"/>
    <col min="12554" max="12554" width="9.33203125" style="1636" bestFit="1" customWidth="1"/>
    <col min="12555" max="12555" width="4" style="1636" customWidth="1"/>
    <col min="12556" max="12556" width="5.109375" style="1636" customWidth="1"/>
    <col min="12557" max="12557" width="13.77734375" style="1636" customWidth="1"/>
    <col min="12558" max="12800" width="9" style="1636"/>
    <col min="12801" max="12801" width="4.88671875" style="1636" customWidth="1"/>
    <col min="12802" max="12802" width="13.21875" style="1636" customWidth="1"/>
    <col min="12803" max="12803" width="15.6640625" style="1636" customWidth="1"/>
    <col min="12804" max="12804" width="9.33203125" style="1636" bestFit="1" customWidth="1"/>
    <col min="12805" max="12805" width="13.44140625" style="1636" customWidth="1"/>
    <col min="12806" max="12806" width="9" style="1636"/>
    <col min="12807" max="12807" width="9.33203125" style="1636" bestFit="1" customWidth="1"/>
    <col min="12808" max="12809" width="9" style="1636"/>
    <col min="12810" max="12810" width="9.33203125" style="1636" bestFit="1" customWidth="1"/>
    <col min="12811" max="12811" width="4" style="1636" customWidth="1"/>
    <col min="12812" max="12812" width="5.109375" style="1636" customWidth="1"/>
    <col min="12813" max="12813" width="13.77734375" style="1636" customWidth="1"/>
    <col min="12814" max="13056" width="9" style="1636"/>
    <col min="13057" max="13057" width="4.88671875" style="1636" customWidth="1"/>
    <col min="13058" max="13058" width="13.21875" style="1636" customWidth="1"/>
    <col min="13059" max="13059" width="15.6640625" style="1636" customWidth="1"/>
    <col min="13060" max="13060" width="9.33203125" style="1636" bestFit="1" customWidth="1"/>
    <col min="13061" max="13061" width="13.44140625" style="1636" customWidth="1"/>
    <col min="13062" max="13062" width="9" style="1636"/>
    <col min="13063" max="13063" width="9.33203125" style="1636" bestFit="1" customWidth="1"/>
    <col min="13064" max="13065" width="9" style="1636"/>
    <col min="13066" max="13066" width="9.33203125" style="1636" bestFit="1" customWidth="1"/>
    <col min="13067" max="13067" width="4" style="1636" customWidth="1"/>
    <col min="13068" max="13068" width="5.109375" style="1636" customWidth="1"/>
    <col min="13069" max="13069" width="13.77734375" style="1636" customWidth="1"/>
    <col min="13070" max="13312" width="9" style="1636"/>
    <col min="13313" max="13313" width="4.88671875" style="1636" customWidth="1"/>
    <col min="13314" max="13314" width="13.21875" style="1636" customWidth="1"/>
    <col min="13315" max="13315" width="15.6640625" style="1636" customWidth="1"/>
    <col min="13316" max="13316" width="9.33203125" style="1636" bestFit="1" customWidth="1"/>
    <col min="13317" max="13317" width="13.44140625" style="1636" customWidth="1"/>
    <col min="13318" max="13318" width="9" style="1636"/>
    <col min="13319" max="13319" width="9.33203125" style="1636" bestFit="1" customWidth="1"/>
    <col min="13320" max="13321" width="9" style="1636"/>
    <col min="13322" max="13322" width="9.33203125" style="1636" bestFit="1" customWidth="1"/>
    <col min="13323" max="13323" width="4" style="1636" customWidth="1"/>
    <col min="13324" max="13324" width="5.109375" style="1636" customWidth="1"/>
    <col min="13325" max="13325" width="13.77734375" style="1636" customWidth="1"/>
    <col min="13326" max="13568" width="9" style="1636"/>
    <col min="13569" max="13569" width="4.88671875" style="1636" customWidth="1"/>
    <col min="13570" max="13570" width="13.21875" style="1636" customWidth="1"/>
    <col min="13571" max="13571" width="15.6640625" style="1636" customWidth="1"/>
    <col min="13572" max="13572" width="9.33203125" style="1636" bestFit="1" customWidth="1"/>
    <col min="13573" max="13573" width="13.44140625" style="1636" customWidth="1"/>
    <col min="13574" max="13574" width="9" style="1636"/>
    <col min="13575" max="13575" width="9.33203125" style="1636" bestFit="1" customWidth="1"/>
    <col min="13576" max="13577" width="9" style="1636"/>
    <col min="13578" max="13578" width="9.33203125" style="1636" bestFit="1" customWidth="1"/>
    <col min="13579" max="13579" width="4" style="1636" customWidth="1"/>
    <col min="13580" max="13580" width="5.109375" style="1636" customWidth="1"/>
    <col min="13581" max="13581" width="13.77734375" style="1636" customWidth="1"/>
    <col min="13582" max="13824" width="9" style="1636"/>
    <col min="13825" max="13825" width="4.88671875" style="1636" customWidth="1"/>
    <col min="13826" max="13826" width="13.21875" style="1636" customWidth="1"/>
    <col min="13827" max="13827" width="15.6640625" style="1636" customWidth="1"/>
    <col min="13828" max="13828" width="9.33203125" style="1636" bestFit="1" customWidth="1"/>
    <col min="13829" max="13829" width="13.44140625" style="1636" customWidth="1"/>
    <col min="13830" max="13830" width="9" style="1636"/>
    <col min="13831" max="13831" width="9.33203125" style="1636" bestFit="1" customWidth="1"/>
    <col min="13832" max="13833" width="9" style="1636"/>
    <col min="13834" max="13834" width="9.33203125" style="1636" bestFit="1" customWidth="1"/>
    <col min="13835" max="13835" width="4" style="1636" customWidth="1"/>
    <col min="13836" max="13836" width="5.109375" style="1636" customWidth="1"/>
    <col min="13837" max="13837" width="13.77734375" style="1636" customWidth="1"/>
    <col min="13838" max="14080" width="9" style="1636"/>
    <col min="14081" max="14081" width="4.88671875" style="1636" customWidth="1"/>
    <col min="14082" max="14082" width="13.21875" style="1636" customWidth="1"/>
    <col min="14083" max="14083" width="15.6640625" style="1636" customWidth="1"/>
    <col min="14084" max="14084" width="9.33203125" style="1636" bestFit="1" customWidth="1"/>
    <col min="14085" max="14085" width="13.44140625" style="1636" customWidth="1"/>
    <col min="14086" max="14086" width="9" style="1636"/>
    <col min="14087" max="14087" width="9.33203125" style="1636" bestFit="1" customWidth="1"/>
    <col min="14088" max="14089" width="9" style="1636"/>
    <col min="14090" max="14090" width="9.33203125" style="1636" bestFit="1" customWidth="1"/>
    <col min="14091" max="14091" width="4" style="1636" customWidth="1"/>
    <col min="14092" max="14092" width="5.109375" style="1636" customWidth="1"/>
    <col min="14093" max="14093" width="13.77734375" style="1636" customWidth="1"/>
    <col min="14094" max="14336" width="9" style="1636"/>
    <col min="14337" max="14337" width="4.88671875" style="1636" customWidth="1"/>
    <col min="14338" max="14338" width="13.21875" style="1636" customWidth="1"/>
    <col min="14339" max="14339" width="15.6640625" style="1636" customWidth="1"/>
    <col min="14340" max="14340" width="9.33203125" style="1636" bestFit="1" customWidth="1"/>
    <col min="14341" max="14341" width="13.44140625" style="1636" customWidth="1"/>
    <col min="14342" max="14342" width="9" style="1636"/>
    <col min="14343" max="14343" width="9.33203125" style="1636" bestFit="1" customWidth="1"/>
    <col min="14344" max="14345" width="9" style="1636"/>
    <col min="14346" max="14346" width="9.33203125" style="1636" bestFit="1" customWidth="1"/>
    <col min="14347" max="14347" width="4" style="1636" customWidth="1"/>
    <col min="14348" max="14348" width="5.109375" style="1636" customWidth="1"/>
    <col min="14349" max="14349" width="13.77734375" style="1636" customWidth="1"/>
    <col min="14350" max="14592" width="9" style="1636"/>
    <col min="14593" max="14593" width="4.88671875" style="1636" customWidth="1"/>
    <col min="14594" max="14594" width="13.21875" style="1636" customWidth="1"/>
    <col min="14595" max="14595" width="15.6640625" style="1636" customWidth="1"/>
    <col min="14596" max="14596" width="9.33203125" style="1636" bestFit="1" customWidth="1"/>
    <col min="14597" max="14597" width="13.44140625" style="1636" customWidth="1"/>
    <col min="14598" max="14598" width="9" style="1636"/>
    <col min="14599" max="14599" width="9.33203125" style="1636" bestFit="1" customWidth="1"/>
    <col min="14600" max="14601" width="9" style="1636"/>
    <col min="14602" max="14602" width="9.33203125" style="1636" bestFit="1" customWidth="1"/>
    <col min="14603" max="14603" width="4" style="1636" customWidth="1"/>
    <col min="14604" max="14604" width="5.109375" style="1636" customWidth="1"/>
    <col min="14605" max="14605" width="13.77734375" style="1636" customWidth="1"/>
    <col min="14606" max="14848" width="9" style="1636"/>
    <col min="14849" max="14849" width="4.88671875" style="1636" customWidth="1"/>
    <col min="14850" max="14850" width="13.21875" style="1636" customWidth="1"/>
    <col min="14851" max="14851" width="15.6640625" style="1636" customWidth="1"/>
    <col min="14852" max="14852" width="9.33203125" style="1636" bestFit="1" customWidth="1"/>
    <col min="14853" max="14853" width="13.44140625" style="1636" customWidth="1"/>
    <col min="14854" max="14854" width="9" style="1636"/>
    <col min="14855" max="14855" width="9.33203125" style="1636" bestFit="1" customWidth="1"/>
    <col min="14856" max="14857" width="9" style="1636"/>
    <col min="14858" max="14858" width="9.33203125" style="1636" bestFit="1" customWidth="1"/>
    <col min="14859" max="14859" width="4" style="1636" customWidth="1"/>
    <col min="14860" max="14860" width="5.109375" style="1636" customWidth="1"/>
    <col min="14861" max="14861" width="13.77734375" style="1636" customWidth="1"/>
    <col min="14862" max="15104" width="9" style="1636"/>
    <col min="15105" max="15105" width="4.88671875" style="1636" customWidth="1"/>
    <col min="15106" max="15106" width="13.21875" style="1636" customWidth="1"/>
    <col min="15107" max="15107" width="15.6640625" style="1636" customWidth="1"/>
    <col min="15108" max="15108" width="9.33203125" style="1636" bestFit="1" customWidth="1"/>
    <col min="15109" max="15109" width="13.44140625" style="1636" customWidth="1"/>
    <col min="15110" max="15110" width="9" style="1636"/>
    <col min="15111" max="15111" width="9.33203125" style="1636" bestFit="1" customWidth="1"/>
    <col min="15112" max="15113" width="9" style="1636"/>
    <col min="15114" max="15114" width="9.33203125" style="1636" bestFit="1" customWidth="1"/>
    <col min="15115" max="15115" width="4" style="1636" customWidth="1"/>
    <col min="15116" max="15116" width="5.109375" style="1636" customWidth="1"/>
    <col min="15117" max="15117" width="13.77734375" style="1636" customWidth="1"/>
    <col min="15118" max="15360" width="9" style="1636"/>
    <col min="15361" max="15361" width="4.88671875" style="1636" customWidth="1"/>
    <col min="15362" max="15362" width="13.21875" style="1636" customWidth="1"/>
    <col min="15363" max="15363" width="15.6640625" style="1636" customWidth="1"/>
    <col min="15364" max="15364" width="9.33203125" style="1636" bestFit="1" customWidth="1"/>
    <col min="15365" max="15365" width="13.44140625" style="1636" customWidth="1"/>
    <col min="15366" max="15366" width="9" style="1636"/>
    <col min="15367" max="15367" width="9.33203125" style="1636" bestFit="1" customWidth="1"/>
    <col min="15368" max="15369" width="9" style="1636"/>
    <col min="15370" max="15370" width="9.33203125" style="1636" bestFit="1" customWidth="1"/>
    <col min="15371" max="15371" width="4" style="1636" customWidth="1"/>
    <col min="15372" max="15372" width="5.109375" style="1636" customWidth="1"/>
    <col min="15373" max="15373" width="13.77734375" style="1636" customWidth="1"/>
    <col min="15374" max="15616" width="9" style="1636"/>
    <col min="15617" max="15617" width="4.88671875" style="1636" customWidth="1"/>
    <col min="15618" max="15618" width="13.21875" style="1636" customWidth="1"/>
    <col min="15619" max="15619" width="15.6640625" style="1636" customWidth="1"/>
    <col min="15620" max="15620" width="9.33203125" style="1636" bestFit="1" customWidth="1"/>
    <col min="15621" max="15621" width="13.44140625" style="1636" customWidth="1"/>
    <col min="15622" max="15622" width="9" style="1636"/>
    <col min="15623" max="15623" width="9.33203125" style="1636" bestFit="1" customWidth="1"/>
    <col min="15624" max="15625" width="9" style="1636"/>
    <col min="15626" max="15626" width="9.33203125" style="1636" bestFit="1" customWidth="1"/>
    <col min="15627" max="15627" width="4" style="1636" customWidth="1"/>
    <col min="15628" max="15628" width="5.109375" style="1636" customWidth="1"/>
    <col min="15629" max="15629" width="13.77734375" style="1636" customWidth="1"/>
    <col min="15630" max="15872" width="9" style="1636"/>
    <col min="15873" max="15873" width="4.88671875" style="1636" customWidth="1"/>
    <col min="15874" max="15874" width="13.21875" style="1636" customWidth="1"/>
    <col min="15875" max="15875" width="15.6640625" style="1636" customWidth="1"/>
    <col min="15876" max="15876" width="9.33203125" style="1636" bestFit="1" customWidth="1"/>
    <col min="15877" max="15877" width="13.44140625" style="1636" customWidth="1"/>
    <col min="15878" max="15878" width="9" style="1636"/>
    <col min="15879" max="15879" width="9.33203125" style="1636" bestFit="1" customWidth="1"/>
    <col min="15880" max="15881" width="9" style="1636"/>
    <col min="15882" max="15882" width="9.33203125" style="1636" bestFit="1" customWidth="1"/>
    <col min="15883" max="15883" width="4" style="1636" customWidth="1"/>
    <col min="15884" max="15884" width="5.109375" style="1636" customWidth="1"/>
    <col min="15885" max="15885" width="13.77734375" style="1636" customWidth="1"/>
    <col min="15886" max="16128" width="9" style="1636"/>
    <col min="16129" max="16129" width="4.88671875" style="1636" customWidth="1"/>
    <col min="16130" max="16130" width="13.21875" style="1636" customWidth="1"/>
    <col min="16131" max="16131" width="15.6640625" style="1636" customWidth="1"/>
    <col min="16132" max="16132" width="9.33203125" style="1636" bestFit="1" customWidth="1"/>
    <col min="16133" max="16133" width="13.44140625" style="1636" customWidth="1"/>
    <col min="16134" max="16134" width="9" style="1636"/>
    <col min="16135" max="16135" width="9.33203125" style="1636" bestFit="1" customWidth="1"/>
    <col min="16136" max="16137" width="9" style="1636"/>
    <col min="16138" max="16138" width="9.33203125" style="1636" bestFit="1" customWidth="1"/>
    <col min="16139" max="16139" width="4" style="1636" customWidth="1"/>
    <col min="16140" max="16140" width="5.109375" style="1636" customWidth="1"/>
    <col min="16141" max="16141" width="13.77734375" style="1636" customWidth="1"/>
    <col min="16142" max="16384" width="9" style="1636"/>
  </cols>
  <sheetData>
    <row r="1" spans="1:257" s="1700" customFormat="1" ht="15" thickBot="1">
      <c r="A1" s="1694"/>
      <c r="B1" s="1701" t="s">
        <v>1300</v>
      </c>
      <c r="C1" s="1695">
        <f>项目基本情况!D3</f>
        <v>43458</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6"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399999999999999">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2">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31.2">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6.8">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3" t="s">
        <v>1372</v>
      </c>
      <c r="E1" s="1777" t="s">
        <v>1376</v>
      </c>
      <c r="F1" s="1778" t="s">
        <v>1380</v>
      </c>
    </row>
    <row r="2" spans="1:13" ht="19.8">
      <c r="A2" s="1784" t="s">
        <v>1373</v>
      </c>
    </row>
    <row r="3" spans="1:13" ht="15.6">
      <c r="A3" s="1785" t="s">
        <v>1374</v>
      </c>
    </row>
    <row r="4" spans="1:13">
      <c r="A4" s="1775" t="s">
        <v>1375</v>
      </c>
      <c r="B4" s="1780" t="s">
        <v>1377</v>
      </c>
      <c r="C4" s="1781"/>
      <c r="D4" s="1782"/>
      <c r="E4" s="1780" t="s">
        <v>27</v>
      </c>
      <c r="F4" s="1781"/>
      <c r="G4" s="1782"/>
      <c r="H4" s="1780" t="s">
        <v>1378</v>
      </c>
      <c r="I4" s="1781"/>
      <c r="J4" s="1782"/>
      <c r="K4" s="1780" t="s">
        <v>6</v>
      </c>
      <c r="L4" s="1781"/>
      <c r="M4" s="1782"/>
    </row>
    <row r="5" spans="1:13">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D27" sqref="D27"/>
    </sheetView>
  </sheetViews>
  <sheetFormatPr defaultColWidth="9" defaultRowHeight="13.8"/>
  <cols>
    <col min="1" max="1" width="16.6640625" style="1946" customWidth="1"/>
    <col min="2" max="3" width="22.33203125" style="1946" customWidth="1"/>
    <col min="4" max="4" width="23" style="1946" customWidth="1"/>
    <col min="5" max="16384" width="9" style="1946"/>
  </cols>
  <sheetData>
    <row r="1" spans="1:4" ht="17.399999999999999">
      <c r="A1" s="3269" t="s">
        <v>1662</v>
      </c>
      <c r="B1" s="3269"/>
      <c r="C1" s="3269"/>
      <c r="D1" s="3269"/>
    </row>
    <row r="2" spans="1:4" ht="17.399999999999999">
      <c r="A2" s="3270" t="s">
        <v>1646</v>
      </c>
      <c r="B2" s="3270"/>
      <c r="C2" s="3270"/>
      <c r="D2" s="3270"/>
    </row>
    <row r="3" spans="1:4" ht="17.399999999999999">
      <c r="A3" s="1978" t="s">
        <v>1647</v>
      </c>
      <c r="B3" s="1978" t="s">
        <v>1648</v>
      </c>
      <c r="C3" s="1978" t="s">
        <v>1649</v>
      </c>
      <c r="D3" s="1978" t="s">
        <v>1650</v>
      </c>
    </row>
    <row r="4" spans="1:4" ht="56.25" customHeight="1">
      <c r="A4" s="1979" t="str">
        <f>项目基本情况!B4</f>
        <v>欧红伟</v>
      </c>
      <c r="B4" s="1980">
        <f ca="1">项目基本情况!C4</f>
        <v>1120000080</v>
      </c>
      <c r="C4" s="1981"/>
      <c r="D4" s="1982" t="s">
        <v>1651</v>
      </c>
    </row>
    <row r="5" spans="1:4" ht="56.25" customHeight="1">
      <c r="A5" s="1979" t="str">
        <f>项目基本情况!D4</f>
        <v>崔锴</v>
      </c>
      <c r="B5" s="1980">
        <f ca="1">项目基本情况!E4</f>
        <v>1120100036</v>
      </c>
      <c r="C5" s="1983"/>
      <c r="D5" s="1982" t="s">
        <v>1651</v>
      </c>
    </row>
    <row r="6" spans="1:4" ht="17.399999999999999">
      <c r="A6" s="3270" t="s">
        <v>1652</v>
      </c>
      <c r="B6" s="3270"/>
      <c r="C6" s="3270"/>
      <c r="D6" s="3270"/>
    </row>
    <row r="7" spans="1:4" ht="17.399999999999999">
      <c r="A7" s="1978" t="s">
        <v>1647</v>
      </c>
      <c r="B7" s="1980" t="s">
        <v>1653</v>
      </c>
      <c r="C7" s="1978" t="s">
        <v>1649</v>
      </c>
      <c r="D7" s="1978" t="s">
        <v>1650</v>
      </c>
    </row>
    <row r="8" spans="1:4" ht="56.25" customHeight="1">
      <c r="A8" s="1984" t="s">
        <v>869</v>
      </c>
      <c r="B8" s="1984" t="s">
        <v>1</v>
      </c>
      <c r="C8" s="1981"/>
      <c r="D8" s="1982" t="s">
        <v>1651</v>
      </c>
    </row>
    <row r="9" spans="1:4">
      <c r="A9" s="728"/>
      <c r="B9" s="728"/>
      <c r="C9" s="728"/>
      <c r="D9" s="728"/>
    </row>
    <row r="10" spans="1:4" ht="17.399999999999999">
      <c r="A10" s="1985" t="s">
        <v>1654</v>
      </c>
      <c r="B10" s="728"/>
      <c r="C10" s="728"/>
      <c r="D10" s="728"/>
    </row>
    <row r="11" spans="1:4" ht="30" customHeight="1">
      <c r="A11" s="3271" t="s">
        <v>1655</v>
      </c>
      <c r="B11" s="3272"/>
      <c r="C11" s="3272"/>
      <c r="D11" s="3272"/>
    </row>
    <row r="12" spans="1:4" ht="15.6">
      <c r="A12" s="32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3"/>
      <c r="C12" s="3273"/>
      <c r="D12" s="3273"/>
    </row>
    <row r="13" spans="1:4" ht="30" customHeight="1">
      <c r="A13" s="32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3"/>
      <c r="C13" s="3273"/>
      <c r="D13" s="3273"/>
    </row>
    <row r="14" spans="1:4" ht="15.75" customHeight="1">
      <c r="A14" s="3272" t="str">
        <f>IF(项目基本情况!B8="抵押","4.本次评估估价师所知悉的法定优先受偿款情况说明如下：","——")</f>
        <v>4.本次评估估价师所知悉的法定优先受偿款情况说明如下：</v>
      </c>
      <c r="B14" s="3273"/>
      <c r="C14" s="3273"/>
      <c r="D14" s="3273"/>
    </row>
    <row r="15" spans="1:4" ht="42" customHeight="1">
      <c r="A15" s="3272"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2"/>
      <c r="C15" s="3272"/>
      <c r="D15" s="3272"/>
    </row>
    <row r="16" spans="1:4" ht="30" customHeight="1">
      <c r="A16" s="3275" t="s">
        <v>1656</v>
      </c>
      <c r="B16" s="3275"/>
      <c r="C16" s="3275"/>
      <c r="D16" s="3275"/>
    </row>
    <row r="17" spans="1:4" ht="144" customHeight="1">
      <c r="A17" s="3275" t="s">
        <v>1657</v>
      </c>
      <c r="B17" s="3275"/>
      <c r="C17" s="3275"/>
      <c r="D17" s="3275"/>
    </row>
    <row r="18" spans="1:4" ht="15.75" customHeight="1">
      <c r="A18" s="3272" t="str">
        <f>IF(项目基本情况!B8="抵押",结果表!K120,"——")</f>
        <v>故，本次评估不存在估价师知悉的法定优先受偿款</v>
      </c>
      <c r="B18" s="3272"/>
      <c r="C18" s="3272"/>
      <c r="D18" s="3272"/>
    </row>
    <row r="19" spans="1:4" ht="46.5" customHeight="1">
      <c r="A19" s="32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2"/>
      <c r="C19" s="3272"/>
      <c r="D19" s="3272"/>
    </row>
    <row r="20" spans="1:4" ht="57.75" customHeight="1">
      <c r="A20" s="32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2"/>
      <c r="C20" s="3272"/>
      <c r="D20" s="3272"/>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6"/>
      <c r="C21" s="3276"/>
      <c r="D21" s="3276"/>
    </row>
    <row r="22" spans="1:4" ht="18.75" customHeight="1">
      <c r="A22" s="3277" t="s">
        <v>1658</v>
      </c>
      <c r="B22" s="3277"/>
      <c r="C22" s="3277"/>
      <c r="D22" s="3277"/>
    </row>
    <row r="23" spans="1:4">
      <c r="A23" s="1986"/>
      <c r="B23" s="1958"/>
      <c r="C23" s="1958"/>
      <c r="D23" s="1958"/>
    </row>
    <row r="24" spans="1:4">
      <c r="A24" s="1986"/>
      <c r="B24" s="1958"/>
      <c r="C24" s="1958"/>
      <c r="D24" s="1958"/>
    </row>
    <row r="25" spans="1:4" ht="17.399999999999999">
      <c r="A25" s="1987" t="s">
        <v>1659</v>
      </c>
    </row>
    <row r="26" spans="1:4" ht="17.399999999999999">
      <c r="A26" s="1956"/>
    </row>
    <row r="27" spans="1:4" ht="17.399999999999999">
      <c r="A27" s="1956" t="s">
        <v>1660</v>
      </c>
    </row>
    <row r="30" spans="1:4" ht="17.399999999999999">
      <c r="D30" s="1987" t="s">
        <v>1661</v>
      </c>
    </row>
    <row r="31" spans="1:4" ht="13.5" customHeight="1">
      <c r="C31" s="3274">
        <v>43460</v>
      </c>
      <c r="D31" s="32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4" customWidth="1"/>
    <col min="3" max="10" width="12.44140625" style="1944" customWidth="1"/>
    <col min="11" max="16384" width="9" style="1944"/>
  </cols>
  <sheetData>
    <row r="1" spans="1:10" ht="17.399999999999999">
      <c r="A1" s="1977" t="s">
        <v>870</v>
      </c>
      <c r="B1" s="1988"/>
      <c r="C1" s="1988"/>
      <c r="D1" s="1988"/>
      <c r="E1" s="1988"/>
      <c r="F1" s="1988"/>
      <c r="G1" s="1988"/>
      <c r="H1" s="1988"/>
      <c r="I1" s="1988"/>
      <c r="J1" s="1988"/>
    </row>
    <row r="2" spans="1:10" ht="17.399999999999999">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4" customWidth="1"/>
    <col min="2" max="16384" width="14.44140625" style="1976"/>
  </cols>
  <sheetData>
    <row r="1" spans="1:7" s="1991" customFormat="1" ht="17.399999999999999">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4.4">
      <c r="A15" s="3283" t="s">
        <v>1669</v>
      </c>
      <c r="B15" s="3278" t="s">
        <v>136</v>
      </c>
      <c r="C15" s="3279"/>
    </row>
    <row r="16" spans="1:7" ht="14.4">
      <c r="A16" s="3284"/>
      <c r="B16" s="3278" t="s">
        <v>69</v>
      </c>
      <c r="C16" s="3279"/>
    </row>
    <row r="17" spans="1:3" ht="14.4">
      <c r="A17" s="3284"/>
      <c r="B17" s="3281" t="s">
        <v>1670</v>
      </c>
      <c r="C17" s="2001" t="s">
        <v>1669</v>
      </c>
    </row>
    <row r="18" spans="1:3" ht="14.4">
      <c r="A18" s="3284"/>
      <c r="B18" s="3281"/>
      <c r="C18" s="2001" t="s">
        <v>1671</v>
      </c>
    </row>
    <row r="19" spans="1:3" ht="14.4">
      <c r="A19" s="3284"/>
      <c r="B19" s="3281"/>
      <c r="C19" s="2001" t="s">
        <v>1672</v>
      </c>
    </row>
    <row r="20" spans="1:3" ht="14.4">
      <c r="A20" s="3285"/>
      <c r="B20" s="3280" t="s">
        <v>1673</v>
      </c>
      <c r="C20" s="3279"/>
    </row>
    <row r="21" spans="1:3" ht="14.4">
      <c r="A21" s="2002" t="s">
        <v>1674</v>
      </c>
      <c r="B21" s="2003"/>
      <c r="C21" s="2004"/>
    </row>
    <row r="22" spans="1:3" ht="14.4">
      <c r="A22" s="3282" t="s">
        <v>1675</v>
      </c>
      <c r="B22" s="3280" t="s">
        <v>1676</v>
      </c>
      <c r="C22" s="3279"/>
    </row>
    <row r="23" spans="1:3" ht="14.4">
      <c r="A23" s="3282"/>
      <c r="B23" s="3280" t="s">
        <v>1677</v>
      </c>
      <c r="C23" s="3279"/>
    </row>
    <row r="24" spans="1:3" ht="14.4">
      <c r="A24" s="3282"/>
      <c r="B24" s="3280" t="s">
        <v>1678</v>
      </c>
      <c r="C24" s="3279"/>
    </row>
    <row r="25" spans="1:3" ht="14.4">
      <c r="A25" s="3282"/>
      <c r="B25" s="3281" t="s">
        <v>1679</v>
      </c>
      <c r="C25" s="2001" t="s">
        <v>1680</v>
      </c>
    </row>
    <row r="26" spans="1:3" ht="14.4">
      <c r="A26" s="3282"/>
      <c r="B26" s="3281"/>
      <c r="C26" s="2001" t="s">
        <v>1681</v>
      </c>
    </row>
    <row r="27" spans="1:3" ht="14.4">
      <c r="A27" s="3282"/>
      <c r="B27" s="3281"/>
      <c r="C27" s="2001" t="s">
        <v>1682</v>
      </c>
    </row>
    <row r="28" spans="1:3" ht="14.4">
      <c r="A28" s="3282"/>
      <c r="B28" s="3281"/>
      <c r="C28" s="2001" t="s">
        <v>1683</v>
      </c>
    </row>
    <row r="29" spans="1:3" ht="14.4">
      <c r="A29" s="3282"/>
      <c r="B29" s="3281"/>
      <c r="C29" s="2001" t="s">
        <v>1684</v>
      </c>
    </row>
    <row r="30" spans="1:3" ht="14.4">
      <c r="A30" s="3282"/>
      <c r="B30" s="3281"/>
      <c r="C30" s="2001" t="s">
        <v>1685</v>
      </c>
    </row>
    <row r="31" spans="1:3" ht="14.4">
      <c r="A31" s="3282"/>
      <c r="B31" s="3281"/>
      <c r="C31" s="2001" t="s">
        <v>1686</v>
      </c>
    </row>
    <row r="32" spans="1:3" ht="14.4">
      <c r="A32" s="3282"/>
      <c r="B32" s="3281"/>
      <c r="C32" s="2001" t="s">
        <v>1687</v>
      </c>
    </row>
    <row r="33" spans="1:3" ht="14.4">
      <c r="A33" s="3282"/>
      <c r="B33" s="3281"/>
      <c r="C33" s="2001" t="s">
        <v>1688</v>
      </c>
    </row>
    <row r="34" spans="1:3">
      <c r="A34" s="2005" t="s">
        <v>76</v>
      </c>
    </row>
    <row r="37" spans="1:3">
      <c r="A37" s="2005" t="s">
        <v>1689</v>
      </c>
    </row>
    <row r="38" spans="1:3" ht="14.4">
      <c r="A38" s="2006" t="s">
        <v>77</v>
      </c>
    </row>
    <row r="39" spans="1:3" ht="14.4">
      <c r="A39" s="2006" t="s">
        <v>78</v>
      </c>
    </row>
    <row r="40" spans="1:3" ht="14.4">
      <c r="A40" s="2006" t="s">
        <v>79</v>
      </c>
    </row>
    <row r="41" spans="1:3" ht="14.4">
      <c r="A41" s="2007" t="s">
        <v>80</v>
      </c>
    </row>
    <row r="42" spans="1:3" ht="14.4">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6"/>
    <col min="3" max="3" width="23.6640625" style="1016" bestFit="1" customWidth="1"/>
    <col min="4" max="5" width="22.6640625" style="1016"/>
    <col min="6" max="6" width="25.6640625" style="1016" customWidth="1"/>
    <col min="7" max="16384" width="22.6640625" style="1016"/>
  </cols>
  <sheetData>
    <row r="2" spans="1:6" ht="24" customHeight="1">
      <c r="A2" s="1018" t="s">
        <v>825</v>
      </c>
      <c r="B2" s="1019">
        <f ca="1">TODAY()</f>
        <v>43480</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f ca="1">IF(C10&lt;B2,"已过期",1120060040)</f>
        <v>1120060040</v>
      </c>
      <c r="C10" s="2346">
        <v>43483</v>
      </c>
      <c r="D10" s="2349" t="s">
        <v>838</v>
      </c>
      <c r="E10" s="1023">
        <f ca="1">IF(F10&lt;B2,"已过期",2004110096)</f>
        <v>2004110096</v>
      </c>
      <c r="F10" s="1031">
        <v>47118</v>
      </c>
    </row>
    <row r="11" spans="1:6" ht="24" customHeight="1">
      <c r="A11" s="1703" t="s">
        <v>839</v>
      </c>
      <c r="B11" s="1023">
        <f ca="1">IF(C11&lt;B2,"已过期",1120100036)</f>
        <v>1120100036</v>
      </c>
      <c r="C11" s="2346">
        <v>43622</v>
      </c>
      <c r="D11" s="2349" t="s">
        <v>839</v>
      </c>
      <c r="E11" s="1023">
        <f ca="1">IF(F11&lt;B2,"已过期",2010110070)</f>
        <v>2010110070</v>
      </c>
      <c r="F11" s="1031">
        <v>47907</v>
      </c>
    </row>
    <row r="12" spans="1:6" ht="24" customHeight="1">
      <c r="A12" s="1703" t="s">
        <v>3040</v>
      </c>
      <c r="B12" s="1023">
        <v>1120110054</v>
      </c>
      <c r="C12" s="2940">
        <v>43937</v>
      </c>
      <c r="D12" s="1703" t="s">
        <v>3040</v>
      </c>
      <c r="E12" s="1023">
        <v>2008110060</v>
      </c>
      <c r="F12" s="1031">
        <v>47177</v>
      </c>
    </row>
    <row r="13" spans="1:6" ht="24" customHeight="1">
      <c r="A13" s="1703" t="s">
        <v>840</v>
      </c>
      <c r="B13" s="1023">
        <f ca="1">IF(C13&lt;B2,"已过期",1120070131)</f>
        <v>1120070131</v>
      </c>
      <c r="C13" s="2346">
        <v>43814</v>
      </c>
      <c r="D13" s="2349" t="s">
        <v>840</v>
      </c>
      <c r="E13" s="1023">
        <v>2014110011</v>
      </c>
      <c r="F13" s="1031">
        <v>49302</v>
      </c>
    </row>
    <row r="14" spans="1:6" ht="24" customHeight="1">
      <c r="A14" s="1703" t="s">
        <v>841</v>
      </c>
      <c r="B14" s="1023">
        <f ca="1">IF(C14&lt;B2,"已过期",1120130020)</f>
        <v>1120130020</v>
      </c>
      <c r="C14" s="2346">
        <v>43622</v>
      </c>
      <c r="D14" s="2349"/>
      <c r="E14" s="1023"/>
      <c r="F14" s="1023"/>
    </row>
    <row r="15" spans="1:6" ht="24" customHeight="1">
      <c r="A15" s="1704" t="s">
        <v>1149</v>
      </c>
      <c r="B15" s="1023">
        <v>1120070085</v>
      </c>
      <c r="C15" s="2346">
        <v>43814</v>
      </c>
      <c r="D15" s="2350" t="s">
        <v>1149</v>
      </c>
      <c r="E15" s="1023">
        <v>2004110128</v>
      </c>
      <c r="F15" s="1024">
        <v>47118</v>
      </c>
    </row>
    <row r="16" spans="1:6" ht="24" customHeight="1">
      <c r="A16" s="1703" t="s">
        <v>842</v>
      </c>
      <c r="B16" s="1023">
        <f ca="1">IF(C16&lt;B2,"已过期",1120140022)</f>
        <v>1120140022</v>
      </c>
      <c r="C16" s="2346">
        <v>44029</v>
      </c>
      <c r="D16" s="2349" t="s">
        <v>842</v>
      </c>
      <c r="E16" s="1023">
        <f ca="1">IF(F16&lt;B2,"已过期",2008110059)</f>
        <v>2008110059</v>
      </c>
      <c r="F16" s="1031">
        <v>47177</v>
      </c>
    </row>
    <row r="17" spans="1:7" ht="24" customHeight="1">
      <c r="A17" s="1703"/>
      <c r="B17" s="1023"/>
      <c r="C17" s="2346"/>
      <c r="D17" s="2349"/>
      <c r="E17" s="1023"/>
      <c r="F17" s="1031"/>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843</v>
      </c>
      <c r="E21" s="1023">
        <f ca="1">IF(F21&lt;B2,"已过期",2011110090)</f>
        <v>2011110090</v>
      </c>
      <c r="F21" s="1031">
        <v>48302</v>
      </c>
    </row>
    <row r="22" spans="1:7" ht="24" customHeight="1">
      <c r="A22" s="1703" t="s">
        <v>844</v>
      </c>
      <c r="B22" s="1023">
        <f ca="1">IF(C22&lt;B2,"已过期",1120020033)</f>
        <v>1120020033</v>
      </c>
      <c r="C22" s="2940">
        <v>44339</v>
      </c>
      <c r="D22" s="2349" t="s">
        <v>844</v>
      </c>
      <c r="E22" s="1023">
        <f ca="1">IF(F22&lt;B2,"已过期",2000110137)</f>
        <v>2000110137</v>
      </c>
      <c r="F22" s="1031">
        <v>46387</v>
      </c>
    </row>
    <row r="23" spans="1:7" ht="24" customHeight="1">
      <c r="A23" s="1703" t="s">
        <v>845</v>
      </c>
      <c r="B23" s="1023">
        <f ca="1">IF(C23&lt;B2,"已过期",1120130048)</f>
        <v>1120130048</v>
      </c>
      <c r="C23" s="2346">
        <v>43686</v>
      </c>
      <c r="D23" s="2349"/>
      <c r="E23" s="1023"/>
      <c r="F23" s="1023"/>
    </row>
    <row r="24" spans="1:7" s="1025" customFormat="1" ht="24" customHeight="1">
      <c r="A24" s="1704" t="s">
        <v>1333</v>
      </c>
      <c r="B24" s="1704" t="s">
        <v>1333</v>
      </c>
      <c r="C24" s="2347" t="s">
        <v>1333</v>
      </c>
      <c r="D24" s="2350" t="s">
        <v>1333</v>
      </c>
      <c r="E24" s="1704" t="s">
        <v>1333</v>
      </c>
      <c r="F24" s="1704" t="s">
        <v>1333</v>
      </c>
    </row>
    <row r="25" spans="1:7" ht="24" customHeight="1">
      <c r="A25" s="3286" t="s">
        <v>846</v>
      </c>
      <c r="B25" s="3286"/>
      <c r="C25" s="3286"/>
      <c r="D25" s="3286"/>
      <c r="E25" s="3286"/>
      <c r="F25" s="3286"/>
      <c r="G25" s="3286"/>
    </row>
    <row r="26" spans="1:7" s="1026" customFormat="1" ht="24" customHeight="1">
      <c r="A26" s="3287" t="s">
        <v>847</v>
      </c>
      <c r="B26" s="3287"/>
      <c r="C26" s="3288"/>
      <c r="D26" s="3289" t="s">
        <v>848</v>
      </c>
      <c r="E26" s="3287"/>
      <c r="F26" s="3287"/>
    </row>
    <row r="27" spans="1:7" s="1028" customFormat="1" ht="24" customHeight="1">
      <c r="A27" s="1027" t="s">
        <v>849</v>
      </c>
      <c r="B27" s="1022" t="s">
        <v>850</v>
      </c>
      <c r="C27" s="2345" t="s">
        <v>851</v>
      </c>
      <c r="D27" s="2353" t="s">
        <v>849</v>
      </c>
      <c r="E27" s="1022" t="s">
        <v>850</v>
      </c>
      <c r="F27" s="1022" t="s">
        <v>851</v>
      </c>
    </row>
    <row r="28" spans="1:7" s="1028" customFormat="1" ht="24" customHeight="1">
      <c r="A28" s="1029" t="s">
        <v>852</v>
      </c>
      <c r="B28" s="1030" t="s">
        <v>853</v>
      </c>
      <c r="C28" s="2351">
        <v>43725</v>
      </c>
      <c r="D28" s="2354" t="s">
        <v>854</v>
      </c>
      <c r="E28" s="1029" t="s">
        <v>855</v>
      </c>
      <c r="F28" s="1059">
        <v>44377</v>
      </c>
    </row>
    <row r="29" spans="1:7" s="1028" customFormat="1" ht="24" customHeight="1">
      <c r="A29" s="1029"/>
      <c r="B29" s="1029"/>
      <c r="C29" s="2352"/>
      <c r="D29" s="2354"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租约</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收益法（汇总）</vt:lpstr>
      <vt:lpstr>收益法-办公未出租</vt:lpstr>
      <vt:lpstr>收益法-办公出租</vt:lpstr>
      <vt:lpstr>收益法 (元)</vt:lpstr>
      <vt:lpstr>结果表 (2)</vt:lpstr>
      <vt:lpstr>收益法-酒店</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成本法 (2)</vt:lpstr>
      <vt:lpstr>基准地价修正商业</vt:lpstr>
      <vt:lpstr>结果表 (3)</vt:lpstr>
      <vt:lpstr>收益法-车库</vt:lpstr>
      <vt:lpstr>成本法 (3)</vt:lpstr>
      <vt:lpstr>基准地价修正办公</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'收益法-办公出租'!Print_Area</vt:lpstr>
      <vt:lpstr>'收益法-办公未出租'!Print_Area</vt:lpstr>
      <vt:lpstr>'收益法-车库'!Print_Area</vt:lpstr>
      <vt:lpstr>'收益法-酒店'!Print_Area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2019-01-15T08:04:53Z</dcterms:modified>
</cp:coreProperties>
</file>